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945" yWindow="-15" windowWidth="12855" windowHeight="1255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基准地价修正" sheetId="43" r:id="rId20"/>
    <sheet name="成本法" sheetId="68" r:id="rId21"/>
    <sheet name="成本法 (元)" sheetId="69" state="hidden"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年期修正系数" sheetId="79" r:id="rId45"/>
    <sheet name="土地案例" sheetId="78"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区片价!$I$1:$I$20</definedName>
    <definedName name="二级分类" localSheetId="44">[1]修正!$C$17:$C$39</definedName>
    <definedName name="二级分类">修正!$C$17:$C$39</definedName>
    <definedName name="法定最高年限" localSheetId="44">[2]定义!$F$2:$F$4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 localSheetId="25">[3]定义!$D$1:$D$4</definedName>
    <definedName name="判定">定义!$D$1:$D$4</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区片价!$J$1:$J$21</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[1]修正!$C$59:$C$119</definedName>
    <definedName name="商业街名称">修正!$C$59:$C$119</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工程地质条件">'[4]比较法-工业'!$B$116:$M$116</definedName>
    <definedName name="套工交易情况" localSheetId="44">'[1]土地比较法-住宅、综合'!$A$73:$M$73</definedName>
    <definedName name="套工交易情况">'土地比较法-住宅、综合'!$A$73:$M$73</definedName>
    <definedName name="套工开发程度">'[4]比较法-工业'!$B$114:$M$114</definedName>
    <definedName name="套工临街等级">'[4]比较法-工业'!$B$99:$M$99</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区片价!$L$1:$L$35</definedName>
    <definedName name="项目类型" localSheetId="44">'[1]数据-汇总表'!$C$17:$C$26</definedName>
    <definedName name="项目类型" localSheetId="25">'[3]数据-汇总表'!$C$17:$C$26</definedName>
    <definedName name="项目类型">'数据-汇总表'!$C$17:$C$26</definedName>
    <definedName name="写字楼等级" localSheetId="44">'[1]比较法-办公'!$B$113:$M$113</definedName>
    <definedName name="写字楼等级">'比较法-办公'!$B$113:$M$113</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[4]定义!$A$1:$A$50</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6" i="68" l="1"/>
  <c r="A13" i="3"/>
  <c r="AQ30" i="78"/>
  <c r="AP31" i="78"/>
  <c r="AP30" i="78"/>
  <c r="AQ27" i="78"/>
  <c r="A15" i="3"/>
  <c r="A14" i="3"/>
  <c r="AS21" i="78" l="1"/>
  <c r="B15" i="3"/>
  <c r="D29" i="43"/>
  <c r="I7" i="6"/>
  <c r="I14" i="3"/>
  <c r="AU24" i="78" l="1"/>
  <c r="AS24" i="78"/>
  <c r="AQ24" i="78"/>
  <c r="AQ21" i="78"/>
  <c r="AO22" i="78"/>
  <c r="AU21" i="78"/>
  <c r="AT18" i="78"/>
  <c r="L23" i="78"/>
  <c r="L26" i="78" s="1"/>
  <c r="L29" i="78" s="1"/>
  <c r="J23" i="78"/>
  <c r="J26" i="78" s="1"/>
  <c r="J29" i="78" s="1"/>
  <c r="K20" i="78"/>
  <c r="D9" i="79"/>
  <c r="D10" i="79" s="1"/>
  <c r="F10" i="79" s="1"/>
  <c r="C5" i="79"/>
  <c r="D5" i="79" s="1"/>
  <c r="C4" i="79"/>
  <c r="D4" i="79" s="1"/>
  <c r="C3" i="79"/>
  <c r="D3" i="79" s="1"/>
  <c r="AU27" i="78" l="1"/>
  <c r="AS27" i="78"/>
  <c r="F9" i="79"/>
  <c r="B13" i="79" s="1"/>
  <c r="C16" i="79" l="1"/>
  <c r="G9" i="79"/>
  <c r="B16" i="79"/>
  <c r="C13" i="79"/>
  <c r="I34" i="40" l="1"/>
  <c r="G34" i="40"/>
  <c r="E34" i="40"/>
  <c r="E66" i="40"/>
  <c r="F66" i="40" s="1"/>
  <c r="G66" i="40" s="1"/>
  <c r="H66" i="40" s="1"/>
  <c r="I66" i="40" s="1"/>
  <c r="J66" i="40" s="1"/>
  <c r="K66" i="40" s="1"/>
  <c r="L66" i="40" s="1"/>
  <c r="M66" i="40" s="1"/>
  <c r="D66" i="40"/>
  <c r="I7" i="40"/>
  <c r="G7" i="40"/>
  <c r="E7" i="40"/>
  <c r="I5" i="40"/>
  <c r="G5" i="40"/>
  <c r="E5" i="40"/>
  <c r="I41" i="40"/>
  <c r="G41" i="40"/>
  <c r="E41" i="40"/>
  <c r="Y6" i="1"/>
  <c r="D3" i="4" l="1"/>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4" i="43"/>
  <c r="D85" i="43"/>
  <c r="D88" i="43"/>
  <c r="D67" i="43"/>
  <c r="D60" i="43"/>
  <c r="D61" i="43"/>
  <c r="D62" i="43"/>
  <c r="D63" i="43"/>
  <c r="D64" i="43"/>
  <c r="D65" i="43"/>
  <c r="D66" i="43"/>
  <c r="D59" i="43"/>
  <c r="E59" i="43"/>
  <c r="B57" i="43"/>
  <c r="M88" i="43"/>
  <c r="N88" i="43" s="1"/>
  <c r="K88" i="43"/>
  <c r="J88" i="43" s="1"/>
  <c r="M87" i="43"/>
  <c r="N87" i="43" s="1"/>
  <c r="K87" i="43"/>
  <c r="J87" i="43" s="1"/>
  <c r="M86" i="43"/>
  <c r="N86" i="43" s="1"/>
  <c r="K86" i="43"/>
  <c r="D86" i="43" s="1"/>
  <c r="M85" i="43"/>
  <c r="N85" i="43" s="1"/>
  <c r="K85" i="43"/>
  <c r="J85" i="43" s="1"/>
  <c r="M84" i="43"/>
  <c r="N84" i="43" s="1"/>
  <c r="K84" i="43"/>
  <c r="J84" i="43" s="1"/>
  <c r="M83" i="43"/>
  <c r="N83" i="43" s="1"/>
  <c r="K83" i="43"/>
  <c r="J83" i="43" s="1"/>
  <c r="M82" i="43"/>
  <c r="D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H103" i="9"/>
  <c r="D8" i="53" s="1"/>
  <c r="B16" i="53"/>
  <c r="B33" i="72" s="1"/>
  <c r="C7" i="37"/>
  <c r="C7" i="34"/>
  <c r="C7" i="36"/>
  <c r="A118" i="9"/>
  <c r="A4" i="52"/>
  <c r="B41" i="72"/>
  <c r="J11" i="39"/>
  <c r="W11" i="39"/>
  <c r="F11" i="39"/>
  <c r="AA11" i="39"/>
  <c r="A12" i="52"/>
  <c r="B56" i="72" s="1"/>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G29" i="6" s="1"/>
  <c r="E29" i="6" s="1"/>
  <c r="K15" i="1" s="1"/>
  <c r="BN5" i="3"/>
  <c r="AZ343" i="3"/>
  <c r="BK5" i="3"/>
  <c r="BI5" i="3"/>
  <c r="BG5" i="3"/>
  <c r="BE5" i="3"/>
  <c r="BC5" i="3"/>
  <c r="G17" i="3"/>
  <c r="BA17" i="3"/>
  <c r="BT5" i="3"/>
  <c r="AZ350" i="3"/>
  <c r="AZ352" i="3"/>
  <c r="AZ356" i="3"/>
  <c r="AZ360" i="3"/>
  <c r="AZ364" i="3"/>
  <c r="AZ368" i="3"/>
  <c r="BA15" i="3"/>
  <c r="AZ15" i="3"/>
  <c r="BB5" i="3"/>
  <c r="BR5" i="3"/>
  <c r="G28" i="6" s="1"/>
  <c r="G30" i="6" s="1"/>
  <c r="G31" i="6" s="1"/>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S35" i="40"/>
  <c r="U35" i="40"/>
  <c r="AC36" i="40"/>
  <c r="W38" i="40"/>
  <c r="AA32" i="40"/>
  <c r="AB27"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S6" i="3" s="1"/>
  <c r="BA13" i="3"/>
  <c r="E10" i="6"/>
  <c r="E11" i="6"/>
  <c r="E61" i="39" s="1"/>
  <c r="BL17" i="3"/>
  <c r="AZ17" i="3"/>
  <c r="BL13" i="3"/>
  <c r="J56" i="9"/>
  <c r="J57" i="9" s="1"/>
  <c r="J59" i="9" s="1"/>
  <c r="J61" i="9" s="1"/>
  <c r="A24" i="51"/>
  <c r="B18" i="72" s="1"/>
  <c r="U29" i="34"/>
  <c r="E14" i="6"/>
  <c r="E5" i="6"/>
  <c r="D9" i="11" s="1"/>
  <c r="C9" i="11" s="1"/>
  <c r="E32" i="6"/>
  <c r="L19" i="6"/>
  <c r="G1" i="68"/>
  <c r="K1" i="12"/>
  <c r="F30" i="6"/>
  <c r="E19" i="69"/>
  <c r="E19" i="68"/>
  <c r="E19" i="11"/>
  <c r="E1" i="73"/>
  <c r="G22" i="69"/>
  <c r="G22" i="68"/>
  <c r="G26" i="12"/>
  <c r="G22" i="11"/>
  <c r="C100" i="43"/>
  <c r="C7" i="43"/>
  <c r="E48" i="43"/>
  <c r="B46" i="43"/>
  <c r="E70" i="43"/>
  <c r="B68" i="43"/>
  <c r="F100" i="43"/>
  <c r="H17" i="43"/>
  <c r="G6" i="1"/>
  <c r="H53"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H66" i="43"/>
  <c r="H64" i="43"/>
  <c r="H55" i="43"/>
  <c r="H72" i="43"/>
  <c r="L20" i="6"/>
  <c r="B6" i="1"/>
  <c r="E6" i="1"/>
  <c r="S8" i="1"/>
  <c r="AR8" i="1" s="1"/>
  <c r="K11" i="1"/>
  <c r="M11" i="1" s="1"/>
  <c r="AP6" i="1"/>
  <c r="B9" i="1"/>
  <c r="E9" i="1"/>
  <c r="G1" i="15"/>
  <c r="G1" i="69"/>
  <c r="G1" i="67"/>
  <c r="U32" i="40"/>
  <c r="AB31" i="40"/>
  <c r="AB28" i="40"/>
  <c r="W28" i="40"/>
  <c r="W2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Z13" i="3"/>
  <c r="F30" i="11"/>
  <c r="C48" i="11" s="1"/>
  <c r="F52" i="9"/>
  <c r="F30" i="69"/>
  <c r="F48" i="69" s="1"/>
  <c r="M18" i="15"/>
  <c r="D9" i="69"/>
  <c r="C9" i="69"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E506" i="3"/>
  <c r="E298" i="3"/>
  <c r="E148" i="3"/>
  <c r="E207" i="3"/>
  <c r="E145" i="3"/>
  <c r="E379" i="3"/>
  <c r="U6" i="3"/>
  <c r="E411" i="3"/>
  <c r="E548" i="3"/>
  <c r="E416" i="3"/>
  <c r="E449" i="3"/>
  <c r="E459"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7" i="1"/>
  <c r="AE8" i="1"/>
  <c r="AG6" i="1"/>
  <c r="H109" i="9"/>
  <c r="D124" i="9" s="1"/>
  <c r="H110" i="9"/>
  <c r="D18" i="53" s="1"/>
  <c r="B35" i="72" s="1"/>
  <c r="D16" i="53"/>
  <c r="B34" i="72" s="1"/>
  <c r="H112" i="9"/>
  <c r="D21" i="53"/>
  <c r="B39" i="72" s="1"/>
  <c r="H111" i="9"/>
  <c r="D126" i="9" s="1"/>
  <c r="D19" i="53"/>
  <c r="D20" i="53" s="1"/>
  <c r="B40" i="72" s="1"/>
  <c r="AD3" i="71"/>
  <c r="J1" i="73"/>
  <c r="C30" i="69"/>
  <c r="H77" i="43"/>
  <c r="H51" i="43"/>
  <c r="H59" i="43"/>
  <c r="H61" i="43"/>
  <c r="M4" i="43"/>
  <c r="M5" i="43"/>
  <c r="N12" i="43"/>
  <c r="N11" i="43"/>
  <c r="M10" i="43"/>
  <c r="C6" i="43" s="1"/>
  <c r="M2" i="43"/>
  <c r="M7" i="43"/>
  <c r="H70" i="43"/>
  <c r="N9" i="43"/>
  <c r="M8" i="43"/>
  <c r="N10" i="43"/>
  <c r="F81" i="43" s="1"/>
  <c r="H74" i="43"/>
  <c r="M6" i="43"/>
  <c r="N7" i="43"/>
  <c r="N4" i="43"/>
  <c r="N2"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s="1"/>
  <c r="I59" i="34"/>
  <c r="J59" i="34" s="1"/>
  <c r="D15" i="71"/>
  <c r="T17" i="71"/>
  <c r="D16" i="71"/>
  <c r="D17" i="71"/>
  <c r="U17" i="71"/>
  <c r="F26" i="15"/>
  <c r="J15" i="67"/>
  <c r="F6" i="67"/>
  <c r="M26" i="15"/>
  <c r="M28" i="15"/>
  <c r="M27" i="67"/>
  <c r="F3" i="73"/>
  <c r="M8" i="67"/>
  <c r="L47" i="15"/>
  <c r="E2" i="69"/>
  <c r="E11" i="76"/>
  <c r="E8" i="76"/>
  <c r="D7" i="73"/>
  <c r="F38" i="15"/>
  <c r="F40" i="15"/>
  <c r="B8" i="76"/>
  <c r="D5" i="73"/>
  <c r="E13" i="76"/>
  <c r="D4" i="73"/>
  <c r="L48" i="67"/>
  <c r="F9" i="15"/>
  <c r="E10" i="76"/>
  <c r="B13" i="76"/>
  <c r="M9" i="67"/>
  <c r="F6" i="73"/>
  <c r="D9" i="68"/>
  <c r="M24" i="15"/>
  <c r="D2" i="36"/>
  <c r="M6" i="15"/>
  <c r="F7" i="73"/>
  <c r="F37" i="67"/>
  <c r="D2" i="35"/>
  <c r="F13" i="67"/>
  <c r="F40" i="67"/>
  <c r="L47" i="67"/>
  <c r="F16" i="15"/>
  <c r="F5" i="73"/>
  <c r="J15" i="15"/>
  <c r="AO11" i="1"/>
  <c r="F42" i="15"/>
  <c r="F42" i="67"/>
  <c r="M23" i="15"/>
  <c r="D2" i="21"/>
  <c r="B7" i="76"/>
  <c r="F13" i="15"/>
  <c r="F4" i="73"/>
  <c r="F36" i="67"/>
  <c r="F41" i="67"/>
  <c r="AO9" i="1"/>
  <c r="AO8" i="1"/>
  <c r="C76" i="67"/>
  <c r="M6" i="67"/>
  <c r="M27" i="15"/>
  <c r="F38" i="67"/>
  <c r="F37" i="15"/>
  <c r="C76" i="15"/>
  <c r="D2" i="37"/>
  <c r="M8" i="15"/>
  <c r="M22" i="67"/>
  <c r="B9" i="76"/>
  <c r="M23" i="67"/>
  <c r="F6" i="15"/>
  <c r="F8" i="15"/>
  <c r="E2" i="68"/>
  <c r="AO7" i="1"/>
  <c r="M28" i="67"/>
  <c r="E7" i="76"/>
  <c r="B12" i="76"/>
  <c r="E12" i="76"/>
  <c r="F36" i="15"/>
  <c r="AO12" i="1"/>
  <c r="D3" i="73"/>
  <c r="L48" i="15"/>
  <c r="F16" i="67"/>
  <c r="E9" i="76"/>
  <c r="D2" i="34"/>
  <c r="AO10" i="1"/>
  <c r="M26" i="67"/>
  <c r="AO13" i="1"/>
  <c r="F20" i="31"/>
  <c r="M9" i="15"/>
  <c r="D2" i="33"/>
  <c r="B11" i="76"/>
  <c r="D6" i="73"/>
  <c r="M22" i="15"/>
  <c r="F8" i="67"/>
  <c r="B10" i="76"/>
  <c r="M24" i="67"/>
  <c r="F26" i="67"/>
  <c r="F9" i="67"/>
  <c r="C9" i="68" l="1"/>
  <c r="D81" i="43"/>
  <c r="E81" i="43" s="1"/>
  <c r="B79" i="43" s="1"/>
  <c r="C24" i="43" s="1"/>
  <c r="D87" i="43"/>
  <c r="N82" i="43"/>
  <c r="J86" i="43"/>
  <c r="E30" i="6"/>
  <c r="K14" i="1"/>
  <c r="M14" i="1" s="1"/>
  <c r="O14" i="1" s="1"/>
  <c r="AZ5" i="3"/>
  <c r="BA5" i="3"/>
  <c r="E27" i="6" s="1"/>
  <c r="E15" i="6"/>
  <c r="E10" i="43"/>
  <c r="E8" i="43"/>
  <c r="E11" i="43"/>
  <c r="E9" i="43"/>
  <c r="H83" i="43"/>
  <c r="H82" i="43"/>
  <c r="H81" i="43"/>
  <c r="H88" i="43"/>
  <c r="H86" i="43"/>
  <c r="H87" i="43"/>
  <c r="H85" i="43"/>
  <c r="H84" i="43"/>
  <c r="C20" i="43"/>
  <c r="G17" i="43"/>
  <c r="C16" i="43" s="1"/>
  <c r="D5" i="43" s="1"/>
  <c r="K5" i="4"/>
  <c r="B47" i="48" s="1"/>
  <c r="E477" i="3"/>
  <c r="E443" i="3"/>
  <c r="E432" i="3"/>
  <c r="E414" i="3"/>
  <c r="E478" i="3"/>
  <c r="E515" i="3"/>
  <c r="E585" i="3"/>
  <c r="E107" i="3"/>
  <c r="E271" i="3"/>
  <c r="E122" i="3"/>
  <c r="E156" i="3"/>
  <c r="E338" i="3"/>
  <c r="W37" i="40"/>
  <c r="AB37" i="40"/>
  <c r="S36" i="40"/>
  <c r="W35" i="40"/>
  <c r="AC32" i="40"/>
  <c r="W32" i="40"/>
  <c r="W30" i="40"/>
  <c r="AA27" i="40"/>
  <c r="S30" i="40"/>
  <c r="U25" i="40"/>
  <c r="W25" i="40"/>
  <c r="S25" i="40"/>
  <c r="J23" i="40"/>
  <c r="F92" i="40"/>
  <c r="G92" i="40" s="1"/>
  <c r="H23" i="40"/>
  <c r="AB23" i="40" s="1"/>
  <c r="F23" i="40"/>
  <c r="U23" i="40"/>
  <c r="AC21" i="40"/>
  <c r="H19" i="40"/>
  <c r="F88" i="40"/>
  <c r="G88" i="40" s="1"/>
  <c r="F19" i="40"/>
  <c r="J19" i="40"/>
  <c r="S37" i="40"/>
  <c r="AA9" i="40"/>
  <c r="AC9" i="40"/>
  <c r="H17" i="40"/>
  <c r="F17" i="40"/>
  <c r="AA17" i="40" s="1"/>
  <c r="F86" i="40"/>
  <c r="G86" i="40" s="1"/>
  <c r="J17" i="40"/>
  <c r="S17" i="40"/>
  <c r="H15" i="40"/>
  <c r="F84" i="40"/>
  <c r="G84" i="40" s="1"/>
  <c r="J15" i="40"/>
  <c r="F15" i="40"/>
  <c r="S15" i="40" s="1"/>
  <c r="AA15" i="40"/>
  <c r="P61" i="15"/>
  <c r="C92" i="9"/>
  <c r="C94" i="9"/>
  <c r="C30" i="11"/>
  <c r="F54" i="9"/>
  <c r="F32" i="15"/>
  <c r="F60" i="15" s="1"/>
  <c r="F32" i="67"/>
  <c r="F60" i="67" s="1"/>
  <c r="F28" i="67"/>
  <c r="C28" i="67" s="1"/>
  <c r="C24" i="12"/>
  <c r="C77" i="9"/>
  <c r="C74" i="9" s="1"/>
  <c r="D68" i="9"/>
  <c r="F28" i="15"/>
  <c r="C28" i="15" s="1"/>
  <c r="C48" i="69"/>
  <c r="M18" i="67"/>
  <c r="F31" i="12"/>
  <c r="F30" i="68"/>
  <c r="F53" i="9"/>
  <c r="C21" i="69"/>
  <c r="D22" i="67"/>
  <c r="E390" i="3"/>
  <c r="E523" i="3"/>
  <c r="E418" i="3"/>
  <c r="E321" i="3"/>
  <c r="E169" i="3"/>
  <c r="E236" i="3"/>
  <c r="E269" i="3"/>
  <c r="E89" i="3"/>
  <c r="E252" i="3"/>
  <c r="E204" i="3"/>
  <c r="E164" i="3"/>
  <c r="E327" i="3"/>
  <c r="E576" i="3"/>
  <c r="Z6" i="3"/>
  <c r="AG6" i="3"/>
  <c r="AO6" i="3"/>
  <c r="E448" i="3"/>
  <c r="E485" i="3"/>
  <c r="P6" i="3"/>
  <c r="E400"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I4" i="6"/>
  <c r="E20" i="6"/>
  <c r="K7" i="1" s="1"/>
  <c r="Q16" i="1" s="1"/>
  <c r="E64" i="39"/>
  <c r="E59" i="40"/>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30" i="3"/>
  <c r="E398" i="3"/>
  <c r="E541" i="3"/>
  <c r="E487" i="3"/>
  <c r="E466" i="3"/>
  <c r="E464" i="3"/>
  <c r="E442" i="3"/>
  <c r="E421" i="3"/>
  <c r="E502" i="3"/>
  <c r="E552" i="3"/>
  <c r="R6" i="3"/>
  <c r="E542" i="3"/>
  <c r="E499" i="3"/>
  <c r="AD6" i="3"/>
  <c r="E575" i="3"/>
  <c r="E312" i="3"/>
  <c r="E286" i="3"/>
  <c r="E141" i="3"/>
  <c r="E199" i="3"/>
  <c r="E167" i="3"/>
  <c r="E253" i="3"/>
  <c r="E212" i="3"/>
  <c r="E77" i="3"/>
  <c r="E149" i="3"/>
  <c r="E157" i="3"/>
  <c r="E181" i="3"/>
  <c r="E228" i="3"/>
  <c r="E188" i="3"/>
  <c r="E99" i="3"/>
  <c r="E191" i="3"/>
  <c r="E216" i="3"/>
  <c r="E231" i="3"/>
  <c r="E380" i="3"/>
  <c r="E439" i="3"/>
  <c r="E538" i="3"/>
  <c r="E561" i="3"/>
  <c r="AR6" i="3"/>
  <c r="E533" i="3"/>
  <c r="E270" i="3"/>
  <c r="AQ9" i="1"/>
  <c r="AR10" i="1"/>
  <c r="E13" i="6"/>
  <c r="E12" i="6"/>
  <c r="AQ8" i="1"/>
  <c r="C36" i="69"/>
  <c r="T8" i="1"/>
  <c r="AQ13" i="1"/>
  <c r="AQ12" i="1"/>
  <c r="L27" i="6"/>
  <c r="T13" i="1"/>
  <c r="AR11" i="1"/>
  <c r="T11" i="1"/>
  <c r="T10" i="1"/>
  <c r="T12" i="1"/>
  <c r="E8" i="6"/>
  <c r="F27" i="6" s="1"/>
  <c r="F31"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51" i="40"/>
  <c r="E56" i="40"/>
  <c r="P6" i="1"/>
  <c r="O11" i="1"/>
  <c r="P11" i="1" s="1"/>
  <c r="E16" i="6"/>
  <c r="T9" i="1"/>
  <c r="P14" i="1"/>
  <c r="O12" i="1"/>
  <c r="P12" i="1" s="1"/>
  <c r="O9" i="1"/>
  <c r="P9" i="1" s="1"/>
  <c r="E60" i="40"/>
  <c r="E65" i="39"/>
  <c r="O8" i="1"/>
  <c r="P8" i="1" s="1"/>
  <c r="AY6" i="3"/>
  <c r="E3" i="6"/>
  <c r="H49" i="43"/>
  <c r="H48" i="43"/>
  <c r="H54" i="43"/>
  <c r="H60" i="43"/>
  <c r="H67" i="43"/>
  <c r="H76" i="43"/>
  <c r="H56" i="43"/>
  <c r="H63" i="43"/>
  <c r="H65" i="43"/>
  <c r="H78" i="43"/>
  <c r="H75" i="43"/>
  <c r="G11" i="1"/>
  <c r="D10" i="52"/>
  <c r="D125" i="9"/>
  <c r="D11" i="52" s="1"/>
  <c r="H14" i="74"/>
  <c r="B7" i="74" s="1"/>
  <c r="I14" i="74"/>
  <c r="B8" i="74" s="1"/>
  <c r="D127" i="9"/>
  <c r="D13" i="52" s="1"/>
  <c r="D12" i="52"/>
  <c r="B38" i="72"/>
  <c r="D17" i="53"/>
  <c r="B36" i="72" s="1"/>
  <c r="AA5" i="71"/>
  <c r="AB5" i="71"/>
  <c r="X5" i="71"/>
  <c r="Y5" i="71"/>
  <c r="Z5" i="71" s="1"/>
  <c r="E70" i="39"/>
  <c r="C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B10" i="70"/>
  <c r="Q71" i="15"/>
  <c r="J53" i="15"/>
  <c r="L56" i="15" s="1"/>
  <c r="J57" i="15"/>
  <c r="J55" i="15" s="1"/>
  <c r="J58" i="15" s="1"/>
  <c r="Q50" i="15" s="1"/>
  <c r="I54" i="15"/>
  <c r="K1" i="73"/>
  <c r="B20" i="31"/>
  <c r="B21" i="31" s="1"/>
  <c r="I1" i="73"/>
  <c r="B39" i="1" s="1"/>
  <c r="F51" i="67"/>
  <c r="F65" i="67"/>
  <c r="B12" i="70"/>
  <c r="J57" i="67"/>
  <c r="J55" i="67" s="1"/>
  <c r="J58" i="67" s="1"/>
  <c r="Q50" i="67" s="1"/>
  <c r="L56" i="67"/>
  <c r="I54" i="67"/>
  <c r="F51" i="15"/>
  <c r="B7" i="70"/>
  <c r="F69" i="67"/>
  <c r="F66" i="67"/>
  <c r="B11" i="70"/>
  <c r="L59" i="15"/>
  <c r="N59" i="15"/>
  <c r="L58" i="15"/>
  <c r="B8" i="70"/>
  <c r="F66" i="15"/>
  <c r="Q71" i="67"/>
  <c r="F64" i="15"/>
  <c r="F70" i="67"/>
  <c r="C27" i="67"/>
  <c r="C27" i="15"/>
  <c r="F65" i="15"/>
  <c r="B9" i="70"/>
  <c r="N59" i="67"/>
  <c r="L59" i="67"/>
  <c r="L58" i="67"/>
  <c r="B13" i="70"/>
  <c r="F68" i="67"/>
  <c r="F64" i="67"/>
  <c r="F68" i="15"/>
  <c r="D19" i="12"/>
  <c r="F7" i="67"/>
  <c r="M29" i="15"/>
  <c r="C36" i="68"/>
  <c r="F43" i="15"/>
  <c r="F43" i="67"/>
  <c r="C13" i="12"/>
  <c r="F7" i="15"/>
  <c r="M29" i="67"/>
  <c r="G1" i="73"/>
  <c r="C19" i="43" l="1"/>
  <c r="C35" i="43" s="1"/>
  <c r="C19" i="12"/>
  <c r="K22" i="6"/>
  <c r="M22" i="6" s="1"/>
  <c r="I22" i="6" s="1"/>
  <c r="S22" i="6" s="1"/>
  <c r="K23" i="6"/>
  <c r="M23" i="6" s="1"/>
  <c r="I23" i="6" s="1"/>
  <c r="S23" i="6" s="1"/>
  <c r="AC6" i="3"/>
  <c r="C33" i="43"/>
  <c r="G33" i="43" s="1"/>
  <c r="I33" i="43" s="1"/>
  <c r="G3" i="43"/>
  <c r="C11" i="40"/>
  <c r="AA23" i="40"/>
  <c r="S23" i="40"/>
  <c r="AC23" i="40"/>
  <c r="W23" i="40"/>
  <c r="AC19" i="40"/>
  <c r="W19" i="40"/>
  <c r="S19" i="40"/>
  <c r="AA19" i="40"/>
  <c r="U19" i="40"/>
  <c r="AB19" i="40"/>
  <c r="W17" i="40"/>
  <c r="AC17" i="40"/>
  <c r="U17" i="40"/>
  <c r="AB17" i="40"/>
  <c r="W15" i="40"/>
  <c r="AC15" i="40"/>
  <c r="AB15" i="40"/>
  <c r="U15" i="40"/>
  <c r="F48" i="68"/>
  <c r="C30" i="68"/>
  <c r="C48" i="68"/>
  <c r="G16" i="1"/>
  <c r="F10" i="39" s="1"/>
  <c r="K16" i="1"/>
  <c r="C34" i="69"/>
  <c r="C35" i="69" s="1"/>
  <c r="F27" i="69"/>
  <c r="F27" i="11"/>
  <c r="K21" i="6"/>
  <c r="M21" i="6" s="1"/>
  <c r="I21" i="6" s="1"/>
  <c r="S21" i="6" s="1"/>
  <c r="H16" i="1"/>
  <c r="F50" i="67"/>
  <c r="C49" i="67" s="1"/>
  <c r="C6" i="67"/>
  <c r="C32" i="67" s="1"/>
  <c r="M7" i="67"/>
  <c r="J6" i="67" s="1"/>
  <c r="J18" i="67" s="1"/>
  <c r="F50" i="15"/>
  <c r="C49" i="15" s="1"/>
  <c r="M7" i="15"/>
  <c r="J6" i="15" s="1"/>
  <c r="J18" i="15" s="1"/>
  <c r="C6" i="15"/>
  <c r="C32" i="15" s="1"/>
  <c r="F71" i="15"/>
  <c r="F71" i="67"/>
  <c r="M7" i="1"/>
  <c r="E56" i="39"/>
  <c r="E58" i="40"/>
  <c r="E63" i="39"/>
  <c r="H6" i="3"/>
  <c r="E6" i="3" s="1"/>
  <c r="E62" i="39"/>
  <c r="E66" i="39" s="1"/>
  <c r="E57" i="40"/>
  <c r="K24" i="6"/>
  <c r="M24" i="6" s="1"/>
  <c r="I24" i="6" s="1"/>
  <c r="S24" i="6" s="1"/>
  <c r="K20" i="6"/>
  <c r="E31" i="6"/>
  <c r="K19" i="6"/>
  <c r="S6" i="1" s="1"/>
  <c r="E6" i="70" s="1"/>
  <c r="E2" i="70" s="1"/>
  <c r="K25" i="6"/>
  <c r="M25" i="6" s="1"/>
  <c r="I25" i="6" s="1"/>
  <c r="S25" i="6" s="1"/>
  <c r="K26" i="6"/>
  <c r="M26" i="6" s="1"/>
  <c r="I26" i="6" s="1"/>
  <c r="S26" i="6" s="1"/>
  <c r="C47" i="11"/>
  <c r="D45" i="11" s="1"/>
  <c r="D3" i="34"/>
  <c r="D3" i="33"/>
  <c r="E6" i="6"/>
  <c r="D37" i="11"/>
  <c r="M18" i="9"/>
  <c r="B118" i="9" s="1"/>
  <c r="B14" i="74" s="1"/>
  <c r="B1" i="74" s="1"/>
  <c r="C8" i="74" s="1"/>
  <c r="D3" i="21"/>
  <c r="D19" i="11"/>
  <c r="C19" i="11" s="1"/>
  <c r="D3" i="37"/>
  <c r="C17" i="4"/>
  <c r="B4" i="52" s="1"/>
  <c r="B43" i="72" s="1"/>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103" i="3"/>
  <c r="AY50" i="3"/>
  <c r="AY160" i="3"/>
  <c r="AY289" i="3"/>
  <c r="AY183" i="3"/>
  <c r="AY261" i="3"/>
  <c r="AY284" i="3"/>
  <c r="AY209" i="3"/>
  <c r="AY319" i="3"/>
  <c r="AY455" i="3"/>
  <c r="AY497" i="3"/>
  <c r="AY116" i="3"/>
  <c r="AY244" i="3"/>
  <c r="AY390" i="3"/>
  <c r="AY355" i="3"/>
  <c r="AY311" i="3"/>
  <c r="AY481" i="3"/>
  <c r="AY447" i="3"/>
  <c r="AY404" i="3"/>
  <c r="AY535" i="3"/>
  <c r="AY562" i="3"/>
  <c r="AY574" i="3"/>
  <c r="BO6" i="3"/>
  <c r="AY555" i="3"/>
  <c r="AY89" i="3"/>
  <c r="AY85" i="3"/>
  <c r="AY53" i="3"/>
  <c r="AY68" i="3"/>
  <c r="AY36" i="3"/>
  <c r="AY25" i="3"/>
  <c r="AY182" i="3"/>
  <c r="AY178" i="3"/>
  <c r="AY146" i="3"/>
  <c r="AY67" i="3"/>
  <c r="AY196" i="3"/>
  <c r="AY139" i="3"/>
  <c r="AY74" i="3"/>
  <c r="AY123" i="3"/>
  <c r="AY204" i="3"/>
  <c r="AY252" i="3"/>
  <c r="AY363" i="3"/>
  <c r="AY489" i="3"/>
  <c r="AY412" i="3"/>
  <c r="AY43"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57" i="3"/>
  <c r="AY117" i="3"/>
  <c r="AY271" i="3"/>
  <c r="AY254"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C34" i="40" s="1"/>
  <c r="AY502" i="3"/>
  <c r="AY509" i="3"/>
  <c r="BR6" i="3"/>
  <c r="AY531" i="3"/>
  <c r="BA6" i="3"/>
  <c r="AY94" i="3"/>
  <c r="AY78"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6" i="3"/>
  <c r="AY302" i="3"/>
  <c r="AY239"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43"/>
  <c r="E38" i="43" s="1"/>
  <c r="J10" i="40"/>
  <c r="AC10" i="40" s="1"/>
  <c r="H10" i="39"/>
  <c r="AB10" i="39" s="1"/>
  <c r="F10" i="40"/>
  <c r="S10" i="40" s="1"/>
  <c r="J10" i="39"/>
  <c r="AC10" i="39" s="1"/>
  <c r="H10" i="40"/>
  <c r="AB10" i="40" s="1"/>
  <c r="C7" i="74"/>
  <c r="T8" i="43"/>
  <c r="V8" i="43" s="1"/>
  <c r="T15" i="43"/>
  <c r="V15" i="43"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P25" i="43"/>
  <c r="P23" i="43"/>
  <c r="B71" i="39" s="1"/>
  <c r="E33" i="43"/>
  <c r="Q60" i="67"/>
  <c r="Q73" i="67"/>
  <c r="M28" i="43"/>
  <c r="N28" i="43"/>
  <c r="O28" i="43"/>
  <c r="P28" i="43"/>
  <c r="M11" i="67"/>
  <c r="J10" i="67" s="1"/>
  <c r="F11" i="15"/>
  <c r="M11" i="15"/>
  <c r="F11" i="67"/>
  <c r="F1" i="15"/>
  <c r="Q52" i="15"/>
  <c r="Q60" i="15"/>
  <c r="Q73" i="15"/>
  <c r="Q61" i="67"/>
  <c r="Q74" i="67"/>
  <c r="Q74" i="15"/>
  <c r="Q61" i="15"/>
  <c r="F28" i="12"/>
  <c r="D14" i="12"/>
  <c r="C16" i="15"/>
  <c r="F27" i="68"/>
  <c r="AE6" i="1"/>
  <c r="C16" i="67"/>
  <c r="E35" i="43" l="1"/>
  <c r="G35" i="43"/>
  <c r="I35" i="43" s="1"/>
  <c r="G38" i="43"/>
  <c r="I38" i="43" s="1"/>
  <c r="T16" i="43"/>
  <c r="V16" i="43" s="1"/>
  <c r="C37" i="43"/>
  <c r="E37" i="43" s="1"/>
  <c r="C39" i="43"/>
  <c r="T14" i="43"/>
  <c r="V14" i="43" s="1"/>
  <c r="T12" i="43"/>
  <c r="V12" i="43" s="1"/>
  <c r="T10" i="43"/>
  <c r="V10" i="43" s="1"/>
  <c r="T9" i="43"/>
  <c r="V9" i="43" s="1"/>
  <c r="T13" i="43"/>
  <c r="V13" i="43" s="1"/>
  <c r="C34" i="43"/>
  <c r="C36" i="43"/>
  <c r="T11" i="43"/>
  <c r="V11" i="43" s="1"/>
  <c r="C38" i="69"/>
  <c r="F45" i="68"/>
  <c r="H11" i="40"/>
  <c r="J11" i="40"/>
  <c r="F11" i="40"/>
  <c r="H34" i="40"/>
  <c r="J34" i="40"/>
  <c r="F34" i="40"/>
  <c r="G101" i="43"/>
  <c r="J101" i="43"/>
  <c r="L101" i="43"/>
  <c r="G22" i="43"/>
  <c r="AH11" i="43"/>
  <c r="AH13" i="43" s="1"/>
  <c r="AD11" i="43"/>
  <c r="AD13" i="43" s="1"/>
  <c r="Z11" i="43"/>
  <c r="Z13" i="43" s="1"/>
  <c r="AI11" i="43"/>
  <c r="AI13" i="43" s="1"/>
  <c r="AE11" i="43"/>
  <c r="AE13" i="43" s="1"/>
  <c r="AA11" i="43"/>
  <c r="AA13" i="43" s="1"/>
  <c r="J22" i="43"/>
  <c r="K101" i="43"/>
  <c r="N101" i="43"/>
  <c r="H22" i="43"/>
  <c r="M101" i="43"/>
  <c r="E101" i="43"/>
  <c r="B113" i="43"/>
  <c r="C101" i="43"/>
  <c r="N104" i="46"/>
  <c r="H101" i="43"/>
  <c r="AJ11" i="43"/>
  <c r="AJ13" i="43" s="1"/>
  <c r="AF11" i="43"/>
  <c r="AF13" i="43" s="1"/>
  <c r="AB11" i="43"/>
  <c r="AB13" i="43" s="1"/>
  <c r="Z7" i="43"/>
  <c r="AG11" i="43"/>
  <c r="AG13" i="43" s="1"/>
  <c r="AC11" i="43"/>
  <c r="AC13" i="43" s="1"/>
  <c r="Y11" i="43"/>
  <c r="Y13" i="43" s="1"/>
  <c r="F22" i="43"/>
  <c r="F101" i="43"/>
  <c r="E22" i="43"/>
  <c r="D101" i="43"/>
  <c r="I101" i="43"/>
  <c r="J10" i="15"/>
  <c r="J5" i="15" s="1"/>
  <c r="J26" i="15" s="1"/>
  <c r="J5" i="67"/>
  <c r="J24" i="67" s="1"/>
  <c r="C47" i="68"/>
  <c r="D45" i="68" s="1"/>
  <c r="U10" i="40"/>
  <c r="F45" i="69"/>
  <c r="C47" i="69"/>
  <c r="D45" i="69" s="1"/>
  <c r="C29" i="69"/>
  <c r="D27" i="69" s="1"/>
  <c r="O7" i="1"/>
  <c r="M16" i="1"/>
  <c r="AQ6" i="1"/>
  <c r="AR6" i="1"/>
  <c r="T6" i="1"/>
  <c r="M20" i="6"/>
  <c r="I20" i="6" s="1"/>
  <c r="S20" i="6" s="1"/>
  <c r="S7" i="1"/>
  <c r="U10" i="39"/>
  <c r="M19" i="6"/>
  <c r="K27" i="6"/>
  <c r="W10" i="39"/>
  <c r="D17" i="12"/>
  <c r="C17" i="12" s="1"/>
  <c r="D10" i="11"/>
  <c r="C10" i="11" s="1"/>
  <c r="D10" i="69"/>
  <c r="D25" i="6"/>
  <c r="D15" i="6"/>
  <c r="D22" i="6"/>
  <c r="D21" i="6"/>
  <c r="D24" i="6"/>
  <c r="D20" i="6"/>
  <c r="D5" i="6"/>
  <c r="D12" i="6"/>
  <c r="D11" i="6"/>
  <c r="D13" i="6"/>
  <c r="D28" i="6"/>
  <c r="E61" i="40"/>
  <c r="H22" i="6"/>
  <c r="H21" i="6"/>
  <c r="H24" i="6"/>
  <c r="M19" i="9"/>
  <c r="C118" i="9" s="1"/>
  <c r="C14" i="74" s="1"/>
  <c r="B2" i="74" s="1"/>
  <c r="D19" i="6"/>
  <c r="D26" i="6"/>
  <c r="C18" i="4"/>
  <c r="D8" i="6"/>
  <c r="D23" i="6"/>
  <c r="D14" i="6"/>
  <c r="D6" i="6"/>
  <c r="D9" i="6"/>
  <c r="D10" i="6"/>
  <c r="L19" i="9"/>
  <c r="D29" i="6"/>
  <c r="H25" i="6"/>
  <c r="H23" i="6"/>
  <c r="H26" i="6"/>
  <c r="C20" i="11"/>
  <c r="G37" i="43"/>
  <c r="I37" i="43" s="1"/>
  <c r="AA10" i="40"/>
  <c r="W10" i="40"/>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53" i="67"/>
  <c r="C48" i="67" s="1"/>
  <c r="C10" i="67"/>
  <c r="C5" i="67" s="1"/>
  <c r="C53" i="15"/>
  <c r="C48" i="15" s="1"/>
  <c r="C10" i="15"/>
  <c r="C5" i="15" s="1"/>
  <c r="F25" i="12"/>
  <c r="F22" i="69"/>
  <c r="F41" i="69" s="1"/>
  <c r="F24" i="67"/>
  <c r="C24" i="67" s="1"/>
  <c r="F22" i="11"/>
  <c r="F22" i="68"/>
  <c r="F24" i="15"/>
  <c r="C24" i="15" s="1"/>
  <c r="C17" i="67"/>
  <c r="C17" i="15"/>
  <c r="D20" i="12"/>
  <c r="F41" i="15"/>
  <c r="C14" i="67"/>
  <c r="D10" i="68"/>
  <c r="G39" i="43" l="1"/>
  <c r="I39" i="43" s="1"/>
  <c r="E39" i="43"/>
  <c r="G34" i="43"/>
  <c r="I34" i="43" s="1"/>
  <c r="E34" i="43"/>
  <c r="E36" i="43"/>
  <c r="G36" i="43"/>
  <c r="I36" i="43" s="1"/>
  <c r="C20" i="12"/>
  <c r="C18" i="12" s="1"/>
  <c r="D22" i="43"/>
  <c r="J26" i="67"/>
  <c r="J29" i="67" s="1"/>
  <c r="I109" i="43"/>
  <c r="I107" i="43"/>
  <c r="I106" i="43"/>
  <c r="I103" i="43"/>
  <c r="I104" i="43"/>
  <c r="I105" i="43"/>
  <c r="I102" i="43"/>
  <c r="H103" i="43"/>
  <c r="H109" i="43"/>
  <c r="H105" i="43"/>
  <c r="H102" i="43"/>
  <c r="H104" i="43"/>
  <c r="H107" i="43"/>
  <c r="H106" i="43"/>
  <c r="C107" i="43"/>
  <c r="C109" i="43"/>
  <c r="C106" i="43"/>
  <c r="C102" i="43"/>
  <c r="C103" i="43"/>
  <c r="C104" i="43"/>
  <c r="C105" i="43"/>
  <c r="E102" i="43"/>
  <c r="E103" i="43"/>
  <c r="E105" i="43"/>
  <c r="E107" i="43"/>
  <c r="E106" i="43"/>
  <c r="E104" i="43"/>
  <c r="E109" i="43"/>
  <c r="K103" i="43"/>
  <c r="K105" i="43"/>
  <c r="K104" i="43"/>
  <c r="K109" i="43"/>
  <c r="K102" i="43"/>
  <c r="K107" i="43"/>
  <c r="K106" i="43"/>
  <c r="J107" i="43"/>
  <c r="J104" i="43"/>
  <c r="J103" i="43"/>
  <c r="J109" i="43"/>
  <c r="J102" i="43"/>
  <c r="J105" i="43"/>
  <c r="J106" i="43"/>
  <c r="AA34" i="40"/>
  <c r="S34" i="40"/>
  <c r="AB34" i="40"/>
  <c r="U34" i="40"/>
  <c r="W11" i="40"/>
  <c r="AC11" i="40"/>
  <c r="D105" i="43"/>
  <c r="D103" i="43"/>
  <c r="D104" i="43"/>
  <c r="D109" i="43"/>
  <c r="D106" i="43"/>
  <c r="D107" i="43"/>
  <c r="D102" i="43"/>
  <c r="F104" i="43"/>
  <c r="F105" i="43"/>
  <c r="F106" i="43"/>
  <c r="F109" i="43"/>
  <c r="F102" i="43"/>
  <c r="F107" i="43"/>
  <c r="F103"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M102" i="43"/>
  <c r="M103" i="43"/>
  <c r="M104" i="43"/>
  <c r="M109" i="43"/>
  <c r="M106" i="43"/>
  <c r="M107" i="43"/>
  <c r="M105" i="43"/>
  <c r="N105" i="43"/>
  <c r="N103" i="43"/>
  <c r="N107" i="43"/>
  <c r="N102" i="43"/>
  <c r="N104" i="43"/>
  <c r="N106" i="43"/>
  <c r="N109" i="43"/>
  <c r="L102" i="43"/>
  <c r="L104" i="43"/>
  <c r="L107" i="43"/>
  <c r="L109" i="43"/>
  <c r="L105" i="43"/>
  <c r="L106" i="43"/>
  <c r="L103" i="43"/>
  <c r="G104" i="43"/>
  <c r="G109" i="43"/>
  <c r="G102" i="43"/>
  <c r="G107" i="43"/>
  <c r="G106" i="43"/>
  <c r="G105" i="43"/>
  <c r="G103" i="43"/>
  <c r="AC34" i="40"/>
  <c r="W34" i="40"/>
  <c r="AA11" i="40"/>
  <c r="S11" i="40"/>
  <c r="AB11" i="40"/>
  <c r="U11" i="40"/>
  <c r="J24" i="15"/>
  <c r="F69" i="15"/>
  <c r="J29" i="15"/>
  <c r="C15" i="67"/>
  <c r="C18" i="67"/>
  <c r="S16" i="1"/>
  <c r="L16" i="1"/>
  <c r="N16" i="1"/>
  <c r="B21" i="1" s="1"/>
  <c r="P7" i="1"/>
  <c r="P16" i="1" s="1"/>
  <c r="O16" i="1"/>
  <c r="H20" i="6"/>
  <c r="R20" i="6" s="1"/>
  <c r="R7" i="1" s="1"/>
  <c r="AQ7" i="1"/>
  <c r="T7" i="1"/>
  <c r="AR7" i="1"/>
  <c r="T16" i="1"/>
  <c r="D16" i="6"/>
  <c r="D30" i="6"/>
  <c r="I19" i="6"/>
  <c r="M27" i="6"/>
  <c r="R23" i="6"/>
  <c r="A7" i="51"/>
  <c r="B7" i="72" s="1"/>
  <c r="C4" i="52"/>
  <c r="B45" i="72" s="1"/>
  <c r="A10" i="51"/>
  <c r="B9" i="72" s="1"/>
  <c r="D27" i="6"/>
  <c r="R21" i="6"/>
  <c r="C10" i="69"/>
  <c r="C8" i="69" s="1"/>
  <c r="C5" i="69" s="1"/>
  <c r="C23" i="69" s="1"/>
  <c r="D19" i="69"/>
  <c r="R26" i="6"/>
  <c r="D8" i="74"/>
  <c r="D7" i="74"/>
  <c r="R24" i="6"/>
  <c r="R22" i="6"/>
  <c r="R25" i="6"/>
  <c r="C10" i="68"/>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44" i="11"/>
  <c r="D41" i="11" s="1"/>
  <c r="C24" i="11"/>
  <c r="C38" i="67"/>
  <c r="C38" i="15"/>
  <c r="C66" i="67"/>
  <c r="C60" i="67"/>
  <c r="F35" i="67"/>
  <c r="C14" i="15"/>
  <c r="C11" i="12"/>
  <c r="M21" i="67"/>
  <c r="B23" i="1" l="1"/>
  <c r="B24" i="1"/>
  <c r="C29" i="68"/>
  <c r="D27" i="68" s="1"/>
  <c r="C29" i="11"/>
  <c r="D27" i="11" s="1"/>
  <c r="C28" i="11"/>
  <c r="C27" i="11" s="1"/>
  <c r="D31" i="6"/>
  <c r="I6" i="6" s="1"/>
  <c r="S7" i="43"/>
  <c r="T7" i="43" s="1"/>
  <c r="V7" i="43" s="1"/>
  <c r="S5" i="43"/>
  <c r="T5" i="43" s="1"/>
  <c r="V5" i="43" s="1"/>
  <c r="S2" i="43"/>
  <c r="T2" i="43" s="1"/>
  <c r="V2" i="43" s="1"/>
  <c r="S3" i="43"/>
  <c r="T3" i="43" s="1"/>
  <c r="V3" i="43" s="1"/>
  <c r="C23" i="43"/>
  <c r="C21" i="43" s="1"/>
  <c r="S6" i="43"/>
  <c r="T6" i="43" s="1"/>
  <c r="V6" i="43" s="1"/>
  <c r="S4" i="43"/>
  <c r="T4" i="43" s="1"/>
  <c r="V4" i="43" s="1"/>
  <c r="D113" i="43"/>
  <c r="C19" i="67"/>
  <c r="C20" i="67" s="1"/>
  <c r="C26" i="67" s="1"/>
  <c r="C15" i="15"/>
  <c r="C18" i="15"/>
  <c r="C34" i="67"/>
  <c r="F63" i="67"/>
  <c r="C62" i="67" s="1"/>
  <c r="J20" i="67"/>
  <c r="F50" i="68"/>
  <c r="F50" i="69"/>
  <c r="F50" i="11"/>
  <c r="C15" i="12"/>
  <c r="C12" i="12"/>
  <c r="I27" i="6"/>
  <c r="S19" i="6"/>
  <c r="S27" i="6" s="1"/>
  <c r="H19" i="6"/>
  <c r="I5" i="6"/>
  <c r="C19" i="68"/>
  <c r="D37" i="68"/>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F34" i="68"/>
  <c r="F11" i="12"/>
  <c r="C14" i="12" l="1"/>
  <c r="F34" i="11"/>
  <c r="M59" i="67"/>
  <c r="J53" i="67"/>
  <c r="M59" i="15"/>
  <c r="C29" i="12"/>
  <c r="D28" i="12" s="1"/>
  <c r="C26" i="12"/>
  <c r="D25" i="12" s="1"/>
  <c r="C37" i="68"/>
  <c r="C23" i="11"/>
  <c r="C25" i="11"/>
  <c r="C26" i="68"/>
  <c r="D22" i="68" s="1"/>
  <c r="C26" i="11"/>
  <c r="D22" i="11" s="1"/>
  <c r="C29" i="43"/>
  <c r="C23" i="67"/>
  <c r="C29" i="67" s="1"/>
  <c r="C33" i="67" s="1"/>
  <c r="C31" i="67" s="1"/>
  <c r="C16" i="12"/>
  <c r="C21" i="12" s="1"/>
  <c r="C22" i="12" s="1"/>
  <c r="C19" i="15"/>
  <c r="C20" i="15" s="1"/>
  <c r="C26" i="15" s="1"/>
  <c r="H27" i="6"/>
  <c r="R19" i="6"/>
  <c r="C39" i="69"/>
  <c r="C43" i="69" s="1"/>
  <c r="C42" i="69"/>
  <c r="C20" i="69"/>
  <c r="C24" i="68"/>
  <c r="D6" i="71"/>
  <c r="M20" i="43"/>
  <c r="K70" i="39"/>
  <c r="L68" i="39"/>
  <c r="I63" i="40"/>
  <c r="H65" i="40"/>
  <c r="I58" i="21"/>
  <c r="J58" i="21" s="1"/>
  <c r="K58" i="21" s="1"/>
  <c r="L58" i="21" s="1"/>
  <c r="M58" i="21" s="1"/>
  <c r="N58" i="21" s="1"/>
  <c r="O58" i="21" s="1"/>
  <c r="H7" i="21" s="1"/>
  <c r="J7" i="21"/>
  <c r="F7" i="21"/>
  <c r="J48" i="35"/>
  <c r="C34" i="68"/>
  <c r="C22" i="11" l="1"/>
  <c r="C31" i="11" s="1"/>
  <c r="C35" i="68"/>
  <c r="C38" i="68"/>
  <c r="C33" i="68" s="1"/>
  <c r="Q52" i="67"/>
  <c r="F1" i="67"/>
  <c r="C36" i="11"/>
  <c r="C37" i="11"/>
  <c r="C34" i="11"/>
  <c r="E29" i="43"/>
  <c r="C26" i="43" s="1"/>
  <c r="B2" i="43" s="1"/>
  <c r="B3" i="43" s="1"/>
  <c r="C30" i="43"/>
  <c r="E30" i="43" s="1"/>
  <c r="C27" i="43" s="1"/>
  <c r="J59" i="67"/>
  <c r="J60" i="67" s="1"/>
  <c r="Q48" i="67" s="1"/>
  <c r="C57" i="67"/>
  <c r="C61" i="67" s="1"/>
  <c r="C59" i="67" s="1"/>
  <c r="Q49" i="67"/>
  <c r="C13" i="67"/>
  <c r="J14" i="67"/>
  <c r="C36" i="67"/>
  <c r="J19" i="67"/>
  <c r="J17" i="67" s="1"/>
  <c r="Q70" i="67"/>
  <c r="C41" i="69"/>
  <c r="C23" i="15"/>
  <c r="C29" i="15" s="1"/>
  <c r="J59" i="15" s="1"/>
  <c r="J60" i="15" s="1"/>
  <c r="Q48" i="15" s="1"/>
  <c r="R27" i="6"/>
  <c r="R6" i="1"/>
  <c r="C46" i="69"/>
  <c r="C45" i="69" s="1"/>
  <c r="C28" i="69"/>
  <c r="C27" i="69" s="1"/>
  <c r="C25" i="69"/>
  <c r="C22" i="69" s="1"/>
  <c r="L70" i="39"/>
  <c r="M68" i="39"/>
  <c r="U7" i="21"/>
  <c r="AB7" i="21"/>
  <c r="T48" i="21" s="1"/>
  <c r="G48" i="21" s="1"/>
  <c r="S7" i="21"/>
  <c r="AA7" i="21"/>
  <c r="R48" i="21" s="1"/>
  <c r="J63" i="40"/>
  <c r="I65" i="40"/>
  <c r="K48" i="35"/>
  <c r="L48" i="35" s="1"/>
  <c r="M48" i="35" s="1"/>
  <c r="N48" i="35" s="1"/>
  <c r="O48" i="35" s="1"/>
  <c r="H7" i="35" s="1"/>
  <c r="J7" i="35"/>
  <c r="AC7" i="21"/>
  <c r="V48" i="21" s="1"/>
  <c r="I48" i="21" s="1"/>
  <c r="W7" i="21"/>
  <c r="F35" i="15"/>
  <c r="B6" i="76"/>
  <c r="M21" i="15"/>
  <c r="E6" i="76"/>
  <c r="C39" i="68" l="1"/>
  <c r="C43" i="68" s="1"/>
  <c r="C42" i="68"/>
  <c r="C35" i="11"/>
  <c r="C38" i="11"/>
  <c r="C33" i="11"/>
  <c r="B2" i="76"/>
  <c r="C64" i="67"/>
  <c r="E2" i="76"/>
  <c r="B3" i="76" s="1"/>
  <c r="C75" i="67"/>
  <c r="C56" i="67"/>
  <c r="C65" i="67" s="1"/>
  <c r="C37" i="67"/>
  <c r="C30" i="67" s="1"/>
  <c r="C39" i="67" s="1"/>
  <c r="Q69" i="67" s="1"/>
  <c r="Q68" i="67" s="1"/>
  <c r="J13" i="67"/>
  <c r="J23" i="67" s="1"/>
  <c r="J22" i="67"/>
  <c r="C31" i="69"/>
  <c r="J20" i="15"/>
  <c r="F63" i="15"/>
  <c r="C62" i="15" s="1"/>
  <c r="C34" i="15"/>
  <c r="R16" i="1"/>
  <c r="C49" i="69"/>
  <c r="C51" i="69" s="1"/>
  <c r="C41" i="68"/>
  <c r="J14" i="15"/>
  <c r="C36" i="15"/>
  <c r="C13" i="15"/>
  <c r="J19" i="15"/>
  <c r="C57" i="15"/>
  <c r="C33" i="15"/>
  <c r="Q49" i="15"/>
  <c r="M70" i="39"/>
  <c r="N68" i="39"/>
  <c r="W7" i="35"/>
  <c r="AC7" i="35"/>
  <c r="V38" i="35" s="1"/>
  <c r="I38" i="35" s="1"/>
  <c r="J65" i="40"/>
  <c r="K63" i="40"/>
  <c r="I52" i="21"/>
  <c r="J52" i="21" s="1"/>
  <c r="U7" i="35"/>
  <c r="AB7" i="35"/>
  <c r="T38" i="35" s="1"/>
  <c r="G38" i="35" s="1"/>
  <c r="R49" i="21"/>
  <c r="E48" i="21"/>
  <c r="G52" i="21"/>
  <c r="H52" i="21" s="1"/>
  <c r="G53" i="21"/>
  <c r="H53" i="21" s="1"/>
  <c r="F7" i="35"/>
  <c r="L51" i="67"/>
  <c r="C46" i="68" l="1"/>
  <c r="C45" i="68" s="1"/>
  <c r="C49" i="68" s="1"/>
  <c r="C51" i="68" s="1"/>
  <c r="C39" i="11"/>
  <c r="C42" i="11"/>
  <c r="C46" i="11"/>
  <c r="C45" i="11" s="1"/>
  <c r="C58" i="67"/>
  <c r="C67" i="67" s="1"/>
  <c r="C68" i="67" s="1"/>
  <c r="C71" i="67" s="1"/>
  <c r="C80" i="67"/>
  <c r="C79" i="67" s="1"/>
  <c r="C31" i="15"/>
  <c r="J17" i="15"/>
  <c r="J16" i="67"/>
  <c r="J25" i="67" s="1"/>
  <c r="L57" i="67"/>
  <c r="L60" i="67" s="1"/>
  <c r="L46" i="67" s="1"/>
  <c r="Q67" i="67"/>
  <c r="C40" i="67"/>
  <c r="C52" i="69"/>
  <c r="B2" i="69" s="1"/>
  <c r="B3" i="69" s="1"/>
  <c r="C61" i="15"/>
  <c r="C59" i="15" s="1"/>
  <c r="C64" i="15"/>
  <c r="C56" i="15"/>
  <c r="C65" i="15" s="1"/>
  <c r="C37" i="15"/>
  <c r="Q70" i="15"/>
  <c r="C75" i="15"/>
  <c r="J22" i="15"/>
  <c r="J13" i="15"/>
  <c r="J23" i="1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C43" i="11" l="1"/>
  <c r="C41" i="11" s="1"/>
  <c r="C49" i="11" s="1"/>
  <c r="C51" i="11" s="1"/>
  <c r="C30" i="15"/>
  <c r="C39" i="15" s="1"/>
  <c r="Q57" i="67"/>
  <c r="D2" i="67"/>
  <c r="Q66" i="67"/>
  <c r="C43" i="67"/>
  <c r="Q47" i="67"/>
  <c r="Q53" i="67" s="1"/>
  <c r="Q65" i="67"/>
  <c r="C45" i="67"/>
  <c r="C46" i="67" s="1"/>
  <c r="Q56" i="67"/>
  <c r="C83" i="67"/>
  <c r="C82" i="67" s="1"/>
  <c r="C57" i="69"/>
  <c r="C56" i="69" s="1"/>
  <c r="J16" i="15"/>
  <c r="J25" i="15" s="1"/>
  <c r="C58" i="15"/>
  <c r="C67" i="15" s="1"/>
  <c r="C68" i="15" s="1"/>
  <c r="C71" i="15" s="1"/>
  <c r="L57" i="15"/>
  <c r="L60" i="15" s="1"/>
  <c r="C40" i="15"/>
  <c r="H7" i="39"/>
  <c r="J7" i="39"/>
  <c r="AA7" i="39"/>
  <c r="R47" i="39" s="1"/>
  <c r="S7" i="39"/>
  <c r="R39" i="35"/>
  <c r="E38" i="35"/>
  <c r="M63" i="40"/>
  <c r="L65" i="40"/>
  <c r="L51" i="15"/>
  <c r="C52" i="11" l="1"/>
  <c r="B2" i="11" s="1"/>
  <c r="B3" i="11" s="1"/>
  <c r="Q67" i="15"/>
  <c r="Q69" i="15"/>
  <c r="Q68" i="15" s="1"/>
  <c r="C80" i="15"/>
  <c r="C79" i="15" s="1"/>
  <c r="Q62" i="67"/>
  <c r="B2" i="67"/>
  <c r="B3" i="67"/>
  <c r="Q75" i="67"/>
  <c r="C43" i="15"/>
  <c r="Q65" i="15"/>
  <c r="Q47" i="15"/>
  <c r="Q53" i="15" s="1"/>
  <c r="Q56" i="15"/>
  <c r="C83" i="15"/>
  <c r="C82" i="15" s="1"/>
  <c r="L46" i="15"/>
  <c r="B2" i="15" s="1"/>
  <c r="C8" i="12" s="1"/>
  <c r="C4" i="12" s="1"/>
  <c r="Q57" i="15"/>
  <c r="Q66" i="15"/>
  <c r="Q75" i="15" s="1"/>
  <c r="C46" i="15"/>
  <c r="E47" i="39"/>
  <c r="R48" i="39"/>
  <c r="W7" i="39"/>
  <c r="AC7" i="39"/>
  <c r="V47" i="39" s="1"/>
  <c r="I47" i="39" s="1"/>
  <c r="U7" i="39"/>
  <c r="AB7" i="39"/>
  <c r="T47" i="39" s="1"/>
  <c r="G47" i="39" s="1"/>
  <c r="C39" i="35"/>
  <c r="B2" i="35" s="1"/>
  <c r="B3" i="35" s="1"/>
  <c r="C38" i="35"/>
  <c r="N63" i="40"/>
  <c r="M65" i="40"/>
  <c r="E43" i="35"/>
  <c r="F43" i="35" s="1"/>
  <c r="E42" i="35"/>
  <c r="F42" i="35" s="1"/>
  <c r="I43" i="35"/>
  <c r="J43" i="35" s="1"/>
  <c r="AO6" i="1"/>
  <c r="C56" i="11" l="1"/>
  <c r="C57" i="11" s="1"/>
  <c r="C23" i="12"/>
  <c r="C31" i="12"/>
  <c r="B6" i="70"/>
  <c r="B2" i="70" s="1"/>
  <c r="B3" i="70" s="1"/>
  <c r="B3" i="15"/>
  <c r="C6" i="12" s="1"/>
  <c r="Q62" i="15"/>
  <c r="E52" i="39"/>
  <c r="F52" i="39" s="1"/>
  <c r="E51" i="39"/>
  <c r="F51" i="39" s="1"/>
  <c r="G51" i="39"/>
  <c r="H51" i="39" s="1"/>
  <c r="G52" i="39"/>
  <c r="H52" i="39" s="1"/>
  <c r="I51" i="39"/>
  <c r="J51" i="39" s="1"/>
  <c r="I52" i="39"/>
  <c r="J52" i="39" s="1"/>
  <c r="C48" i="39"/>
  <c r="C47" i="39"/>
  <c r="O63" i="40"/>
  <c r="O65" i="40" s="1"/>
  <c r="N65" i="40"/>
  <c r="C27" i="12" l="1"/>
  <c r="C25" i="12" s="1"/>
  <c r="C30" i="12"/>
  <c r="C28" i="12"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2" i="12" l="1"/>
  <c r="B2" i="12" s="1"/>
  <c r="U7" i="40"/>
  <c r="AB7" i="40"/>
  <c r="T42" i="40" s="1"/>
  <c r="G42" i="40" s="1"/>
  <c r="AA7" i="40"/>
  <c r="R42" i="40" s="1"/>
  <c r="S7" i="40"/>
  <c r="AC7" i="40"/>
  <c r="V42" i="40" s="1"/>
  <c r="I42" i="40" s="1"/>
  <c r="W7" i="40"/>
  <c r="D19" i="9"/>
  <c r="B3" i="12"/>
  <c r="D102" i="9" l="1"/>
  <c r="D21" i="9"/>
  <c r="I46" i="40"/>
  <c r="J46" i="40" s="1"/>
  <c r="R43" i="40"/>
  <c r="E42" i="40"/>
  <c r="G47" i="40"/>
  <c r="H47" i="40" s="1"/>
  <c r="G46" i="40"/>
  <c r="H46" i="40" s="1"/>
  <c r="D20" i="9"/>
  <c r="D103" i="9" l="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s="1"/>
  <c r="B2" i="40" s="1"/>
  <c r="B3" i="40" l="1"/>
  <c r="C7" i="68"/>
  <c r="C5" i="68" s="1"/>
  <c r="C23" i="68" l="1"/>
  <c r="C20" i="68"/>
  <c r="C25" i="68" s="1"/>
  <c r="C28" i="68" l="1"/>
  <c r="C27" i="68" s="1"/>
  <c r="C22" i="68"/>
  <c r="C31" i="68" l="1"/>
  <c r="C52" i="68" s="1"/>
  <c r="B2" i="68" s="1"/>
  <c r="C19" i="9"/>
  <c r="C57" i="68" l="1"/>
  <c r="C56" i="68" s="1"/>
  <c r="C102" i="9"/>
  <c r="C21" i="9"/>
  <c r="G19" i="9"/>
  <c r="G21" i="9" s="1"/>
  <c r="D22" i="9"/>
  <c r="B3" i="68"/>
  <c r="C20" i="9"/>
  <c r="D35" i="9"/>
  <c r="D34" i="9"/>
  <c r="G20" i="9" l="1"/>
  <c r="C32" i="9" s="1"/>
  <c r="C35" i="9" s="1"/>
  <c r="C34" i="9" s="1"/>
  <c r="D118" i="9" s="1"/>
  <c r="D4" i="52" s="1"/>
  <c r="B47" i="72" s="1"/>
  <c r="C103" i="9"/>
  <c r="H118" i="9" l="1"/>
  <c r="C104" i="9" s="1"/>
  <c r="F118" i="9"/>
  <c r="F119" i="9" s="1"/>
  <c r="F5" i="52" s="1"/>
  <c r="B53" i="72" s="1"/>
  <c r="H101" i="9"/>
  <c r="I118" i="9"/>
  <c r="D119" i="9"/>
  <c r="D5" i="52" s="1"/>
  <c r="B49" i="72" s="1"/>
  <c r="F4" i="52"/>
  <c r="B51" i="72" s="1"/>
  <c r="H4" i="52"/>
  <c r="H119" i="9"/>
  <c r="H5" i="52" s="1"/>
  <c r="D14" i="74"/>
  <c r="G118" i="9" l="1"/>
  <c r="G4" i="52" s="1"/>
  <c r="B52" i="72" s="1"/>
  <c r="F14" i="74"/>
  <c r="B5" i="74"/>
  <c r="E14" i="74"/>
  <c r="C105" i="9"/>
  <c r="H102" i="9"/>
  <c r="D7" i="53" s="1"/>
  <c r="B21" i="72" s="1"/>
  <c r="I4" i="52"/>
  <c r="E118" i="9"/>
  <c r="E4" i="52" s="1"/>
  <c r="B48" i="72" s="1"/>
  <c r="M48" i="9"/>
  <c r="D5" i="53"/>
  <c r="H107" i="9"/>
  <c r="D45" i="9"/>
  <c r="D53" i="9" l="1"/>
  <c r="C78" i="9"/>
  <c r="C73" i="9" s="1"/>
  <c r="C85" i="9"/>
  <c r="D52" i="9"/>
  <c r="D55" i="9"/>
  <c r="M53" i="9" s="1"/>
  <c r="C93" i="9"/>
  <c r="C86" i="9" s="1"/>
  <c r="C72" i="9"/>
  <c r="C79" i="9" s="1"/>
  <c r="C64" i="9"/>
  <c r="C63" i="9" s="1"/>
  <c r="C67" i="9" s="1"/>
  <c r="D6" i="53"/>
  <c r="B22" i="72" s="1"/>
  <c r="B20" i="72"/>
  <c r="D13" i="53"/>
  <c r="H108" i="9"/>
  <c r="D15" i="53" s="1"/>
  <c r="B31" i="72" s="1"/>
  <c r="D122" i="9"/>
  <c r="M49" i="9"/>
  <c r="C5" i="74"/>
  <c r="D5" i="74"/>
  <c r="C95" i="9" l="1"/>
  <c r="C80" i="9"/>
  <c r="E80" i="9" s="1"/>
  <c r="E81" i="9" s="1"/>
  <c r="L67" i="9"/>
  <c r="M67" i="9" s="1"/>
  <c r="L65" i="9"/>
  <c r="M65" i="9" s="1"/>
  <c r="L68" i="9"/>
  <c r="M68" i="9" s="1"/>
  <c r="L64" i="9"/>
  <c r="M64" i="9" s="1"/>
  <c r="L66" i="9"/>
  <c r="M66" i="9" s="1"/>
  <c r="L63" i="9"/>
  <c r="M63" i="9" s="1"/>
  <c r="D59" i="9"/>
  <c r="M55" i="9" s="1"/>
  <c r="C68" i="9"/>
  <c r="D54" i="9" s="1"/>
  <c r="D8" i="52"/>
  <c r="G14" i="74"/>
  <c r="B6" i="74" s="1"/>
  <c r="D123" i="9"/>
  <c r="D9" i="52" s="1"/>
  <c r="B30" i="72"/>
  <c r="D14" i="53"/>
  <c r="B32" i="72" s="1"/>
  <c r="C96" i="9"/>
  <c r="E96" i="9" s="1"/>
  <c r="E97" i="9" s="1"/>
  <c r="C81" i="9" l="1"/>
  <c r="C97" i="9"/>
  <c r="D58" i="9" s="1"/>
  <c r="D56" i="9" s="1"/>
  <c r="M54" i="9" s="1"/>
  <c r="N57" i="9" s="1"/>
  <c r="D6" i="74"/>
  <c r="C6" i="74"/>
  <c r="M69" i="9"/>
  <c r="N69"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<sst xmlns="http://schemas.openxmlformats.org/spreadsheetml/2006/main" count="7924" uniqueCount="3325">
  <si>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</si>
  <si>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</si>
  <si>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</si>
  <si>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</si>
  <si>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</si>
  <si>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</si>
  <si>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</si>
  <si>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</si>
  <si>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</si>
  <si>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</si>
  <si>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</si>
  <si>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</si>
  <si>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</si>
  <si>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</si>
  <si>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</si>
  <si>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</si>
  <si>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</si>
  <si>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</si>
  <si>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</si>
  <si>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</si>
  <si>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</si>
  <si>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</si>
  <si>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</si>
  <si>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</si>
  <si>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</si>
  <si>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</si>
  <si>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</si>
  <si>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</si>
  <si>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</si>
  <si>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</si>
  <si>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</si>
  <si>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</si>
  <si>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</si>
  <si>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</si>
  <si>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</si>
  <si>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</si>
  <si>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</si>
  <si>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</si>
  <si>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</si>
  <si>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</si>
  <si>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</si>
  <si>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</si>
  <si>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</si>
  <si>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</si>
  <si>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</si>
  <si>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</si>
  <si>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</si>
  <si>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</si>
  <si>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</si>
  <si>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</si>
  <si>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</si>
  <si>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</si>
  <si>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</si>
  <si>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</si>
  <si>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</si>
  <si>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</si>
  <si>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</si>
  <si>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</si>
  <si>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</si>
  <si>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</si>
  <si>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</si>
  <si>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</si>
  <si>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</si>
  <si>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</si>
  <si>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</si>
  <si>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</si>
  <si>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</si>
  <si>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</si>
  <si>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</si>
  <si>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</si>
  <si>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</si>
  <si>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</si>
  <si>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</si>
  <si>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</si>
  <si>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</si>
  <si>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</si>
  <si>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</si>
  <si>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</si>
  <si>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</si>
  <si>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</si>
  <si>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</si>
  <si>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</si>
  <si>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</si>
  <si>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</si>
  <si>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</si>
  <si>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</si>
  <si>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</si>
  <si>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</si>
  <si>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</si>
  <si>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</si>
  <si>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</si>
  <si>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</si>
  <si>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</si>
  <si>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</si>
  <si>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</si>
  <si>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</si>
  <si>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</si>
  <si>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</si>
  <si>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</si>
  <si>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</si>
  <si>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</si>
  <si>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</si>
  <si>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</si>
  <si>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</si>
  <si>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</si>
  <si>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</si>
  <si>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</si>
  <si>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</si>
  <si>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</si>
  <si>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</si>
  <si>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</si>
  <si>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</si>
  <si>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</si>
  <si>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</si>
  <si>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</si>
  <si>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</si>
  <si>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</si>
  <si>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</si>
  <si>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</si>
  <si>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</si>
  <si>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</si>
  <si>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</si>
  <si>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</si>
  <si>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</si>
  <si>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</si>
  <si>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</si>
  <si>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</si>
  <si>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</si>
  <si>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</si>
  <si>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</si>
  <si>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</si>
  <si>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</si>
  <si>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</si>
  <si>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</si>
  <si>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</si>
  <si>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</si>
  <si>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</si>
  <si>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</si>
  <si>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</si>
  <si>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</si>
  <si>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</si>
  <si>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</si>
  <si>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</si>
  <si>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</si>
  <si>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</si>
  <si>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</si>
  <si>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</si>
  <si>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</si>
  <si>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</si>
  <si>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</si>
  <si>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</si>
  <si>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</si>
  <si>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</si>
  <si>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</si>
  <si>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</si>
  <si>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</si>
  <si>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</si>
  <si>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</si>
  <si>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</si>
  <si>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</si>
  <si>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</si>
  <si>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</si>
  <si>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</si>
  <si>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</si>
  <si>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</si>
  <si>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</si>
  <si>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</si>
  <si>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</si>
  <si>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</si>
  <si>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</si>
  <si>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</si>
  <si>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</si>
  <si>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</si>
  <si>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</si>
  <si>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</si>
  <si>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</si>
  <si>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</si>
  <si>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</si>
  <si>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</si>
  <si>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</si>
  <si>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</si>
  <si>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</si>
  <si>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</si>
  <si>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</si>
  <si>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</si>
  <si>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</si>
  <si>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</si>
  <si>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</si>
  <si>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</si>
  <si>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</si>
  <si>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</si>
  <si>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</si>
  <si>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</si>
  <si>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</si>
  <si>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</si>
  <si>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</si>
  <si>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</si>
  <si>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</si>
  <si>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</si>
  <si>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</si>
  <si>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</si>
  <si>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</si>
  <si>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</si>
  <si>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</si>
  <si>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</si>
  <si>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</si>
  <si>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</si>
  <si>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</si>
  <si>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</si>
  <si>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</si>
  <si>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</si>
  <si>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</si>
  <si>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</si>
  <si>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</si>
  <si>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</si>
  <si>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</si>
  <si>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</si>
  <si>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</si>
  <si>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</si>
  <si>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</si>
  <si>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</si>
  <si>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</si>
  <si>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</si>
  <si>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</si>
  <si>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</si>
  <si>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</si>
  <si>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</si>
  <si>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</si>
  <si>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</si>
  <si>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</si>
  <si>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</si>
  <si>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</si>
  <si>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</si>
  <si>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</si>
  <si>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</si>
  <si>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</si>
  <si>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</si>
  <si>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</si>
  <si>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</si>
  <si>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</si>
  <si>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</si>
  <si>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</si>
  <si>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</si>
  <si>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</si>
  <si>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</si>
  <si>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</si>
  <si>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</si>
  <si>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</si>
  <si>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</si>
  <si>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</si>
  <si>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</si>
  <si>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</si>
  <si>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</si>
  <si>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</si>
  <si>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</si>
  <si>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</si>
  <si>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</si>
  <si>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</si>
  <si>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</si>
  <si>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</si>
  <si>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</si>
  <si>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</si>
  <si>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</si>
  <si>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</si>
  <si>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</si>
  <si>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</si>
  <si>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</si>
  <si>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</si>
  <si>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</si>
  <si>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</si>
  <si>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</si>
  <si>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</si>
  <si>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</si>
  <si>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</si>
  <si>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</si>
  <si>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</si>
  <si>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</si>
  <si>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</si>
  <si>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</si>
  <si>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</si>
  <si>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</si>
  <si>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</si>
  <si>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</si>
  <si>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</si>
  <si>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</si>
  <si>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</si>
  <si>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</si>
  <si>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</si>
  <si>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</si>
  <si>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</si>
  <si>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</si>
  <si>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</si>
  <si>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</si>
  <si>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</si>
  <si>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</si>
  <si>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</si>
  <si>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</si>
  <si>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</si>
  <si>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</si>
  <si>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</si>
  <si>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</si>
  <si>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</si>
  <si>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</si>
  <si>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</si>
  <si>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</si>
  <si>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</si>
  <si>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</si>
  <si>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</si>
  <si>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</si>
  <si>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</si>
  <si>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</si>
  <si>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</si>
  <si>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</si>
  <si>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</si>
  <si>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</si>
  <si>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</si>
  <si>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</si>
  <si>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</si>
  <si>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</si>
  <si>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</si>
  <si>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</si>
  <si>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</si>
  <si>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</si>
  <si>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</si>
  <si>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</si>
  <si>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</si>
  <si>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</si>
  <si>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</si>
  <si>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</si>
  <si>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</si>
  <si>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</si>
  <si>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</si>
  <si>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</si>
  <si>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</si>
  <si>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</si>
  <si>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</si>
  <si>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</si>
  <si>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</si>
  <si>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</si>
  <si>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</si>
  <si>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</si>
  <si>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</si>
  <si>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</si>
  <si>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</si>
  <si>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</si>
  <si>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</si>
  <si>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</si>
  <si>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</si>
  <si>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</si>
  <si>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</si>
  <si>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</si>
  <si>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</si>
  <si>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</si>
  <si>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</si>
  <si>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</si>
  <si>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</si>
  <si>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</si>
  <si>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</si>
  <si>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</si>
  <si>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</si>
  <si>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</si>
  <si>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</si>
  <si>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</si>
  <si>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</si>
  <si>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</si>
  <si>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</si>
  <si>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</si>
  <si>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</si>
  <si>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</si>
  <si>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</si>
  <si>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</si>
  <si>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</si>
  <si>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</si>
  <si>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</si>
  <si>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</si>
  <si>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</si>
  <si>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</si>
  <si>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</si>
  <si>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</si>
  <si>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</si>
  <si>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</si>
  <si>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</si>
  <si>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</si>
  <si>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</si>
  <si>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</si>
  <si>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</si>
  <si>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</si>
  <si>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</si>
  <si>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</si>
  <si>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</si>
  <si>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</si>
  <si>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</si>
  <si>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</si>
  <si>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</si>
  <si>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</si>
  <si>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</si>
  <si>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</si>
  <si>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</si>
  <si>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</si>
  <si>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</si>
  <si>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</si>
  <si>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</si>
  <si>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</si>
  <si>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</si>
  <si>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</si>
  <si>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</si>
  <si>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</si>
  <si>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</si>
  <si>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</si>
  <si>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</si>
  <si>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</si>
  <si>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</si>
  <si>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</si>
  <si>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</si>
  <si>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</si>
  <si>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</si>
  <si>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</si>
  <si>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</si>
  <si>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</si>
  <si>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</si>
  <si>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</si>
  <si>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</si>
  <si>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</si>
  <si>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</si>
  <si>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</si>
  <si>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</si>
  <si>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</si>
  <si>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</si>
  <si>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</si>
  <si>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</si>
  <si>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</si>
  <si>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</si>
  <si>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</si>
  <si>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</si>
  <si>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</si>
  <si>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</si>
  <si>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</si>
  <si>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</si>
  <si>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</si>
  <si>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</si>
  <si>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</si>
  <si>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</si>
  <si>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</si>
  <si>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</si>
  <si>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</si>
  <si>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</si>
  <si>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</si>
  <si>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</si>
  <si>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</si>
  <si>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</si>
  <si>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</si>
  <si>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</si>
  <si>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</si>
  <si>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</si>
  <si>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</si>
  <si>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</si>
  <si>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</si>
  <si>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</si>
  <si>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</si>
  <si>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</si>
  <si>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</si>
  <si>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</si>
  <si>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</si>
  <si>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</si>
  <si>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</si>
  <si>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</si>
  <si>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</si>
  <si>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</si>
  <si>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</si>
  <si>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</si>
  <si>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</si>
  <si>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</si>
  <si>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</si>
  <si>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</si>
  <si>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</si>
  <si>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</si>
  <si>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</si>
  <si>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</si>
  <si>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</si>
  <si>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</si>
  <si>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</si>
  <si>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</si>
  <si>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</si>
  <si>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</si>
  <si>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</si>
  <si>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</si>
  <si>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</si>
  <si>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</si>
  <si>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</si>
  <si>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</si>
  <si>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</si>
  <si>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</si>
  <si>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</si>
  <si>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</si>
  <si>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</si>
  <si>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</si>
  <si>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</si>
  <si>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</si>
  <si>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</si>
  <si>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</si>
  <si>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</si>
  <si>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</si>
  <si>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</si>
  <si>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</si>
  <si>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</si>
  <si>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</si>
  <si>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</si>
  <si>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</si>
  <si>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</si>
  <si>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</si>
  <si>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</si>
  <si>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</si>
  <si>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</si>
  <si>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</si>
  <si>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</si>
  <si>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</si>
  <si>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</si>
  <si>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</si>
  <si>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</si>
  <si>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</si>
  <si>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</si>
  <si>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</si>
  <si>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</si>
  <si>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</si>
  <si>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</si>
  <si>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</si>
  <si>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</si>
  <si>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</si>
  <si>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</si>
  <si>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</si>
  <si>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</si>
  <si>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</si>
  <si>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</si>
  <si>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</si>
  <si>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</si>
  <si>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</si>
  <si>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</si>
  <si>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</si>
  <si>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</si>
  <si>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</si>
  <si>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</si>
  <si>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</si>
  <si>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</si>
  <si>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</si>
  <si>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</si>
  <si>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</si>
  <si>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</si>
  <si>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</si>
  <si>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</si>
  <si>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</si>
  <si>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</si>
  <si>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</si>
  <si>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</si>
  <si>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</si>
  <si>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</si>
  <si>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</si>
  <si>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</si>
  <si>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</si>
  <si>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</si>
  <si>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</si>
  <si>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</si>
  <si>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</si>
  <si>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</si>
  <si>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</si>
  <si>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</si>
  <si>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</si>
  <si>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</si>
  <si>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</si>
  <si>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</si>
  <si>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</si>
  <si>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</si>
  <si>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</si>
  <si>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</si>
  <si>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</si>
  <si>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</si>
  <si>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</si>
  <si>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</si>
  <si>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</si>
  <si>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</si>
  <si>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</si>
  <si>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</si>
  <si>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</si>
  <si>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</si>
  <si>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</si>
  <si>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</si>
  <si>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</si>
  <si>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</si>
  <si>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</si>
  <si>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</si>
  <si>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</si>
  <si>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</si>
  <si>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</si>
  <si>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</si>
  <si>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</si>
  <si>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</si>
  <si>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</si>
  <si>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</si>
  <si>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</si>
  <si>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</si>
  <si>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</si>
  <si>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</si>
  <si>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</si>
  <si>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</si>
  <si>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</si>
  <si>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</si>
  <si>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</si>
  <si>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</si>
  <si>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</si>
  <si>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</si>
  <si>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</si>
  <si>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</si>
  <si>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</si>
  <si>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</si>
  <si>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</si>
  <si>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</si>
  <si>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</si>
  <si>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</si>
  <si>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</si>
  <si>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</si>
  <si>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</si>
  <si>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</si>
  <si>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</si>
  <si>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</si>
  <si>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</si>
  <si>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</si>
  <si>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</si>
  <si>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</si>
  <si>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</si>
  <si>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</si>
  <si>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</si>
  <si>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</si>
  <si>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</si>
  <si>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</si>
  <si>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</si>
  <si>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</si>
  <si>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</si>
  <si>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</si>
  <si>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</si>
  <si>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</si>
  <si>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</si>
  <si>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</si>
  <si>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</si>
  <si>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</si>
  <si>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</si>
  <si>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</si>
  <si>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</si>
  <si>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</si>
  <si>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</si>
  <si>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</si>
  <si>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</si>
  <si>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</si>
  <si>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</si>
  <si>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</si>
  <si>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</si>
  <si>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</si>
  <si>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</si>
  <si>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</si>
  <si>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</si>
  <si>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</si>
  <si>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</si>
  <si>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</si>
  <si>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</si>
  <si>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</si>
  <si>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</si>
  <si>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</si>
  <si>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</si>
  <si>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</si>
  <si>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</si>
  <si>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</si>
  <si>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</si>
  <si>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</si>
  <si>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</si>
  <si>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</si>
  <si>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</si>
  <si>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</si>
  <si>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</si>
  <si>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</si>
  <si>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</si>
  <si>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</si>
  <si>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</si>
  <si>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</si>
  <si>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</si>
  <si>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</si>
  <si>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</si>
  <si>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</si>
  <si>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</si>
  <si>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</si>
  <si>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</si>
  <si>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</si>
  <si>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</si>
  <si>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</si>
  <si>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</si>
  <si>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</si>
  <si>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</si>
  <si>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</si>
  <si>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</si>
  <si>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</si>
  <si>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</si>
  <si>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</si>
  <si>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</si>
  <si>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</si>
  <si>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</si>
  <si>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</si>
  <si>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</si>
  <si>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</si>
  <si>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</si>
  <si>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</si>
  <si>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</si>
  <si>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</si>
  <si>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</si>
  <si>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</si>
  <si>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</si>
  <si>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</si>
  <si>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</si>
  <si>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</si>
  <si>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</si>
  <si>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</si>
  <si>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</si>
  <si>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</si>
  <si>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</si>
  <si>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</si>
  <si>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</si>
  <si>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</si>
  <si>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</si>
  <si>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</si>
  <si>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</si>
  <si>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</si>
  <si>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</si>
  <si>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</si>
  <si>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</si>
  <si>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</si>
  <si>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</si>
  <si>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</si>
  <si>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</si>
  <si>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</si>
  <si>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</si>
  <si>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</si>
  <si>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</si>
  <si>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</si>
  <si>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</si>
  <si>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</si>
  <si>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</si>
  <si>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</si>
  <si>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</si>
  <si>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</si>
  <si>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</si>
  <si>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</si>
  <si>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</si>
  <si>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</si>
  <si>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</si>
  <si>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</si>
  <si>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</si>
  <si>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</si>
  <si>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</si>
  <si>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</si>
  <si>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</si>
  <si>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</si>
  <si>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</si>
  <si>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</si>
  <si>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</si>
  <si>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</si>
  <si>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</si>
  <si>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</si>
  <si>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</si>
  <si>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</si>
  <si>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</si>
  <si>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</si>
  <si>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</si>
  <si>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</si>
  <si>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</si>
  <si>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</si>
  <si>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</si>
  <si>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</si>
  <si>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</si>
  <si>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</si>
  <si>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</si>
  <si>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</si>
  <si>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</si>
  <si>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</si>
  <si>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</si>
  <si>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</si>
  <si>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</si>
  <si>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</si>
  <si>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</si>
  <si>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</si>
  <si>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</si>
  <si>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</si>
  <si>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</si>
  <si>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</si>
  <si>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</si>
  <si>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</si>
  <si>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</si>
  <si>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</si>
  <si>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</si>
  <si>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</si>
  <si>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</si>
  <si>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</si>
  <si>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</si>
  <si>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</si>
  <si>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</si>
  <si>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</si>
  <si>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</si>
  <si>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</si>
  <si>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</si>
  <si>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</si>
  <si>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</si>
  <si>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</si>
  <si>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</si>
  <si>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</si>
  <si>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</si>
  <si>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</si>
  <si>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</si>
  <si>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</si>
  <si>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</si>
  <si>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</si>
  <si>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</si>
  <si>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</si>
  <si>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</si>
  <si>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</si>
  <si>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</si>
  <si>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</si>
  <si>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</si>
  <si>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</si>
  <si>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</si>
  <si>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</si>
  <si>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</si>
  <si>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</si>
  <si>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</si>
  <si>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</si>
  <si>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</si>
  <si>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</si>
  <si>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</si>
  <si>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</si>
  <si>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</si>
  <si>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</si>
  <si>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</si>
  <si>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</si>
  <si>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</si>
  <si>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</si>
  <si>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</si>
  <si>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</si>
  <si>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</si>
  <si>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</si>
  <si>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</si>
  <si>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</si>
  <si>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</si>
  <si>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</si>
  <si>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</si>
  <si>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</si>
  <si>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</si>
  <si>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</si>
  <si>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</si>
  <si>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</si>
  <si>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</si>
  <si>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</si>
  <si>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</si>
  <si>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</si>
  <si>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</si>
  <si>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</si>
  <si>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</si>
  <si>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</si>
  <si>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</si>
  <si>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</si>
  <si>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</si>
  <si>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</si>
  <si>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</si>
  <si>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</si>
  <si>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</si>
  <si>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</si>
  <si>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</si>
  <si>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</si>
  <si>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</si>
  <si>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</si>
  <si>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</si>
  <si>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</si>
  <si>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</si>
  <si>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</si>
  <si>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</si>
  <si>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</si>
  <si>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</si>
  <si>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</si>
  <si>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</si>
  <si>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</si>
  <si>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</si>
  <si>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</si>
  <si>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</si>
  <si>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</si>
  <si>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</si>
  <si>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</si>
  <si>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</si>
  <si>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</si>
  <si>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</si>
  <si>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</si>
  <si>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</si>
  <si>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</si>
  <si>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</si>
  <si>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</si>
  <si>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</si>
  <si>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</si>
  <si>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</si>
  <si>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</si>
  <si>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</si>
  <si>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</si>
  <si>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</si>
  <si>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</si>
  <si>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</si>
  <si>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</si>
  <si>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</si>
  <si>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</si>
  <si>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</si>
  <si>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</si>
  <si>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</si>
  <si>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</si>
  <si>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</si>
  <si>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</si>
  <si>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</si>
  <si>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</si>
  <si>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</si>
  <si>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</si>
  <si>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</si>
  <si>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</si>
  <si>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</si>
  <si>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</si>
  <si>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</si>
  <si>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</si>
  <si>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</si>
  <si>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</si>
  <si>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</si>
  <si>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</si>
  <si>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</si>
  <si>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</si>
  <si>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</si>
  <si>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</si>
  <si>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</si>
  <si>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</si>
  <si>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</si>
  <si>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</si>
  <si>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</si>
  <si>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</si>
  <si>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</si>
  <si>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</si>
  <si>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</si>
  <si>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</si>
  <si>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</si>
  <si>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</si>
  <si>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</si>
  <si>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</si>
  <si>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</si>
  <si>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</si>
  <si>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</si>
  <si>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</si>
  <si>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</si>
  <si>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</si>
  <si>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</si>
  <si>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</si>
  <si>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</si>
  <si>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</si>
  <si>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</si>
  <si>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</si>
  <si>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</si>
  <si>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</si>
  <si>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</si>
  <si>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</si>
  <si>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</si>
  <si>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</si>
  <si>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</si>
  <si>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</si>
  <si>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</si>
  <si>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</si>
  <si>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</si>
  <si>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</si>
  <si>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</si>
  <si>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</si>
  <si>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</si>
  <si>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</si>
  <si>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</si>
  <si>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</si>
  <si>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</si>
  <si>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</si>
  <si>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</si>
  <si>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</si>
  <si>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</si>
  <si>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</si>
  <si>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</si>
  <si>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</si>
  <si>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</si>
  <si>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</si>
  <si>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</si>
  <si>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</si>
  <si>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</si>
  <si>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</si>
  <si>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</si>
  <si>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</si>
  <si>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</si>
  <si>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</si>
  <si>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</si>
  <si>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</si>
  <si>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</si>
  <si>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</si>
  <si>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</si>
  <si>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</si>
  <si>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</si>
  <si>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</si>
  <si>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</si>
  <si>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</si>
  <si>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</si>
  <si>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</si>
  <si>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</si>
  <si>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</si>
  <si>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</si>
  <si>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</si>
  <si>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</si>
  <si>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</si>
  <si>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</si>
  <si>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</si>
  <si>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</si>
  <si>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</si>
  <si>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</si>
  <si>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</si>
  <si>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</si>
  <si>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</si>
  <si>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</si>
  <si>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</si>
  <si>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</si>
  <si>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</si>
  <si>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</si>
  <si>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</si>
  <si>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</si>
  <si>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</si>
  <si>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</si>
  <si>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</si>
  <si>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</si>
  <si>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</si>
  <si>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</si>
  <si>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</si>
  <si>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</si>
  <si>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</si>
  <si>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</si>
  <si>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</si>
  <si>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</si>
  <si>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</si>
  <si>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</si>
  <si>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</si>
  <si>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</si>
  <si>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</si>
  <si>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</si>
  <si>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</si>
  <si>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</si>
  <si>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</si>
  <si>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</si>
  <si>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</si>
  <si>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</si>
  <si>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</si>
  <si>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</si>
  <si>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</si>
  <si>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</si>
  <si>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</si>
  <si>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</si>
  <si>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</si>
  <si>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</si>
  <si>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</si>
  <si>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</si>
  <si>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</si>
  <si>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</si>
  <si>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</si>
  <si>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</si>
  <si>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</si>
  <si>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</si>
  <si>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</si>
  <si>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</si>
  <si>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</si>
  <si>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</si>
  <si>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</si>
  <si>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</si>
  <si>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</si>
  <si>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</si>
  <si>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</si>
  <si>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</si>
  <si>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</si>
  <si>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</si>
  <si>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</si>
  <si>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</si>
  <si>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</si>
  <si>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</si>
  <si>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</si>
  <si>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</si>
  <si>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</si>
  <si>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</si>
  <si>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</si>
  <si>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</si>
  <si>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</si>
  <si>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</si>
  <si>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</si>
  <si>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</si>
  <si>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</si>
  <si>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</si>
  <si>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</si>
  <si>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</si>
  <si>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</si>
  <si>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</si>
  <si>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</si>
  <si>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</si>
  <si>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</si>
  <si>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</si>
  <si>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</si>
  <si>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</si>
  <si>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</si>
  <si>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</si>
  <si>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</si>
  <si>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</si>
  <si>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</si>
  <si>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</si>
  <si>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</si>
  <si>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</si>
  <si>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</si>
  <si>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</si>
  <si>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</si>
  <si>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</si>
  <si>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</si>
  <si>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</si>
  <si>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</si>
  <si>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</si>
  <si>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</si>
  <si>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</si>
  <si>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</si>
  <si>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</si>
  <si>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</si>
  <si>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</si>
  <si>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</si>
  <si>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</si>
  <si>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</si>
  <si>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</si>
  <si>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</si>
  <si>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</si>
  <si>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</si>
  <si>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</si>
  <si>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</si>
  <si>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</si>
  <si>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</si>
  <si>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</si>
  <si>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</si>
  <si>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</si>
  <si>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</si>
  <si>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</si>
  <si>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</si>
  <si>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</si>
  <si>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</si>
  <si>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</si>
  <si>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</si>
  <si>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</si>
  <si>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</si>
  <si>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</si>
  <si>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</si>
  <si>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</si>
  <si>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</si>
  <si>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</si>
  <si>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</si>
  <si>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</si>
  <si>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</si>
  <si>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</si>
  <si>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</si>
  <si>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</si>
  <si>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</si>
  <si>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</si>
  <si>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</si>
  <si>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</si>
  <si>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</si>
  <si>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</si>
  <si>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</si>
  <si>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</si>
  <si>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</si>
  <si>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</si>
  <si>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</si>
  <si>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</si>
  <si>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</si>
  <si>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</si>
  <si>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</si>
  <si>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</si>
  <si>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</si>
  <si>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</si>
  <si>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</si>
  <si>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</si>
  <si>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</si>
  <si>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</si>
  <si>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</si>
  <si>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</si>
  <si>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</si>
  <si>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</si>
  <si>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</si>
  <si>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</si>
  <si>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</si>
  <si>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</si>
  <si>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</si>
  <si>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</si>
  <si>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</si>
  <si>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</si>
  <si>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</si>
  <si>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</si>
  <si>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</si>
  <si>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</si>
  <si>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</si>
  <si>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</si>
  <si>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</si>
  <si>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</si>
  <si>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</si>
  <si>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</si>
  <si>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</si>
  <si>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</si>
  <si>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</si>
  <si>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</si>
  <si>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</si>
  <si>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</si>
  <si>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</si>
  <si>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</si>
  <si>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</si>
  <si>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</si>
  <si>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</si>
  <si>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</si>
  <si>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</si>
  <si>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</si>
  <si>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</si>
  <si>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</si>
  <si>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</si>
  <si>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</si>
  <si>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</si>
  <si>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</si>
  <si>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</si>
  <si>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</si>
  <si>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</si>
  <si>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</si>
  <si>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</si>
  <si>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</si>
  <si>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</si>
  <si>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</si>
  <si>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</si>
  <si>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</si>
  <si>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</si>
  <si>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</si>
  <si>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</si>
  <si>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</si>
  <si>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</si>
  <si>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</si>
  <si>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</si>
  <si>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</si>
  <si>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</si>
  <si>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</si>
  <si>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</si>
  <si>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</si>
  <si>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</si>
  <si>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</si>
  <si>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</si>
  <si>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</si>
  <si>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</si>
  <si>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</si>
  <si>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</si>
  <si>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</si>
  <si>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</si>
  <si>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</si>
  <si>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</si>
  <si>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</si>
  <si>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</si>
  <si>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</si>
  <si>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</si>
  <si>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</si>
  <si>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</si>
  <si>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</si>
  <si>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</si>
  <si>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</si>
  <si>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</si>
  <si>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</si>
  <si>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</si>
  <si>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</si>
  <si>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</si>
  <si>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</si>
  <si>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</si>
  <si>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</si>
  <si>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</si>
  <si>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</si>
  <si>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</si>
  <si>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</si>
  <si>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</si>
  <si>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</si>
  <si>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</si>
  <si>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</si>
  <si>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</si>
  <si>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</si>
  <si>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</si>
  <si>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</si>
  <si>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</si>
  <si>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</si>
  <si>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</si>
  <si>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</si>
  <si>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</si>
  <si>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</si>
  <si>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</si>
  <si>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</si>
  <si>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</si>
  <si>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</si>
  <si>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</si>
  <si>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</si>
  <si>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</si>
  <si>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</si>
  <si>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</si>
  <si>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</si>
  <si>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</si>
  <si>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</si>
  <si>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</si>
  <si>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</si>
  <si>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</si>
  <si>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</si>
  <si>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</si>
  <si>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</si>
  <si>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</si>
  <si>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</si>
  <si>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</si>
  <si>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</si>
  <si>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</si>
  <si>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</si>
  <si>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</si>
  <si>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</si>
  <si>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</si>
  <si>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</si>
  <si>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</si>
  <si>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</si>
  <si>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</si>
  <si>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</si>
  <si>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</si>
  <si>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</si>
  <si>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</si>
  <si>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</si>
  <si>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</si>
  <si>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</si>
  <si>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</si>
  <si>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</si>
  <si>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</si>
  <si>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</si>
  <si>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</si>
  <si>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</si>
  <si>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</si>
  <si>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</si>
  <si>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</si>
  <si>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</si>
  <si>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</si>
  <si>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</si>
  <si>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</si>
  <si>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</si>
  <si>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</si>
  <si>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</si>
  <si>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</si>
  <si>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</si>
  <si>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</si>
  <si>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</si>
  <si>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</si>
  <si>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</si>
  <si>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</si>
  <si>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</si>
  <si>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</si>
  <si>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</si>
  <si>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</si>
  <si>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</si>
  <si>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</si>
  <si>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</si>
  <si>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</si>
  <si>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</si>
  <si>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</si>
  <si>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</si>
  <si>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</si>
  <si>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</si>
  <si>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</si>
  <si>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</si>
  <si>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</si>
  <si>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</si>
  <si>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</si>
  <si>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</si>
  <si>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</si>
  <si>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</si>
  <si>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</si>
  <si>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</si>
  <si>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</si>
  <si>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</si>
  <si>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</si>
  <si>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</si>
  <si>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</si>
  <si>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</si>
  <si>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</si>
  <si>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</si>
  <si>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</si>
  <si>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</si>
  <si>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</si>
  <si>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</si>
  <si>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</si>
  <si>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</si>
  <si>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</si>
  <si>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</si>
  <si>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</si>
  <si>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</si>
  <si>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</si>
  <si>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</si>
  <si>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</si>
  <si>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</si>
  <si>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</si>
  <si>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</si>
  <si>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</si>
  <si>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</si>
  <si>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</si>
  <si>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</si>
  <si>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</si>
  <si>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</si>
  <si>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</si>
  <si>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</si>
  <si>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</si>
  <si>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</si>
  <si>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</si>
  <si>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</si>
  <si>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</si>
  <si>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</si>
  <si>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</si>
  <si>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</si>
  <si>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</si>
  <si>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</si>
  <si>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</si>
  <si>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</si>
  <si>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</si>
  <si>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</si>
  <si>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</si>
  <si>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</si>
  <si>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</si>
  <si>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</si>
  <si>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</si>
  <si>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</si>
  <si>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</si>
  <si>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</si>
  <si>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</si>
  <si>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</si>
  <si>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</si>
  <si>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</si>
  <si>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</si>
  <si>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</si>
  <si>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</si>
  <si>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</si>
  <si>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</si>
  <si>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</si>
  <si>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</si>
  <si>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</si>
  <si>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</si>
  <si>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</si>
  <si>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</si>
  <si>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</si>
  <si>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</si>
  <si>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</si>
  <si>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</si>
  <si>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</si>
  <si>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</si>
  <si>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</si>
  <si>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</si>
  <si>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</si>
  <si>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</si>
  <si>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</si>
  <si>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</si>
  <si>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</si>
  <si>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</si>
  <si>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</si>
  <si>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</si>
  <si>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</si>
  <si>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</si>
  <si>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</si>
  <si>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</si>
  <si>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</si>
  <si>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</si>
  <si>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</si>
  <si>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</si>
  <si>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</si>
  <si>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</si>
  <si>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</si>
  <si>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</si>
  <si>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</si>
  <si>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</si>
  <si>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</si>
  <si>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</si>
  <si>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</si>
  <si>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</si>
  <si>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</si>
  <si>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</si>
  <si>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</si>
  <si>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</si>
  <si>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</si>
  <si>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</si>
  <si>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</si>
  <si>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</si>
  <si>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</si>
  <si>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</si>
  <si>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</si>
  <si>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</si>
  <si>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</si>
  <si>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</si>
  <si>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</si>
  <si>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</si>
  <si>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</si>
  <si>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</si>
  <si>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</si>
  <si>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</si>
  <si>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</si>
  <si>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</si>
  <si>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</si>
  <si>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</si>
  <si>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</si>
  <si>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</si>
  <si>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</si>
  <si>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</si>
  <si>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</si>
  <si>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</si>
  <si>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</si>
  <si>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</si>
  <si>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</si>
  <si>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</si>
  <si>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</si>
  <si>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</si>
  <si>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</si>
  <si>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</si>
  <si>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</si>
  <si>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</si>
  <si>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</si>
  <si>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</si>
  <si>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</si>
  <si>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</si>
  <si>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</si>
  <si>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</si>
  <si>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</si>
  <si>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</si>
  <si>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</si>
  <si>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</si>
  <si>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</si>
  <si>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</si>
  <si>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</si>
  <si>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</si>
  <si>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</si>
  <si>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</si>
  <si>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</si>
  <si>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</si>
  <si>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</si>
  <si>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</si>
  <si>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</si>
  <si>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</si>
  <si>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</si>
  <si>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</si>
  <si>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</si>
  <si>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</si>
  <si>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</si>
  <si>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</si>
  <si>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</si>
  <si>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</si>
  <si>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</si>
  <si>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</si>
  <si>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</si>
  <si>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</si>
  <si>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</si>
  <si>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</si>
  <si>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</si>
  <si>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</si>
  <si>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</si>
  <si>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</si>
  <si>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</si>
  <si>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</si>
  <si>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</si>
  <si>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</si>
  <si>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</si>
  <si>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</si>
  <si>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</si>
  <si>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</si>
  <si>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</si>
  <si>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</si>
  <si>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</si>
  <si>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</si>
  <si>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</si>
  <si>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</si>
  <si>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</si>
  <si>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</si>
  <si>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</si>
  <si>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</si>
  <si>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</si>
  <si>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</si>
  <si>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</si>
  <si>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</si>
  <si>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</si>
  <si>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</si>
  <si>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</si>
  <si>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</si>
  <si>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</si>
  <si>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</si>
  <si>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</si>
  <si>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</si>
  <si>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</si>
  <si>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</si>
  <si>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</si>
  <si>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</si>
  <si>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</si>
  <si>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</si>
  <si>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</si>
  <si>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</si>
  <si>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</si>
  <si>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</si>
  <si>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</si>
  <si>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</si>
  <si>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</si>
  <si>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</si>
  <si>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</si>
  <si>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</si>
  <si>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</si>
  <si>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</si>
  <si>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</si>
  <si>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</si>
  <si>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</si>
  <si>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</si>
  <si>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</si>
  <si>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</si>
  <si>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</si>
  <si>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</si>
  <si>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</si>
  <si>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</si>
  <si>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</si>
  <si>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</si>
  <si>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</si>
  <si>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</si>
  <si>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</si>
  <si>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</si>
  <si>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</si>
  <si>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</si>
  <si>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</si>
  <si>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</si>
  <si>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</si>
  <si>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</si>
  <si>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</si>
  <si>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</si>
  <si>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</si>
  <si>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</si>
  <si>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</si>
  <si>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</si>
  <si>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</si>
  <si>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</si>
  <si>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</si>
  <si>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</si>
  <si>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</si>
  <si>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</si>
  <si>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</si>
  <si>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</si>
  <si>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</si>
  <si>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</si>
  <si>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</si>
  <si>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</si>
  <si>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</si>
  <si>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</si>
  <si>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</si>
  <si>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</si>
  <si>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</si>
  <si>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</si>
  <si>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</si>
  <si>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</si>
  <si>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</si>
  <si>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</si>
  <si>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</si>
  <si>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</si>
  <si>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</si>
  <si>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</si>
  <si>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</si>
  <si>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</si>
  <si>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</si>
  <si>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</si>
  <si>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</si>
  <si>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</si>
  <si>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</si>
  <si>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</si>
  <si>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</si>
  <si>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</si>
  <si>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</si>
  <si>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</si>
  <si>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</si>
  <si>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</si>
  <si>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</si>
  <si>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</si>
  <si>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</si>
  <si>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</si>
  <si>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</si>
  <si>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</si>
  <si>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</si>
  <si>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</si>
  <si>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</si>
  <si>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</si>
  <si>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</si>
  <si>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</si>
  <si>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</si>
  <si>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</si>
  <si>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</si>
  <si>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</si>
  <si>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</si>
  <si>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</si>
  <si>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</si>
  <si>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</si>
  <si>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</si>
  <si>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</si>
  <si>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</si>
  <si>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</si>
  <si>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</si>
  <si>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</si>
  <si>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</si>
  <si>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</si>
  <si>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</si>
  <si>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</si>
  <si>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</si>
  <si>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</si>
  <si>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</si>
  <si>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</si>
  <si>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</si>
  <si>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</si>
  <si>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</si>
  <si>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</si>
  <si>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</si>
  <si>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</si>
  <si>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</si>
  <si>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</si>
  <si>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</si>
  <si>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</si>
  <si>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</si>
  <si>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</si>
  <si>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</si>
  <si>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</si>
  <si>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</si>
  <si>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</si>
  <si>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</si>
  <si>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</si>
  <si>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</si>
  <si>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</si>
  <si>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</si>
  <si>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</si>
  <si>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</si>
  <si>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</si>
  <si>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</si>
  <si>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</si>
  <si>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</si>
  <si>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</si>
  <si>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</si>
  <si>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</si>
  <si>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</si>
  <si>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</si>
  <si>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</si>
  <si>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</si>
  <si>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</si>
  <si>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</si>
  <si>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</si>
  <si>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</si>
  <si>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</si>
  <si>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</si>
  <si>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</si>
  <si>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</si>
  <si>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</si>
  <si>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</si>
  <si>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</si>
  <si>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</si>
  <si>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</si>
  <si>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</si>
  <si>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</si>
  <si>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</si>
  <si>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</si>
  <si>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</si>
  <si>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</si>
  <si>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</si>
  <si>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</si>
  <si>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</si>
  <si>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</si>
  <si>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</si>
  <si>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</si>
  <si>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</si>
  <si>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</si>
  <si>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</si>
  <si>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</si>
  <si>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</si>
  <si>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</si>
  <si>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</si>
  <si>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</si>
  <si>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</si>
  <si>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</si>
  <si>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</si>
  <si>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</si>
  <si>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</si>
  <si>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</si>
  <si>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</si>
  <si>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</si>
  <si>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</si>
  <si>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</si>
  <si>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</si>
  <si>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</si>
  <si>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</si>
  <si>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</si>
  <si>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</si>
  <si>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</si>
  <si>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</si>
  <si>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</si>
  <si>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</si>
  <si>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</si>
  <si>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</si>
  <si>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</si>
  <si>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</si>
  <si>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</si>
  <si>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</si>
  <si>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</si>
  <si>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</si>
  <si>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</si>
  <si>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</si>
  <si>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</si>
  <si>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</si>
  <si>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</si>
  <si>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</si>
  <si>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</si>
  <si>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</si>
  <si>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</si>
  <si>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</si>
  <si>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</si>
  <si>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</si>
  <si>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</si>
  <si>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</si>
  <si>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</si>
  <si>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</si>
  <si>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</si>
  <si>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</si>
  <si>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</si>
  <si>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</si>
  <si>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</si>
  <si>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</si>
  <si>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</si>
  <si>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</si>
  <si>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</si>
  <si>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</si>
  <si>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</si>
  <si>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</si>
  <si>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</si>
  <si>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</si>
  <si>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</si>
  <si>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</si>
  <si>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</si>
  <si>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</si>
  <si>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</si>
  <si>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</si>
  <si>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</si>
  <si>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</si>
  <si>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</si>
  <si>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</si>
  <si>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</si>
  <si>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</si>
  <si>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</si>
  <si>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</si>
  <si>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</si>
  <si>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</si>
  <si>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</si>
  <si>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</si>
  <si>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</si>
  <si>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</si>
  <si>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</si>
  <si>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</si>
  <si>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</si>
  <si>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</si>
  <si>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</si>
  <si>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</si>
  <si>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</si>
  <si>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</si>
  <si>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</si>
  <si>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</si>
  <si>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</si>
  <si>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</si>
  <si>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</si>
  <si>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</si>
  <si>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</si>
  <si>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</si>
  <si>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</si>
  <si>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</si>
  <si>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</si>
  <si>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</si>
  <si>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</si>
  <si>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</si>
  <si>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</si>
  <si>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</si>
  <si>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</si>
  <si>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</si>
  <si>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</si>
  <si>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</si>
  <si>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</si>
  <si>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</si>
  <si>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</si>
  <si>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</si>
  <si>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</si>
  <si>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</si>
  <si>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</si>
  <si>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</si>
  <si>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</si>
  <si>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</si>
  <si>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</si>
  <si>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</si>
  <si>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</si>
  <si>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</si>
  <si>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</si>
  <si>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</si>
  <si>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</si>
  <si>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</si>
  <si>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</si>
  <si>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</si>
  <si>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</si>
  <si>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</si>
  <si>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</si>
  <si>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</si>
  <si>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</si>
  <si>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</si>
  <si>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</si>
  <si>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</si>
  <si>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</si>
  <si>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</si>
  <si>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</si>
  <si>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</si>
  <si>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</si>
  <si>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</si>
  <si>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</si>
  <si>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</si>
  <si>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</si>
  <si>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</si>
  <si>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</si>
  <si>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</si>
  <si>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</si>
  <si>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</si>
  <si>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</si>
  <si>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</si>
  <si>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</si>
  <si>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</si>
  <si>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</si>
  <si>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</si>
  <si>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</si>
  <si>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</si>
  <si>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</si>
  <si>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</si>
  <si>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</si>
  <si>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</si>
  <si>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</si>
  <si>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</si>
  <si>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</si>
  <si>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</si>
  <si>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</si>
  <si>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</si>
  <si>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</si>
  <si>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</si>
  <si>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</si>
  <si>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</si>
  <si>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</si>
  <si>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</si>
  <si>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</si>
  <si>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</si>
  <si>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</si>
  <si>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</si>
  <si>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</si>
  <si>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</si>
  <si>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</si>
  <si>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</si>
  <si>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</si>
  <si>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</si>
  <si>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</si>
  <si>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</si>
  <si>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</si>
  <si>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</si>
  <si>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</si>
  <si>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</si>
  <si>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</si>
  <si>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</si>
  <si>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</si>
  <si>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</si>
  <si>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</si>
  <si>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</si>
  <si>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</si>
  <si>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</si>
  <si>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</si>
  <si>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</si>
  <si>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</si>
  <si>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</si>
  <si>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</si>
  <si>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</si>
  <si>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</si>
  <si>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</si>
  <si>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</si>
  <si>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</si>
  <si>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</si>
  <si>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</si>
  <si>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</si>
  <si>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</si>
  <si>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</si>
  <si>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</si>
  <si>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</si>
  <si>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</si>
  <si>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</si>
  <si>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</si>
  <si>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</si>
  <si>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</si>
  <si>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</si>
  <si>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</si>
  <si>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</si>
  <si>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</si>
  <si>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</si>
  <si>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</si>
  <si>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</si>
  <si>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</si>
  <si>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</si>
  <si>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</si>
  <si>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</si>
  <si>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</si>
  <si>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</si>
  <si>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</si>
  <si>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</si>
  <si>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</si>
  <si>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</si>
  <si>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</si>
  <si>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</si>
  <si>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</si>
  <si>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</si>
  <si>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</si>
  <si>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</si>
  <si>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</si>
  <si>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</si>
  <si>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</si>
  <si>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</si>
  <si>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</si>
  <si>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</si>
  <si>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</si>
  <si>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</si>
  <si>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</si>
  <si>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</si>
  <si>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</si>
  <si>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</si>
  <si>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</si>
  <si>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</si>
  <si>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</si>
  <si>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</si>
  <si>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</si>
  <si>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</si>
  <si>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</si>
  <si>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</si>
  <si>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</si>
  <si>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</si>
  <si>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</si>
  <si>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</si>
  <si>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</si>
  <si>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</si>
  <si>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</si>
  <si>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</si>
  <si>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</si>
  <si>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</si>
  <si>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</si>
  <si>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</si>
  <si>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</si>
  <si>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</si>
  <si>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</si>
  <si>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</si>
  <si>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</si>
  <si>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</si>
  <si>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</si>
  <si>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</si>
  <si>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</si>
  <si>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</si>
  <si>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</si>
  <si>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</si>
  <si>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</si>
  <si>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</si>
  <si>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</si>
  <si>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</si>
  <si>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</si>
  <si>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</si>
  <si>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</si>
  <si>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</si>
  <si>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</si>
  <si>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</si>
  <si>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</si>
  <si>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</si>
  <si>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</si>
  <si>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</si>
  <si>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</si>
  <si>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</si>
  <si>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</si>
  <si>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</si>
  <si>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</si>
  <si>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</si>
  <si>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</si>
  <si>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</si>
  <si>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</si>
  <si>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</si>
  <si>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</si>
  <si>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</si>
  <si>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</si>
  <si>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</si>
  <si>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</si>
  <si>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</si>
  <si>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</si>
  <si>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</si>
  <si>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</si>
  <si>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</si>
  <si>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</si>
  <si>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</si>
  <si>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</si>
  <si>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</si>
  <si>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</si>
  <si>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</si>
  <si>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</si>
  <si>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</si>
  <si>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</si>
  <si>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</si>
  <si>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</si>
  <si>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</si>
  <si>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</si>
  <si>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</si>
  <si>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</si>
  <si>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</si>
  <si>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</si>
  <si>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</si>
  <si>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</si>
  <si>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</si>
  <si>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</si>
  <si>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</si>
  <si>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</si>
  <si>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</si>
  <si>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</si>
  <si>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</si>
  <si>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</si>
  <si>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</si>
  <si>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</si>
  <si>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</si>
  <si>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</si>
  <si>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</si>
  <si>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</si>
  <si>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</si>
  <si>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</si>
  <si>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</si>
  <si>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</si>
  <si>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</si>
  <si>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</si>
  <si>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</si>
  <si>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</si>
  <si>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</si>
  <si>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</si>
  <si>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</si>
  <si>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</si>
  <si>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</si>
  <si>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</si>
  <si>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</si>
  <si>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</si>
  <si>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</si>
  <si>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</si>
  <si>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</si>
  <si>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</si>
  <si>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</si>
  <si>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</si>
  <si>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</si>
  <si>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</si>
  <si>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</si>
  <si>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</si>
  <si>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</si>
  <si>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</si>
  <si>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</si>
  <si>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</si>
  <si>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</si>
  <si>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</si>
  <si>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</si>
  <si>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</si>
  <si>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</si>
  <si>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</si>
  <si>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</si>
  <si>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</si>
  <si>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</si>
  <si>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</si>
  <si>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</si>
  <si>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</si>
  <si>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</si>
  <si>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</si>
  <si>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</si>
  <si>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</si>
  <si>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</si>
  <si>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</si>
  <si>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</si>
  <si>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</si>
  <si>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</si>
  <si>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</si>
  <si>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</si>
  <si>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</si>
  <si>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</si>
  <si>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</si>
  <si>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</si>
  <si>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</si>
  <si>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</si>
  <si>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</si>
  <si>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</si>
  <si>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</si>
  <si>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</si>
  <si>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</si>
  <si>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</si>
  <si>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</si>
  <si>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</si>
  <si>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</si>
  <si>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</si>
  <si>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</si>
  <si>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</si>
  <si>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</si>
  <si>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</si>
  <si>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</si>
  <si>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</si>
  <si>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</si>
  <si>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</si>
  <si>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</si>
  <si>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</si>
  <si>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</si>
  <si>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</si>
  <si>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</si>
  <si>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</si>
  <si>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</si>
  <si>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</si>
  <si>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</si>
  <si>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</si>
  <si>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</si>
  <si>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</si>
  <si>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</si>
  <si>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</si>
  <si>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</si>
  <si>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</si>
  <si>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</si>
  <si>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</si>
  <si>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</si>
  <si>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</si>
  <si>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</si>
  <si>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</si>
  <si>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</si>
  <si>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</si>
  <si>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</si>
  <si>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</si>
  <si>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</si>
  <si>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</si>
  <si>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</si>
  <si>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</si>
  <si>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</si>
  <si>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</si>
  <si>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</si>
  <si>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</si>
  <si>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</si>
  <si>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</si>
  <si>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</si>
  <si>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</si>
  <si>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</si>
  <si>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</si>
  <si>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</si>
  <si>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</si>
  <si>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</si>
  <si>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</si>
  <si>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</si>
  <si>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</si>
  <si>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</si>
  <si>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</si>
  <si>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</si>
  <si>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</si>
  <si>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</si>
  <si>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</si>
  <si>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</si>
  <si>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</si>
  <si>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</si>
  <si>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</si>
  <si>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</si>
  <si>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</si>
  <si>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</si>
  <si>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</si>
  <si>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</si>
  <si>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</si>
  <si>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</si>
  <si>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</si>
  <si>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</si>
  <si>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</si>
  <si>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</si>
  <si>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</si>
  <si>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</si>
  <si>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</si>
  <si>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</si>
  <si>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</si>
  <si>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</si>
  <si>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</si>
  <si>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</si>
  <si>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</si>
  <si>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</si>
  <si>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</si>
  <si>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</si>
  <si>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</si>
  <si>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</si>
  <si>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</si>
  <si>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</si>
  <si>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</si>
  <si>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</si>
  <si>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</si>
  <si>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</si>
  <si>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</si>
  <si>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</si>
  <si>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</si>
  <si>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</si>
  <si>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</si>
  <si>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</si>
  <si>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</si>
  <si>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</si>
  <si>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</si>
  <si>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</si>
  <si>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</si>
  <si>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</si>
  <si>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</si>
  <si>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</si>
  <si>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</si>
  <si>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</si>
  <si>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</si>
  <si>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</si>
  <si>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</si>
  <si>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</si>
  <si>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</si>
  <si>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</si>
  <si>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</si>
  <si>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</si>
  <si>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</si>
  <si>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</si>
  <si>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</si>
  <si>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</si>
  <si>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</si>
  <si>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</si>
  <si>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</si>
  <si>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</si>
  <si>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</si>
  <si>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</si>
  <si>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</si>
  <si>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</si>
  <si>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</si>
  <si>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</si>
  <si>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</si>
  <si>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</si>
  <si>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</si>
  <si>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</si>
  <si>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</si>
  <si>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</si>
  <si>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</si>
  <si>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</si>
  <si>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</si>
  <si>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</si>
  <si>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</si>
  <si>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</si>
  <si>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</si>
  <si>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</si>
  <si>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</si>
  <si>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</si>
  <si>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</si>
  <si>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</si>
  <si>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</si>
  <si>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</si>
  <si>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</si>
  <si>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</si>
  <si>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</si>
  <si>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</si>
  <si>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</si>
  <si>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</si>
  <si>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</si>
  <si>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</si>
  <si>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</si>
  <si>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</si>
  <si>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</si>
  <si>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</si>
  <si>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</si>
  <si>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</si>
  <si>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</si>
  <si>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</si>
  <si>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</si>
  <si>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</si>
  <si>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</si>
  <si>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</si>
  <si>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</si>
  <si>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</si>
  <si>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</si>
  <si>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</si>
  <si>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</si>
  <si>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</si>
  <si>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</si>
  <si>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</si>
  <si>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</si>
  <si>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</si>
  <si>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</si>
  <si>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</si>
  <si>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</si>
  <si>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</si>
  <si>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</si>
  <si>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</si>
  <si>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</si>
  <si>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</si>
  <si>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</si>
  <si>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</si>
  <si>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</si>
  <si>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</si>
  <si>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</si>
  <si>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</si>
  <si>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</si>
  <si>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</si>
  <si>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</si>
  <si>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</si>
  <si>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</si>
  <si>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</si>
  <si>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</si>
  <si>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</si>
  <si>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</si>
  <si>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</si>
  <si>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</si>
  <si>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</si>
  <si>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</si>
  <si>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</si>
  <si>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</si>
  <si>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</si>
  <si>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</si>
  <si>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</si>
  <si>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</si>
  <si>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</si>
  <si>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</si>
  <si>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</si>
  <si>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</si>
  <si>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</si>
  <si>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</si>
  <si>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</si>
  <si>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</si>
  <si>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</si>
  <si>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</si>
  <si>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</si>
  <si>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</si>
  <si>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</si>
  <si>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</si>
  <si>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</si>
  <si>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</si>
  <si>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</si>
  <si>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</si>
  <si>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</si>
  <si>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</si>
  <si>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</si>
  <si>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</si>
  <si>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</si>
  <si>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</si>
  <si>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</si>
  <si>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</si>
  <si>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</si>
  <si>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</si>
  <si>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</si>
  <si>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</si>
  <si>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</si>
  <si>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</si>
  <si>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</si>
  <si>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</si>
  <si>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</si>
  <si>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</si>
  <si>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</si>
  <si>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</si>
  <si>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</si>
  <si>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</si>
  <si>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</si>
  <si>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</si>
  <si>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</si>
  <si>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</si>
  <si>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</si>
  <si>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</si>
  <si>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</si>
  <si>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</si>
  <si>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</si>
  <si>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</si>
  <si>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</si>
  <si>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</si>
  <si>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</si>
  <si>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</si>
  <si>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</si>
  <si>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</si>
  <si>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</si>
  <si>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</si>
  <si>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</si>
  <si>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</si>
  <si>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</si>
  <si>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</si>
  <si>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</si>
  <si>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</si>
  <si>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</si>
  <si>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</si>
  <si>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</si>
  <si>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</si>
  <si>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</si>
  <si>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</si>
  <si>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</si>
  <si>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</si>
  <si>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</si>
  <si>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</si>
  <si>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</si>
  <si>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</si>
  <si>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</si>
  <si>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</si>
  <si>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</si>
  <si>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</si>
  <si>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</si>
  <si>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</si>
  <si>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</si>
  <si>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</si>
  <si>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</si>
  <si>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</si>
  <si>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</si>
  <si>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</si>
  <si>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</si>
  <si>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</si>
  <si>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</si>
  <si>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</si>
  <si>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</si>
  <si>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</si>
  <si>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</si>
  <si>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</si>
  <si>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</si>
  <si>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</si>
  <si>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</si>
  <si>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</si>
  <si>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</si>
  <si>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</si>
  <si>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</si>
  <si>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</si>
  <si>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</si>
  <si>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</si>
  <si>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</si>
  <si>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</si>
  <si>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</si>
  <si>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</si>
  <si>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</si>
  <si>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</si>
  <si>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</si>
  <si>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</si>
  <si>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</si>
  <si>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</si>
  <si>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</si>
  <si>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</si>
  <si>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</si>
  <si>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</si>
  <si>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</si>
  <si>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</si>
  <si>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</si>
  <si>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</si>
  <si>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</si>
  <si>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</si>
  <si>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</si>
  <si>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</si>
  <si>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</si>
  <si>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</si>
  <si>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</si>
  <si>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</si>
  <si>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</si>
  <si>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</si>
  <si>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</si>
  <si>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</si>
  <si>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</si>
  <si>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</si>
  <si>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</si>
  <si>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</si>
  <si>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</si>
  <si>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</si>
  <si>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</si>
  <si>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</si>
  <si>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</si>
  <si>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</si>
  <si>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</si>
  <si>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</si>
  <si>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</si>
  <si>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</si>
  <si>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</si>
  <si>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</si>
  <si>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</si>
  <si>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</si>
  <si>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</si>
  <si>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</si>
  <si>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</si>
  <si>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</si>
  <si>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</si>
  <si>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</si>
  <si>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</si>
  <si>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</si>
  <si>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</si>
  <si>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</si>
  <si>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</si>
  <si>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</si>
  <si>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</si>
  <si>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</si>
  <si>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</si>
  <si>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</si>
  <si>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</si>
  <si>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</si>
  <si>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</si>
  <si>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</si>
  <si>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</si>
  <si>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</si>
  <si>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</si>
  <si>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</si>
  <si>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</si>
  <si>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</si>
  <si>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</si>
  <si>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</si>
  <si>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</si>
  <si>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</si>
  <si>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</si>
  <si>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</si>
  <si>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</si>
  <si>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</si>
  <si>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</si>
  <si>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</si>
  <si>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</si>
  <si>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</si>
  <si>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</si>
  <si>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</si>
  <si>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</si>
  <si>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</si>
  <si>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</si>
  <si>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</si>
  <si>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</si>
  <si>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</si>
  <si>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</si>
  <si>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</si>
  <si>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</si>
  <si>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</si>
  <si>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</si>
  <si>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</si>
  <si>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</si>
  <si>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</si>
  <si>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</si>
  <si>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</si>
  <si>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</si>
  <si>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</si>
  <si>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</si>
  <si>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</si>
  <si>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</si>
  <si>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</si>
  <si>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</si>
  <si>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</si>
  <si>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</si>
  <si>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</si>
  <si>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</si>
  <si>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</si>
  <si>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</si>
  <si>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</si>
  <si>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</si>
  <si>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</si>
  <si>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</si>
  <si>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</si>
  <si>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</si>
  <si>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</si>
  <si>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</si>
  <si>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</si>
  <si>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</si>
  <si>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</si>
  <si>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</si>
  <si>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</si>
  <si>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</si>
  <si>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</si>
  <si>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</si>
  <si>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</si>
  <si>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</si>
  <si>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</si>
  <si>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</si>
  <si>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</si>
  <si>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</si>
  <si>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</si>
  <si>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</si>
  <si>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</si>
  <si>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</si>
  <si>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</si>
  <si>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</si>
  <si>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</si>
  <si>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</si>
  <si>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</si>
  <si>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</si>
  <si>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</si>
  <si>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</si>
  <si>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</si>
  <si>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</si>
  <si>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</si>
  <si>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</si>
  <si>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</si>
  <si>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</si>
  <si>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</si>
  <si>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</si>
  <si>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</si>
  <si>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</si>
  <si>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</si>
  <si>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</si>
  <si>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</si>
  <si>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</si>
  <si>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</si>
  <si>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</si>
  <si>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</si>
  <si>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</si>
  <si>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</si>
  <si>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</si>
  <si>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</si>
  <si>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</si>
  <si>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</si>
  <si>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</si>
  <si>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</si>
  <si>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</si>
  <si>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</si>
  <si>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</si>
  <si>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</si>
  <si>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</si>
  <si>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</si>
  <si>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</si>
  <si>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</si>
  <si>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</si>
  <si>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</si>
  <si>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</si>
  <si>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</si>
  <si>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</si>
  <si>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</si>
  <si>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</si>
  <si>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</si>
  <si>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</si>
  <si>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</si>
  <si>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</si>
  <si>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</si>
  <si>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</si>
  <si>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</si>
  <si>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</si>
  <si>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</si>
  <si>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</si>
  <si>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</si>
  <si>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</si>
  <si>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</si>
  <si>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</si>
  <si>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</si>
  <si>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</si>
  <si>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</si>
  <si>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</si>
  <si>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</si>
  <si>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</si>
  <si>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</si>
  <si>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</si>
  <si>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</si>
  <si>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</si>
  <si>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</si>
  <si>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</si>
  <si>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</si>
  <si>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</si>
  <si>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</si>
  <si>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</si>
  <si>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</si>
  <si>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</si>
  <si>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</si>
  <si>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</si>
  <si>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</si>
  <si>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</si>
  <si>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</si>
  <si>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</si>
  <si>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</si>
  <si>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</si>
  <si>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</si>
  <si>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</si>
  <si>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</si>
  <si>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</si>
  <si>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</si>
  <si>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</si>
  <si>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</si>
  <si>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</si>
  <si>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</si>
  <si>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</si>
  <si>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</si>
  <si>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</si>
  <si>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</si>
  <si>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</si>
  <si>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</si>
  <si>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</si>
  <si>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</si>
  <si>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</si>
  <si>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</si>
  <si>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</si>
  <si>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</si>
  <si>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</si>
  <si>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</si>
  <si>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</si>
  <si>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</si>
  <si>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</si>
  <si>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</si>
  <si>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</si>
  <si>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</si>
  <si>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</si>
  <si>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</si>
  <si>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</si>
  <si>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</si>
  <si>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</si>
  <si>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</si>
  <si>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</si>
  <si>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</si>
  <si>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</si>
  <si>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</si>
  <si>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</si>
  <si>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</si>
  <si>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</si>
  <si>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</si>
  <si>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</si>
  <si>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</si>
  <si>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</si>
  <si>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</si>
  <si>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</si>
  <si>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</si>
  <si>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</si>
  <si>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</si>
  <si>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</si>
  <si>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</si>
  <si>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</si>
  <si>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</si>
  <si>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</si>
  <si>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</si>
  <si>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</si>
  <si>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</si>
  <si>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</si>
  <si>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</si>
  <si>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</si>
  <si>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</si>
  <si>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</si>
  <si>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</si>
  <si>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</si>
  <si>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</si>
  <si>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</si>
  <si>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</si>
  <si>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</si>
  <si>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</si>
  <si>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</si>
  <si>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</si>
  <si>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</si>
  <si>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</si>
  <si>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</si>
  <si>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</si>
  <si>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</si>
  <si>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</si>
  <si>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</si>
  <si>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</si>
  <si>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</si>
  <si>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</si>
  <si>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</si>
  <si>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</si>
  <si>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</si>
  <si>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</si>
  <si>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</si>
  <si>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</si>
  <si>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</si>
  <si>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</si>
  <si>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</si>
  <si>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</si>
  <si>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</si>
  <si>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</si>
  <si>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</si>
  <si>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</si>
  <si>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</si>
  <si>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</si>
  <si>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</si>
  <si>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</si>
  <si>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</si>
  <si>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</si>
  <si>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</si>
  <si>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</si>
  <si>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</si>
  <si>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</si>
  <si>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</si>
  <si>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</si>
  <si>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</si>
  <si>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</si>
  <si>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</si>
  <si>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</si>
  <si>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</si>
  <si>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</si>
  <si>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</si>
  <si>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</si>
  <si>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</si>
  <si>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</si>
  <si>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</si>
  <si>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</si>
  <si>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</si>
  <si>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</si>
  <si>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</si>
  <si>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</si>
  <si>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</si>
  <si>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</si>
  <si>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</si>
  <si>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</si>
  <si>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</si>
  <si>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</si>
  <si>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</si>
  <si>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</si>
  <si>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</si>
  <si>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</si>
  <si>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</si>
  <si>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</si>
  <si>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</si>
  <si>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</si>
  <si>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</si>
  <si>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</si>
  <si>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</si>
  <si>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</si>
  <si>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</si>
  <si>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</si>
  <si>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</si>
  <si>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</si>
  <si>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</si>
  <si>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</si>
  <si>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</si>
  <si>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</si>
  <si>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</si>
  <si>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</si>
  <si>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</si>
  <si>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</si>
  <si>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</si>
  <si>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</si>
  <si>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</si>
  <si>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</si>
  <si>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</si>
  <si>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</si>
  <si>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</si>
  <si>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</si>
  <si>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</si>
  <si>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</si>
  <si>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</si>
  <si>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</si>
  <si>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</si>
  <si>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</si>
  <si>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</si>
  <si>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</si>
  <si>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</si>
  <si>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</si>
  <si>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</si>
  <si>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</si>
  <si>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</si>
  <si>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</si>
  <si>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</si>
  <si>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</si>
  <si>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</si>
  <si>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</si>
  <si>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</si>
  <si>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</si>
  <si>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</si>
  <si>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</si>
  <si>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</si>
  <si>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</si>
  <si>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</si>
  <si>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</si>
  <si>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</si>
  <si>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</si>
  <si>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</si>
  <si>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</si>
  <si>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</si>
  <si>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</si>
  <si>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</si>
  <si>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</si>
  <si>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</si>
  <si>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</si>
  <si>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</si>
  <si>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</si>
  <si>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</si>
  <si>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</si>
  <si>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</si>
  <si>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</si>
  <si>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</si>
  <si>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</si>
  <si>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</si>
  <si>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</si>
  <si>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</si>
  <si>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</si>
  <si>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</si>
  <si>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</si>
  <si>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</si>
  <si>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</si>
  <si>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</si>
  <si>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</si>
  <si>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</si>
  <si>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</si>
  <si>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</si>
  <si>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</si>
  <si>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</si>
  <si>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</si>
  <si>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</si>
  <si>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</si>
  <si>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</si>
  <si>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</si>
  <si>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</si>
  <si>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</si>
  <si>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</si>
  <si>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</si>
  <si>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</si>
  <si>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</si>
  <si>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</si>
  <si>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</si>
  <si>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</si>
  <si>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</si>
  <si>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</si>
  <si>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</si>
  <si>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</si>
  <si>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</si>
  <si>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</si>
  <si>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</si>
  <si>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</si>
  <si>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</si>
  <si>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</si>
  <si>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</si>
  <si>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</si>
  <si>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</si>
  <si>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</si>
  <si>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</si>
  <si>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</si>
  <si>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</si>
  <si>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</si>
  <si>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</si>
  <si>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</si>
  <si>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</si>
  <si>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</si>
  <si>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</si>
  <si>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</si>
  <si>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</si>
  <si>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</si>
  <si>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</si>
  <si>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</si>
  <si>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</si>
  <si>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</si>
  <si>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</si>
  <si>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</si>
  <si>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</si>
  <si>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</si>
  <si>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</si>
  <si>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</si>
  <si>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</si>
  <si>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</si>
  <si>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</si>
  <si>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</si>
  <si>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</si>
  <si>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</si>
  <si>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</si>
  <si>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</si>
  <si>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</si>
  <si>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</si>
  <si>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</si>
  <si>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</si>
  <si>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</si>
  <si>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</si>
  <si>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</si>
  <si>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</si>
  <si>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</si>
  <si>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</si>
  <si>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</si>
  <si>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</si>
  <si>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</si>
  <si>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</si>
  <si>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</si>
  <si>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</si>
  <si>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</si>
  <si>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</si>
  <si>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</si>
  <si>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</si>
  <si>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</si>
  <si>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</si>
  <si>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</si>
  <si>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</si>
  <si>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</si>
  <si>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</si>
  <si>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</si>
  <si>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</si>
  <si>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</si>
  <si>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</si>
  <si>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</si>
  <si>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</si>
  <si>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</si>
  <si>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</si>
  <si>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</si>
  <si>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</si>
  <si>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</si>
  <si>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</si>
  <si>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</si>
  <si>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</si>
  <si>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</si>
  <si>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</si>
  <si>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</si>
  <si>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</si>
  <si>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</si>
  <si>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</si>
  <si>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</si>
  <si>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</si>
  <si>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</si>
  <si>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</si>
  <si>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</si>
  <si>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</si>
  <si>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</si>
  <si>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</si>
  <si>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</si>
  <si>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</si>
  <si>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</si>
  <si>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</si>
  <si>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</si>
  <si>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</si>
  <si>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</si>
  <si>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</si>
  <si>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</si>
  <si>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</si>
  <si>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</si>
  <si>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</si>
  <si>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</si>
  <si>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</si>
  <si>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</si>
  <si>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</si>
  <si>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</si>
  <si>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</si>
  <si>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</si>
  <si>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</si>
  <si>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</si>
  <si>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</si>
  <si>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</si>
  <si>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</si>
  <si>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</si>
  <si>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</si>
  <si>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</si>
  <si>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</si>
  <si>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</si>
  <si>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</si>
  <si>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</si>
  <si>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</si>
  <si>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</si>
  <si>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</si>
  <si>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</si>
  <si>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</si>
  <si>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</si>
  <si>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</si>
  <si>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</si>
  <si>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</si>
  <si>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</si>
  <si>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</si>
  <si>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</si>
  <si>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</si>
  <si>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</si>
  <si>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</si>
  <si>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标准厂房</t>
  </si>
  <si>
    <t>工业</t>
    <phoneticPr fontId="7" type="noConversion"/>
  </si>
  <si>
    <t>利息：取LPR加浮动点数</t>
  </si>
  <si>
    <t>收益法</t>
  </si>
  <si>
    <t>押一</t>
  </si>
  <si>
    <t>按租金收入计税</t>
  </si>
  <si>
    <t>钢混</t>
  </si>
  <si>
    <t>非生产用房</t>
  </si>
  <si>
    <t>否</t>
  </si>
  <si>
    <t>已包含在土地取得成本中</t>
  </si>
  <si>
    <t>全部缴纳</t>
  </si>
  <si>
    <t>地块名称</t>
  </si>
  <si>
    <t>地块编号</t>
  </si>
  <si>
    <t>用地性质</t>
  </si>
  <si>
    <t>容积率</t>
  </si>
  <si>
    <t>出让方式</t>
  </si>
  <si>
    <t>详细规划</t>
  </si>
  <si>
    <t>集中供地</t>
  </si>
  <si>
    <t>截止日期</t>
  </si>
  <si>
    <t>成交日期</t>
  </si>
  <si>
    <t>成交状态</t>
  </si>
  <si>
    <t>受让单位</t>
  </si>
  <si>
    <t>保证金截止时间</t>
  </si>
  <si>
    <t xml:space="preserve">顺义区马坡聚源工业区A02-2-2地块    </t>
  </si>
  <si>
    <t xml:space="preserve">顺义区赵全营镇SY04-0100-6006-1-2地块    </t>
  </si>
  <si>
    <t xml:space="preserve">北京市顺义临空国际(科创功能区)6-1-1地块M1一类工业用地国有建设用地    </t>
  </si>
  <si>
    <t>较差</t>
  </si>
  <si>
    <t>一般</t>
  </si>
  <si>
    <t>较好</t>
  </si>
  <si>
    <t>工业</t>
    <phoneticPr fontId="33" type="noConversion"/>
  </si>
  <si>
    <t>规则</t>
    <phoneticPr fontId="3" type="noConversion"/>
  </si>
  <si>
    <t>较规则</t>
    <phoneticPr fontId="3" type="noConversion"/>
  </si>
  <si>
    <t>七通</t>
    <phoneticPr fontId="3" type="noConversion"/>
  </si>
  <si>
    <t>六通</t>
    <phoneticPr fontId="3" type="noConversion"/>
  </si>
  <si>
    <t>五通</t>
    <phoneticPr fontId="3" type="noConversion"/>
  </si>
  <si>
    <t>较好</t>
    <phoneticPr fontId="3" type="noConversion"/>
  </si>
  <si>
    <t>七通</t>
  </si>
  <si>
    <t>楼面地价</t>
  </si>
  <si>
    <t>成本法</t>
  </si>
  <si>
    <t>土地位置</t>
  </si>
  <si>
    <t>建设用地面积</t>
  </si>
  <si>
    <t>规划建筑面积</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</si>
  <si>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</si>
  <si>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</si>
  <si>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</si>
  <si>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</si>
  <si>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</si>
  <si>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</si>
  <si>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</si>
  <si>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</si>
  <si>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</si>
  <si>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</si>
  <si>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</si>
  <si>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</si>
  <si>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公告编号</t>
  </si>
  <si>
    <t>拿地企业</t>
  </si>
  <si>
    <t>起始价</t>
  </si>
  <si>
    <t>保证金</t>
  </si>
  <si>
    <t>成交价</t>
  </si>
  <si>
    <t>推出每亩价</t>
  </si>
  <si>
    <t>成交每亩价</t>
  </si>
  <si>
    <t>推出楼面价</t>
  </si>
  <si>
    <t>成交楼面价</t>
  </si>
  <si>
    <t>推出楼面价(除保障房)</t>
  </si>
  <si>
    <t>成交楼面价(除保障房)</t>
  </si>
  <si>
    <t>溢价率</t>
  </si>
  <si>
    <t>出让年限</t>
  </si>
  <si>
    <t>限地价</t>
  </si>
  <si>
    <t>限售价(均价)</t>
  </si>
  <si>
    <t xml:space="preserve"> 京土整储挂(顺)工业[2021]001号</t>
  </si>
  <si>
    <t xml:space="preserve"> --</t>
  </si>
  <si>
    <t xml:space="preserve"> 顺义区马坡聚源工业区</t>
  </si>
  <si>
    <t xml:space="preserve"> 工业用地</t>
  </si>
  <si>
    <t xml:space="preserve"> ≤1.6</t>
  </si>
  <si>
    <t xml:space="preserve"> 挂牌</t>
  </si>
  <si>
    <t xml:space="preserve"> M1工业用地</t>
  </si>
  <si>
    <t xml:space="preserve">-- </t>
  </si>
  <si>
    <t xml:space="preserve"> -- </t>
  </si>
  <si>
    <t xml:space="preserve"> 40%</t>
  </si>
  <si>
    <t xml:space="preserve"> 30米</t>
  </si>
  <si>
    <t xml:space="preserve"> 京土整储挂(顺)工业[2021]001 号</t>
  </si>
  <si>
    <t xml:space="preserve"> 已成交</t>
  </si>
  <si>
    <t xml:space="preserve"> 北京奕承科技有限公司  </t>
  </si>
  <si>
    <t xml:space="preserve"> 20年</t>
  </si>
  <si>
    <t xml:space="preserve"> 京土整储挂(顺)工业研发[2021]002号</t>
  </si>
  <si>
    <t xml:space="preserve"> 顺义区赵全营镇兆丰产业基地</t>
  </si>
  <si>
    <t xml:space="preserve"> ≤1.80</t>
  </si>
  <si>
    <t xml:space="preserve"> 30%</t>
  </si>
  <si>
    <t xml:space="preserve"> 45米</t>
  </si>
  <si>
    <t xml:space="preserve"> 北京理工华创电动车技术有限公司  </t>
  </si>
  <si>
    <t xml:space="preserve"> 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</si>
  <si>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</si>
  <si>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</si>
  <si>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</si>
  <si>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</si>
  <si>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</si>
  <si>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、中国电子科技集团公司第十一研究所联合体  </t>
  </si>
  <si>
    <t xml:space="preserve">顺义区赵全营板桥SY04-0100-6006-2地块M4工业研发用地   </t>
  </si>
  <si>
    <t xml:space="preserve"> 京土整储挂(顺)研发【2019】004号</t>
  </si>
  <si>
    <t xml:space="preserve"> 顺义区赵全营镇板桥村</t>
  </si>
  <si>
    <t xml:space="preserve"> ≤1.8</t>
  </si>
  <si>
    <t xml:space="preserve"> 工业研发M4</t>
  </si>
  <si>
    <t xml:space="preserve"> ≤30%</t>
  </si>
  <si>
    <t xml:space="preserve"> ≤45米</t>
  </si>
  <si>
    <t xml:space="preserve"> 北京怡和中源科技有限公司  </t>
  </si>
  <si>
    <t xml:space="preserve"> 奢蔻控股</t>
  </si>
  <si>
    <t xml:space="preserve">顺义区赵全营镇SY04-0100-6006-3地块M4工业研发项目   </t>
  </si>
  <si>
    <t xml:space="preserve"> 京土整储挂(顺)工业研发[2019]002号</t>
  </si>
  <si>
    <t xml:space="preserve"> M4工业研发</t>
  </si>
  <si>
    <t xml:space="preserve"> 北京吉源医药科技有限公司  </t>
  </si>
  <si>
    <t xml:space="preserve">顺义区SY02-0200-6001、6002地块M4工业研发项目   </t>
  </si>
  <si>
    <t xml:space="preserve"> 京土整储挂(顺)工业研发[2019]001号</t>
  </si>
  <si>
    <t xml:space="preserve"> 顺义区高丽营镇临空国际产业园</t>
  </si>
  <si>
    <t xml:space="preserve"> 北京控制工程研究所  </t>
  </si>
  <si>
    <t xml:space="preserve">顺义区赵全营镇SY04-0100-6006-4地块M4工业研发项目   </t>
  </si>
  <si>
    <t xml:space="preserve"> 京土整储挂(顺)工业研发[2019]003号</t>
  </si>
  <si>
    <t xml:space="preserve"> 北京连山科技股份有限公司  </t>
  </si>
  <si>
    <t xml:space="preserve">顺义新城第14街区SY00-0014-6001M1一类工业用地项目  </t>
  </si>
  <si>
    <t xml:space="preserve"> 京土整储挂(顺)工业[2017]004号</t>
  </si>
  <si>
    <t xml:space="preserve"> 顺义新城第14街区</t>
  </si>
  <si>
    <t xml:space="preserve"> M1一类工业用地</t>
  </si>
  <si>
    <t xml:space="preserve"> 北京星汉特种印刷有限公司  </t>
  </si>
  <si>
    <t xml:space="preserve"> 50年</t>
  </si>
  <si>
    <t xml:space="preserve">顺义区天竺综合保税区3-4(C12地块局部)地块  </t>
  </si>
  <si>
    <t xml:space="preserve"> 京土整储挂(顺)工业[2017]002</t>
  </si>
  <si>
    <t xml:space="preserve"> 顺义区天竺综合保税区(即顺义新城第26街区南部)</t>
  </si>
  <si>
    <t xml:space="preserve"> W2普通仓储用地</t>
  </si>
  <si>
    <t xml:space="preserve"> 经纬供应链管理(北京)有限公司  </t>
  </si>
  <si>
    <t xml:space="preserve">顺义区新城第26街区C-19(网内8号地)  </t>
  </si>
  <si>
    <t xml:space="preserve"> 京土整储挂(顺)工业[2017]003</t>
  </si>
  <si>
    <t xml:space="preserve"> 顺义区天竺综合保税区</t>
  </si>
  <si>
    <t xml:space="preserve"> 北京天保宏远物流发展有限公司  </t>
  </si>
  <si>
    <t xml:space="preserve">顺义区赵全营镇SY19-0107-0001至0003(即SY10-0107-6003)地块  </t>
  </si>
  <si>
    <t xml:space="preserve"> 京土整储挂(顺)工业[2017]001号</t>
  </si>
  <si>
    <t xml:space="preserve"> 顺义区赵全营镇兆丰产业基地北侧</t>
  </si>
  <si>
    <t xml:space="preserve"> 北京汽车集团有限公司  </t>
  </si>
  <si>
    <t xml:space="preserve">顺义区金马工业区D1-01-1地块  </t>
  </si>
  <si>
    <t xml:space="preserve"> 京土整储挂(顺)工业【2016】001号</t>
  </si>
  <si>
    <t xml:space="preserve"> 顺义区高丽营镇东马各庄村南</t>
  </si>
  <si>
    <t xml:space="preserve"> 北京世纪澄通电子有限公司  </t>
  </si>
  <si>
    <t xml:space="preserve">顺义区高丽营镇中关村临空国际3-2-4(南区)地块工业项目  </t>
  </si>
  <si>
    <t xml:space="preserve"> 京土整储挂(顺)工业【2015】003号</t>
  </si>
  <si>
    <t xml:space="preserve"> 顺义区高丽营镇中关村临空国际高新技术产业基地内</t>
  </si>
  <si>
    <t xml:space="preserve"> 北京聚利科技股份有限公司  </t>
  </si>
  <si>
    <t xml:space="preserve">顺义区高丽营镇中关村临空国际5-3-2地块工业项目  </t>
  </si>
  <si>
    <t xml:space="preserve"> 京土整储挂(顺)工业【2015】004号</t>
  </si>
  <si>
    <t xml:space="preserve"> 北京轩宇信息技术有限公司  </t>
  </si>
  <si>
    <t xml:space="preserve">顺义区赵全营B5-02地块工业项目  </t>
  </si>
  <si>
    <t xml:space="preserve"> 京土整储挂(顺)工业【2015】002号</t>
  </si>
  <si>
    <t xml:space="preserve"> 顺义区赵全营镇中心区工业用地内</t>
  </si>
  <si>
    <t xml:space="preserve"> 和仁顺通科技有限公司  </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</si>
  <si>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</si>
  <si>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</si>
  <si>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</si>
  <si>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</si>
  <si>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</si>
  <si>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</si>
  <si>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</si>
  <si>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</si>
  <si>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</si>
  <si>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</si>
  <si>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</si>
  <si>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</si>
  <si>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</si>
  <si>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</si>
  <si>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</si>
  <si>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</si>
  <si>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</si>
  <si>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</si>
  <si>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</si>
  <si>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</si>
  <si>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楼面单价</t>
    <phoneticPr fontId="140" type="noConversion"/>
  </si>
  <si>
    <t>年期修正</t>
    <phoneticPr fontId="3" type="noConversion"/>
  </si>
  <si>
    <t>地面单价</t>
    <phoneticPr fontId="140" type="noConversion"/>
  </si>
  <si>
    <t>楼面单价</t>
    <phoneticPr fontId="140" type="noConversion"/>
  </si>
  <si>
    <t>用途修正</t>
    <phoneticPr fontId="3" type="noConversion"/>
  </si>
  <si>
    <t>地面单价</t>
    <phoneticPr fontId="140" type="noConversion"/>
  </si>
  <si>
    <t>工业用地</t>
  </si>
  <si>
    <t>不临58条商业街</t>
  </si>
  <si>
    <t>通路</t>
  </si>
  <si>
    <t>通电</t>
  </si>
  <si>
    <t>通讯</t>
  </si>
  <si>
    <t>通上水</t>
  </si>
  <si>
    <t>通下水</t>
  </si>
  <si>
    <t>与级别开发程度一致</t>
  </si>
  <si>
    <t>按公示增长率计算</t>
  </si>
  <si>
    <t>容积率修正</t>
  </si>
  <si>
    <t>已发规证</t>
    <phoneticPr fontId="3" type="noConversion"/>
  </si>
  <si>
    <t>未发规证</t>
    <phoneticPr fontId="3" type="noConversion"/>
  </si>
  <si>
    <t>工程进度</t>
  </si>
  <si>
    <t>假设开发法</t>
  </si>
  <si>
    <t>在建</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</si>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</sst>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xf numFmtId="0" fontId="55" fillId="0" borderId="0"/>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NumberFormat="1" applyFont="1" applyAlignment="1"/>
    <xf numFmtId="14" fontId="111" fillId="0" borderId="0" xfId="0" applyNumberFormat="1" applyFont="1" applyAlignment="1"/>
    <xf numFmtId="0" fontId="111" fillId="5" borderId="0" xfId="0" applyNumberFormat="1" applyFont="1" applyFill="1" applyAlignment="1"/>
    <xf numFmtId="14" fontId="111" fillId="5" borderId="0" xfId="0" applyNumberFormat="1" applyFont="1" applyFill="1" applyAlignment="1"/>
    <xf numFmtId="0" fontId="116" fillId="6" borderId="26" xfId="17" applyFont="1" applyFill="1" applyBorder="1"/>
    <xf numFmtId="184" fontId="46" fillId="0" borderId="67" xfId="17" applyNumberFormat="1" applyFont="1" applyFill="1" applyBorder="1" applyAlignment="1" applyProtection="1">
      <alignment horizontal="center" vertical="center"/>
      <protection locked="0"/>
    </xf>
    <xf numFmtId="0" fontId="116" fillId="0" borderId="0" xfId="17" applyFont="1"/>
    <xf numFmtId="180" fontId="255" fillId="6" borderId="6" xfId="8" applyNumberFormat="1" applyFont="1" applyFill="1" applyBorder="1" applyAlignment="1" applyProtection="1">
      <alignment horizontal="center" vertical="center" wrapText="1"/>
    </xf>
    <xf numFmtId="0" fontId="256" fillId="6" borderId="9" xfId="17" applyFont="1" applyFill="1" applyBorder="1" applyAlignment="1" applyProtection="1">
      <alignment horizontal="center" vertical="center" wrapText="1"/>
    </xf>
    <xf numFmtId="179" fontId="256" fillId="6" borderId="9" xfId="17" applyNumberFormat="1" applyFont="1" applyFill="1" applyBorder="1" applyAlignment="1" applyProtection="1">
      <alignment horizontal="center" vertical="center" wrapText="1"/>
    </xf>
    <xf numFmtId="0" fontId="256" fillId="6" borderId="10" xfId="17"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7"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7"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7"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7" applyNumberFormat="1" applyFont="1" applyFill="1" applyBorder="1" applyAlignment="1" applyProtection="1">
      <alignment horizontal="center" vertical="center"/>
      <protection locked="0"/>
    </xf>
    <xf numFmtId="0" fontId="257" fillId="6" borderId="16" xfId="17" applyFont="1" applyFill="1" applyBorder="1" applyAlignment="1">
      <alignment vertical="center"/>
    </xf>
    <xf numFmtId="0" fontId="116" fillId="6" borderId="31" xfId="17" applyFont="1" applyFill="1" applyBorder="1" applyAlignment="1">
      <alignment vertical="center"/>
    </xf>
    <xf numFmtId="0" fontId="116" fillId="0" borderId="0" xfId="17" applyFont="1" applyAlignment="1">
      <alignment vertical="center"/>
    </xf>
    <xf numFmtId="0" fontId="116" fillId="6" borderId="63" xfId="17" applyFont="1" applyFill="1" applyBorder="1"/>
    <xf numFmtId="0" fontId="255" fillId="6" borderId="64" xfId="17" applyFont="1" applyFill="1" applyBorder="1" applyAlignment="1">
      <alignment horizontal="right" vertical="center"/>
    </xf>
    <xf numFmtId="0" fontId="255" fillId="6" borderId="65" xfId="17" applyFont="1" applyFill="1" applyBorder="1" applyAlignment="1">
      <alignment horizontal="right" vertical="center"/>
    </xf>
    <xf numFmtId="0" fontId="53" fillId="6" borderId="6" xfId="17" applyFont="1" applyFill="1" applyBorder="1" applyAlignment="1">
      <alignment horizontal="center"/>
    </xf>
    <xf numFmtId="0" fontId="102" fillId="0" borderId="9" xfId="17" applyFont="1" applyBorder="1" applyAlignment="1" applyProtection="1">
      <alignment horizontal="center"/>
      <protection locked="0"/>
    </xf>
    <xf numFmtId="0" fontId="53" fillId="6" borderId="9" xfId="17" applyFont="1" applyFill="1" applyBorder="1" applyAlignment="1">
      <alignment horizontal="center"/>
    </xf>
    <xf numFmtId="10" fontId="102" fillId="0" borderId="9" xfId="17" applyNumberFormat="1" applyFont="1" applyBorder="1" applyAlignment="1" applyProtection="1">
      <alignment horizontal="center"/>
      <protection locked="0"/>
    </xf>
    <xf numFmtId="0" fontId="53" fillId="6" borderId="10" xfId="17" applyFont="1" applyFill="1" applyBorder="1"/>
    <xf numFmtId="0" fontId="53" fillId="6" borderId="25" xfId="17" applyFont="1" applyFill="1" applyBorder="1" applyAlignment="1">
      <alignment horizontal="center"/>
    </xf>
    <xf numFmtId="0" fontId="102" fillId="0" borderId="32" xfId="17" applyFont="1" applyBorder="1" applyAlignment="1" applyProtection="1">
      <alignment horizontal="center"/>
      <protection locked="0"/>
    </xf>
    <xf numFmtId="0" fontId="53" fillId="6" borderId="32" xfId="17" applyFont="1" applyFill="1" applyBorder="1" applyAlignment="1">
      <alignment horizontal="center"/>
    </xf>
    <xf numFmtId="10" fontId="102" fillId="0" borderId="32" xfId="17" applyNumberFormat="1" applyFont="1" applyBorder="1" applyAlignment="1" applyProtection="1">
      <alignment horizontal="center"/>
      <protection locked="0"/>
    </xf>
    <xf numFmtId="0" fontId="53" fillId="6" borderId="49" xfId="17" applyFont="1" applyFill="1" applyBorder="1"/>
    <xf numFmtId="0" fontId="97" fillId="6" borderId="0" xfId="17" applyFont="1" applyFill="1" applyBorder="1" applyAlignment="1">
      <alignment horizontal="left"/>
    </xf>
    <xf numFmtId="0" fontId="53" fillId="6" borderId="0" xfId="17" applyFont="1" applyFill="1" applyBorder="1" applyAlignment="1">
      <alignment horizontal="center"/>
    </xf>
    <xf numFmtId="0" fontId="102" fillId="0" borderId="9" xfId="17" applyFont="1" applyFill="1" applyBorder="1" applyAlignment="1" applyProtection="1">
      <alignment horizontal="center"/>
      <protection locked="0"/>
    </xf>
    <xf numFmtId="0" fontId="102" fillId="0" borderId="0" xfId="17" applyFont="1"/>
    <xf numFmtId="0" fontId="102" fillId="6" borderId="32" xfId="17" applyFont="1" applyFill="1" applyBorder="1" applyAlignment="1">
      <alignment horizontal="center"/>
    </xf>
    <xf numFmtId="0" fontId="102" fillId="6" borderId="0" xfId="17" applyFont="1" applyFill="1"/>
    <xf numFmtId="0" fontId="116" fillId="6" borderId="0" xfId="17" applyFont="1" applyFill="1"/>
    <xf numFmtId="0" fontId="102" fillId="0" borderId="10" xfId="17" applyFont="1" applyFill="1" applyBorder="1" applyAlignment="1" applyProtection="1">
      <alignment horizontal="center"/>
      <protection locked="0"/>
    </xf>
    <xf numFmtId="0" fontId="102" fillId="6" borderId="49" xfId="17" applyFont="1" applyFill="1" applyBorder="1" applyAlignment="1">
      <alignment horizontal="center"/>
    </xf>
    <xf numFmtId="179" fontId="55" fillId="20" borderId="0" xfId="18" applyNumberFormat="1" applyFill="1" applyAlignment="1">
      <alignment horizontal="left"/>
    </xf>
    <xf numFmtId="0" fontId="55" fillId="20" borderId="0" xfId="18" applyFill="1" applyAlignment="1">
      <alignment horizontal="left"/>
    </xf>
    <xf numFmtId="0" fontId="19" fillId="20" borderId="0" xfId="18" applyFont="1" applyFill="1" applyAlignment="1">
      <alignment horizontal="left"/>
    </xf>
    <xf numFmtId="179" fontId="19" fillId="20" borderId="0" xfId="18" applyNumberFormat="1" applyFont="1" applyFill="1" applyAlignment="1">
      <alignment horizontal="left"/>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9" fontId="49" fillId="0" borderId="1" xfId="0" applyNumberFormat="1" applyFont="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6" borderId="63" xfId="17" applyFont="1" applyFill="1" applyBorder="1" applyAlignment="1">
      <alignment horizontal="center"/>
    </xf>
    <xf numFmtId="0" fontId="255" fillId="6" borderId="64" xfId="17" applyFont="1" applyFill="1" applyBorder="1" applyAlignment="1">
      <alignment horizontal="center"/>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1/2021-1-0208&#19978;&#28023;&#30003;&#27743;&#21335;&#36335;3588&#21495;/P01/&#26368;&#32456;/&#23545;&#20844;&#20107;&#19994;&#37096;&#8212;&#30005;&#31639;&#34920;-&#25151;&#22320;&#20135;-&#19978;&#28023;&#30003;&#27743;&#21335;&#36335;3588&#21495;&#24037;&#19994;&#29992;&#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0/2020-1-0434&#20134;&#24196;&#30334;&#24471;&#21033;2020/P01/&#26368;&#32456;/&#65288;E-02&#6528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工业"/>
      <sheetName val="年期修正系数"/>
      <sheetName val="案例"/>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工业用房</v>
          </cell>
        </row>
      </sheetData>
      <sheetData sheetId="15">
        <row r="6">
          <cell r="H6">
            <v>0.05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北京市出让国有建设用地使用权及在建建筑物房地产抵押价值预评估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受贵公司委托，我公司对北京市出让国有建设用地使用权及在建建筑物房地产抵押价值进行了预评估。</v>
      </c>
    </row>
    <row r="7" spans="1:2" s="1337" customFormat="1">
      <c r="A7" s="1335" t="s">
        <v>1172</v>
      </c>
      <c r="B7" s="1336" t="str">
        <f>'预评函-1'!A7</f>
        <v>估价对象为北京市出让国有建设用地使用权及在建建筑物房地产，为所有。根据《国有土地使用证》[]，估价对象（分摊）出让国有建设用地使用权面积为29031.75平方米，建筑面积为23225平方米。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出让国有建设用地使用权及在建建筑物房地产,属开发建设的，该项目尚在开发建设中。根据《国有土地使用证》[]，估价对象（分摊）出让国有建设用地使用权面积为29031.75平方米，规划建筑面积为23225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2022年2月18日（评估专业人员实地查勘之日）</v>
      </c>
    </row>
    <row r="13" spans="1:2" s="1337" customFormat="1">
      <c r="A13" s="1335" t="s">
        <v>1135</v>
      </c>
      <c r="B13" s="1336" t="str">
        <f>'预评函-1'!A18</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本次评估采用的主估价方法为成本法和假设开发法。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9394</v>
      </c>
    </row>
    <row r="21" spans="1:2" s="1337" customFormat="1">
      <c r="A21" s="1335" t="s">
        <v>1143</v>
      </c>
      <c r="B21" s="1336">
        <f ca="1">'预评函-2'!D7</f>
        <v>4045</v>
      </c>
    </row>
    <row r="22" spans="1:2" s="1337" customFormat="1">
      <c r="A22" s="1335" t="s">
        <v>1144</v>
      </c>
      <c r="B22" s="1336" t="str">
        <f ca="1">'预评函-2'!D6</f>
        <v>玖仟叁佰玖拾肆万元整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9394</v>
      </c>
    </row>
    <row r="31" spans="1:2" s="1337" customFormat="1">
      <c r="A31" s="1335" t="s">
        <v>1182</v>
      </c>
      <c r="B31" s="1336">
        <f ca="1">'预评函-2'!D15</f>
        <v>4045</v>
      </c>
    </row>
    <row r="32" spans="1:2" s="1337" customFormat="1">
      <c r="A32" s="1335" t="s">
        <v>1149</v>
      </c>
      <c r="B32" s="1336" t="str">
        <f ca="1">'预评函-2'!D14</f>
        <v>玖仟叁佰玖拾肆万元整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北京市出让国有建设用地使用权及在建建筑物房地产</v>
      </c>
    </row>
    <row r="42" spans="1:2" s="1337" customFormat="1">
      <c r="A42" s="1335" t="s">
        <v>1196</v>
      </c>
      <c r="B42" s="1336" t="str">
        <f>'预评函-3'!B2</f>
        <v>建筑面积</v>
      </c>
    </row>
    <row r="43" spans="1:2" s="1337" customFormat="1">
      <c r="A43" s="1335" t="s">
        <v>1197</v>
      </c>
      <c r="B43" s="1336">
        <f>'预评函-3'!B4</f>
        <v>23225</v>
      </c>
    </row>
    <row r="44" spans="1:2" s="1337" customFormat="1">
      <c r="A44" s="1335" t="s">
        <v>1181</v>
      </c>
      <c r="B44" s="1336" t="str">
        <f>'预评函-3'!C2</f>
        <v>(分摊)土地面积</v>
      </c>
    </row>
    <row r="45" spans="1:2" s="1337" customFormat="1">
      <c r="A45" s="1335" t="s">
        <v>1153</v>
      </c>
      <c r="B45" s="1336">
        <f>'预评函-3'!C4</f>
        <v>29031.75</v>
      </c>
    </row>
    <row r="46" spans="1:2" s="1337" customFormat="1">
      <c r="A46" s="1335" t="s">
        <v>1179</v>
      </c>
      <c r="B46" s="1336" t="str">
        <f>'预评函-3'!D2</f>
        <v>出让国有建设用地使用权价值</v>
      </c>
    </row>
    <row r="47" spans="1:2" s="1337" customFormat="1">
      <c r="A47" s="1335" t="s">
        <v>1154</v>
      </c>
      <c r="B47" s="1336">
        <f ca="1">'预评函-3'!D4</f>
        <v>6050</v>
      </c>
    </row>
    <row r="48" spans="1:2" s="1337" customFormat="1">
      <c r="A48" s="1335" t="s">
        <v>1155</v>
      </c>
      <c r="B48" s="1336">
        <f ca="1">'预评函-3'!E4</f>
        <v>2605</v>
      </c>
    </row>
    <row r="49" spans="1:2" s="1337" customFormat="1">
      <c r="A49" s="1335" t="s">
        <v>1156</v>
      </c>
      <c r="B49" s="1336" t="str">
        <f ca="1">'预评函-3'!D5</f>
        <v>陆仟零伍拾万元整</v>
      </c>
    </row>
    <row r="50" spans="1:2" s="1337" customFormat="1">
      <c r="A50" s="1335" t="s">
        <v>1180</v>
      </c>
      <c r="B50" s="1336" t="str">
        <f>'预评函-3'!F2</f>
        <v>在建建筑物价值</v>
      </c>
    </row>
    <row r="51" spans="1:2" s="1337" customFormat="1">
      <c r="A51" s="1335" t="s">
        <v>1157</v>
      </c>
      <c r="B51" s="1336">
        <f ca="1">'预评函-3'!F4</f>
        <v>3344</v>
      </c>
    </row>
    <row r="52" spans="1:2" s="1337" customFormat="1">
      <c r="A52" s="1335" t="s">
        <v>1158</v>
      </c>
      <c r="B52" s="1336">
        <f ca="1">'预评函-3'!G4</f>
        <v>1440</v>
      </c>
    </row>
    <row r="53" spans="1:2" s="1337" customFormat="1">
      <c r="A53" s="1335" t="s">
        <v>1186</v>
      </c>
      <c r="B53" s="1336" t="str">
        <f ca="1">'预评函-3'!F5</f>
        <v>叁仟叁佰肆拾肆万元整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1" sqref="F21"/>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2975</v>
      </c>
      <c r="C17" s="1702"/>
    </row>
    <row r="18" spans="1:3">
      <c r="A18" s="1701" t="s">
        <v>1672</v>
      </c>
      <c r="B18" s="1701" t="s">
        <v>3119</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6"/>
      <c r="B54" s="1709" t="s">
        <v>832</v>
      </c>
      <c r="C54" s="1706" t="s">
        <v>1189</v>
      </c>
    </row>
    <row r="55" spans="1:4">
      <c r="A55" s="3306"/>
      <c r="B55" s="1709" t="s">
        <v>833</v>
      </c>
      <c r="C55" s="1706" t="s">
        <v>1190</v>
      </c>
    </row>
    <row r="56" spans="1:4">
      <c r="A56" s="3306"/>
      <c r="B56" s="1709" t="s">
        <v>834</v>
      </c>
      <c r="C56" s="1706" t="s">
        <v>1194</v>
      </c>
    </row>
    <row r="57" spans="1:4">
      <c r="A57" s="330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5" sqref="L25"/>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2850</v>
      </c>
      <c r="B1" s="331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16"/>
      <c r="D1" s="3316"/>
      <c r="E1" s="3316"/>
      <c r="F1" s="3316"/>
      <c r="G1" s="3316"/>
      <c r="H1" s="3316"/>
      <c r="I1" s="3317"/>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901"/>
      <c r="U1" s="1901"/>
      <c r="V1" s="1901"/>
      <c r="W1" s="1901"/>
      <c r="X1" s="1901"/>
      <c r="Y1" s="1901"/>
      <c r="Z1" s="1901"/>
      <c r="AA1" s="1901"/>
      <c r="AB1" s="1901"/>
    </row>
    <row r="2" spans="1:28">
      <c r="A2" s="2561" t="s">
        <v>2851</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北京市出让国有建设用地使用权及在建建筑物房地产</v>
      </c>
      <c r="T2" s="1901"/>
      <c r="U2" s="1901"/>
      <c r="V2" s="1901"/>
      <c r="W2" s="1901"/>
      <c r="X2" s="1901"/>
      <c r="Y2" s="1901"/>
      <c r="Z2" s="1901"/>
      <c r="AA2" s="1901"/>
      <c r="AB2" s="1901"/>
    </row>
    <row r="3" spans="1:28">
      <c r="A3" s="308" t="s">
        <v>2852</v>
      </c>
      <c r="B3" s="2567">
        <v>44610</v>
      </c>
      <c r="C3" s="2568" t="s">
        <v>2853</v>
      </c>
      <c r="D3" s="2567">
        <f>B3</f>
        <v>44610</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2854</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2855</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2856</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2857</v>
      </c>
      <c r="B7" s="2581"/>
      <c r="C7" s="2579"/>
      <c r="D7" s="2580"/>
      <c r="E7" s="2859"/>
      <c r="F7" s="2861"/>
      <c r="G7" s="2861"/>
      <c r="H7" s="2861"/>
      <c r="I7" s="2861"/>
      <c r="J7" s="2635"/>
      <c r="K7" s="2812"/>
      <c r="L7" s="2809"/>
      <c r="M7" s="2809"/>
      <c r="N7" s="2635"/>
      <c r="O7" s="2646"/>
      <c r="P7" s="2635"/>
      <c r="Q7" s="2635"/>
      <c r="R7" s="2635"/>
    </row>
    <row r="8" spans="1:28">
      <c r="A8" s="2582" t="s">
        <v>2858</v>
      </c>
      <c r="B8" s="2583" t="s">
        <v>3124</v>
      </c>
      <c r="C8" s="2584"/>
      <c r="D8" s="3318" t="s">
        <v>2859</v>
      </c>
      <c r="E8" s="2585" t="s">
        <v>3125</v>
      </c>
      <c r="F8" s="2586"/>
      <c r="G8" s="2860"/>
      <c r="H8" s="2860"/>
      <c r="I8" s="2860"/>
      <c r="J8" s="2635"/>
      <c r="K8" s="2810"/>
      <c r="L8" s="2809"/>
      <c r="M8" s="2809"/>
      <c r="N8" s="2635"/>
      <c r="O8" s="2646"/>
      <c r="P8" s="2635"/>
      <c r="Q8" s="2635"/>
      <c r="R8" s="2635"/>
    </row>
    <row r="9" spans="1:28" ht="13.5" thickBot="1">
      <c r="A9" s="2587" t="s">
        <v>2860</v>
      </c>
      <c r="B9" s="2588" t="s">
        <v>3125</v>
      </c>
      <c r="C9" s="2589"/>
      <c r="D9" s="3319"/>
      <c r="E9" s="2588"/>
      <c r="F9" s="2590"/>
      <c r="G9" s="2862"/>
      <c r="H9" s="2862"/>
      <c r="I9" s="2862"/>
      <c r="J9" s="2635"/>
      <c r="K9" s="2812"/>
      <c r="L9" s="2809"/>
      <c r="M9" s="2809"/>
      <c r="N9" s="2635"/>
      <c r="O9" s="2646"/>
      <c r="P9" s="2635"/>
      <c r="Q9" s="2635"/>
      <c r="R9" s="2635"/>
    </row>
    <row r="10" spans="1:28" ht="13.5" thickTop="1">
      <c r="A10" s="2591" t="s">
        <v>2861</v>
      </c>
      <c r="B10" s="2592" t="s">
        <v>3126</v>
      </c>
      <c r="C10" s="2593"/>
      <c r="D10" s="2576"/>
      <c r="E10" s="2594" t="s">
        <v>2862</v>
      </c>
      <c r="F10" s="2863"/>
      <c r="G10" s="2864"/>
      <c r="H10" s="2865"/>
      <c r="I10" s="2866"/>
      <c r="J10" s="2635"/>
      <c r="K10" s="2812"/>
      <c r="L10" s="2809"/>
      <c r="M10" s="2809"/>
      <c r="N10" s="2635"/>
      <c r="O10" s="2646"/>
      <c r="P10" s="2635"/>
      <c r="Q10" s="2635"/>
      <c r="R10" s="2635"/>
    </row>
    <row r="11" spans="1:28">
      <c r="A11" s="2595" t="s">
        <v>2863</v>
      </c>
      <c r="B11" s="2596" t="s">
        <v>3127</v>
      </c>
      <c r="C11" s="2597"/>
      <c r="D11" s="2598"/>
      <c r="E11" s="2564"/>
      <c r="F11" s="2564"/>
      <c r="G11" s="2564"/>
      <c r="H11" s="2564"/>
      <c r="I11" s="2564"/>
      <c r="J11" s="2635"/>
      <c r="K11" s="2812"/>
      <c r="L11" s="2809"/>
      <c r="M11" s="2809"/>
      <c r="N11" s="2635"/>
      <c r="O11" s="2646"/>
      <c r="P11" s="2635"/>
      <c r="Q11" s="2635"/>
      <c r="R11" s="2635"/>
    </row>
    <row r="12" spans="1:28">
      <c r="A12" s="2599" t="s">
        <v>2864</v>
      </c>
      <c r="B12" s="2596" t="s">
        <v>3128</v>
      </c>
      <c r="C12" s="329" t="s">
        <v>2865</v>
      </c>
      <c r="D12" s="2600" t="s">
        <v>2866</v>
      </c>
      <c r="E12" s="2600" t="s">
        <v>2867</v>
      </c>
      <c r="F12" s="2600" t="s">
        <v>2868</v>
      </c>
      <c r="G12" s="2600" t="s">
        <v>2869</v>
      </c>
      <c r="H12" s="2600" t="s">
        <v>2870</v>
      </c>
      <c r="I12" s="2600" t="s">
        <v>2871</v>
      </c>
      <c r="J12" s="2635"/>
      <c r="K12" s="2812"/>
      <c r="L12" s="2809"/>
      <c r="M12" s="2809"/>
      <c r="N12" s="2635"/>
      <c r="O12" s="2646"/>
      <c r="P12" s="2635"/>
      <c r="Q12" s="2635"/>
      <c r="R12" s="2635"/>
    </row>
    <row r="13" spans="1:28">
      <c r="A13" s="1213"/>
      <c r="B13" s="2601"/>
      <c r="C13" s="2602" t="s">
        <v>2872</v>
      </c>
      <c r="D13" s="965"/>
      <c r="E13" s="965"/>
      <c r="F13" s="965"/>
      <c r="G13" s="965"/>
      <c r="H13" s="965"/>
      <c r="I13" s="965">
        <v>59481</v>
      </c>
      <c r="J13" s="2635"/>
      <c r="K13" s="2812"/>
      <c r="L13" s="2809"/>
      <c r="M13" s="2809"/>
      <c r="N13" s="2635"/>
      <c r="O13" s="2646"/>
      <c r="P13" s="2635"/>
      <c r="Q13" s="2635"/>
      <c r="R13" s="2635"/>
    </row>
    <row r="14" spans="1:28">
      <c r="A14" s="1213"/>
      <c r="B14" s="2601"/>
      <c r="C14" s="2602" t="s">
        <v>2873</v>
      </c>
      <c r="D14" s="2603"/>
      <c r="E14" s="2603"/>
      <c r="F14" s="2603"/>
      <c r="G14" s="2603"/>
      <c r="H14" s="2603"/>
      <c r="I14" s="2603">
        <v>50</v>
      </c>
      <c r="J14" s="2635"/>
      <c r="K14" s="2813"/>
      <c r="L14" s="2809"/>
      <c r="M14" s="2809"/>
      <c r="N14" s="2635"/>
      <c r="O14" s="2646"/>
      <c r="P14" s="2635"/>
      <c r="Q14" s="2635"/>
      <c r="R14" s="2635"/>
    </row>
    <row r="15" spans="1:28">
      <c r="A15" s="326"/>
      <c r="B15" s="2604"/>
      <c r="C15" s="2605" t="s">
        <v>2874</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40.74</v>
      </c>
      <c r="J15" s="2635"/>
      <c r="K15" s="2814"/>
      <c r="L15" s="2647"/>
      <c r="M15" s="2647"/>
      <c r="N15" s="2705"/>
      <c r="O15" s="2647"/>
      <c r="P15" s="2705"/>
      <c r="Q15" s="2635"/>
      <c r="R15" s="2635"/>
    </row>
    <row r="16" spans="1:28">
      <c r="A16" s="2594" t="s">
        <v>2875</v>
      </c>
      <c r="B16" s="3325"/>
      <c r="C16" s="3326"/>
      <c r="D16" s="3327"/>
      <c r="E16" s="2609" t="s">
        <v>2876</v>
      </c>
      <c r="F16" s="3328"/>
      <c r="G16" s="3329"/>
      <c r="H16" s="3329"/>
      <c r="I16" s="3330"/>
      <c r="J16" s="2635"/>
      <c r="K16" s="2814"/>
      <c r="L16" s="2647"/>
      <c r="M16" s="2647"/>
      <c r="N16" s="2705"/>
      <c r="O16" s="2647"/>
      <c r="P16" s="2705"/>
      <c r="Q16" s="2635"/>
      <c r="R16" s="2635"/>
    </row>
    <row r="17" spans="1:28">
      <c r="A17" s="319" t="s">
        <v>2877</v>
      </c>
      <c r="B17" s="308" t="s">
        <v>2878</v>
      </c>
      <c r="C17" s="11">
        <f>'数据-汇总表'!E3</f>
        <v>23225</v>
      </c>
      <c r="D17" s="2515" t="s">
        <v>2879</v>
      </c>
      <c r="E17" s="3331" t="s">
        <v>2880</v>
      </c>
      <c r="F17" s="3332"/>
      <c r="G17" s="3332"/>
      <c r="H17" s="3332"/>
      <c r="I17" s="3333"/>
      <c r="J17" s="2635"/>
      <c r="K17" s="2815"/>
      <c r="L17" s="2647"/>
      <c r="M17" s="2647"/>
      <c r="N17" s="2705"/>
      <c r="O17" s="2647"/>
      <c r="P17" s="2705"/>
      <c r="Q17" s="2635"/>
      <c r="R17" s="2635"/>
      <c r="S17" s="2635"/>
      <c r="T17" s="2635"/>
      <c r="U17" s="2635"/>
      <c r="V17" s="2635"/>
    </row>
    <row r="18" spans="1:28" ht="24.75" thickBot="1">
      <c r="A18" s="2610" t="s">
        <v>2881</v>
      </c>
      <c r="B18" s="1222" t="s">
        <v>2882</v>
      </c>
      <c r="C18" s="2611">
        <f>'数据-汇总表'!D3</f>
        <v>29031.75</v>
      </c>
      <c r="D18" s="1224" t="s">
        <v>2883</v>
      </c>
      <c r="E18" s="3334" t="s">
        <v>2884</v>
      </c>
      <c r="F18" s="3335"/>
      <c r="G18" s="3335"/>
      <c r="H18" s="3335"/>
      <c r="I18" s="3336"/>
      <c r="J18" s="2635"/>
      <c r="K18" s="2815"/>
      <c r="L18" s="2647"/>
      <c r="M18" s="2647"/>
      <c r="N18" s="2705"/>
      <c r="O18" s="2647"/>
      <c r="P18" s="2705"/>
      <c r="Q18" s="2635"/>
      <c r="R18" s="2635"/>
      <c r="S18" s="2635"/>
      <c r="T18" s="2635"/>
      <c r="U18" s="2635"/>
      <c r="V18" s="2635"/>
    </row>
    <row r="19" spans="1:28" ht="37.5" thickTop="1" thickBot="1">
      <c r="A19" s="333" t="s">
        <v>1681</v>
      </c>
      <c r="B19" s="313" t="s">
        <v>2885</v>
      </c>
      <c r="C19" s="1718"/>
      <c r="D19" s="1719" t="s">
        <v>2886</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2887</v>
      </c>
      <c r="B20" s="3321" t="s">
        <v>2888</v>
      </c>
      <c r="C20" s="3322"/>
      <c r="D20" s="3323" t="s">
        <v>2889</v>
      </c>
      <c r="E20" s="3324"/>
      <c r="F20" s="2844" t="s">
        <v>1682</v>
      </c>
      <c r="G20" s="2861"/>
      <c r="H20" s="2861"/>
      <c r="I20" s="2861"/>
      <c r="J20" s="2635"/>
      <c r="K20" s="3320" t="s">
        <v>2890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2891</v>
      </c>
      <c r="C21" s="2831" t="s">
        <v>1683</v>
      </c>
      <c r="D21" s="1723" t="s">
        <v>2892</v>
      </c>
      <c r="E21" s="2832" t="s">
        <v>1683</v>
      </c>
      <c r="F21" s="2845"/>
      <c r="G21" s="2861"/>
      <c r="H21" s="2861"/>
      <c r="I21" s="2861"/>
      <c r="J21" s="2635"/>
      <c r="K21" s="33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2893</v>
      </c>
      <c r="C22" s="2831" t="s">
        <v>1684</v>
      </c>
      <c r="D22" s="2860"/>
      <c r="E22" s="2860"/>
      <c r="F22" s="2860"/>
      <c r="G22" s="2861"/>
      <c r="H22" s="2861"/>
      <c r="I22" s="2861"/>
      <c r="J22" s="2635"/>
      <c r="K22" s="33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2894</v>
      </c>
      <c r="B23" s="2698" t="s">
        <v>2895</v>
      </c>
      <c r="C23" s="2835"/>
      <c r="D23" s="2836" t="s">
        <v>2895</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08" t="s">
        <v>2896</v>
      </c>
      <c r="B27" s="326" t="s">
        <v>2897</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308"/>
      <c r="B28" s="308" t="s">
        <v>2898</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308"/>
      <c r="B29" s="308" t="s">
        <v>2899</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309"/>
      <c r="B30" s="308" t="s">
        <v>2900</v>
      </c>
      <c r="C30" s="3310"/>
      <c r="D30" s="3311"/>
      <c r="E30" s="2861"/>
      <c r="F30" s="2861"/>
      <c r="G30" s="2861"/>
      <c r="H30" s="2861"/>
      <c r="I30" s="2861"/>
      <c r="J30" s="2635"/>
      <c r="K30" s="2812"/>
      <c r="L30" s="2809"/>
      <c r="M30" s="2809"/>
      <c r="N30" s="2635"/>
      <c r="O30" s="2646"/>
      <c r="P30" s="2635"/>
      <c r="Q30" s="2635"/>
      <c r="R30" s="2635"/>
      <c r="S30" s="2635"/>
      <c r="T30" s="2635"/>
      <c r="U30" s="2635"/>
      <c r="V30" s="2635"/>
    </row>
    <row r="31" spans="1:28">
      <c r="A31" s="3312" t="s">
        <v>2901</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13"/>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13"/>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2902</v>
      </c>
      <c r="B34" s="2184"/>
      <c r="C34" s="2184"/>
      <c r="D34" s="2184"/>
      <c r="E34" s="2184"/>
      <c r="F34" s="2184"/>
      <c r="G34" s="2184"/>
      <c r="H34" s="2184"/>
      <c r="I34" s="2861"/>
      <c r="J34" s="2635"/>
      <c r="K34" s="2623">
        <f>COUNTIF(B34:H34,"——")</f>
        <v>0</v>
      </c>
      <c r="L34" s="329" t="s">
        <v>2903</v>
      </c>
      <c r="M34" s="329" t="s">
        <v>2904</v>
      </c>
      <c r="N34" s="329" t="s">
        <v>2905</v>
      </c>
      <c r="O34" s="329" t="s">
        <v>2906</v>
      </c>
      <c r="P34" s="329" t="s">
        <v>2907</v>
      </c>
      <c r="Q34" s="329" t="s">
        <v>2908</v>
      </c>
      <c r="R34" s="329" t="s">
        <v>2909</v>
      </c>
      <c r="S34" s="3307" t="s">
        <v>2910</v>
      </c>
      <c r="T34" s="2624" t="str">
        <f>NUMBERSTRING(7-K34,1)&amp;"通"</f>
        <v>七通</v>
      </c>
      <c r="U34" s="2635"/>
      <c r="V34" s="2635"/>
    </row>
    <row r="35" spans="1:30">
      <c r="A35" s="2625"/>
      <c r="B35" s="3314" t="s">
        <v>2911</v>
      </c>
      <c r="C35" s="3314"/>
      <c r="D35" s="3314"/>
      <c r="E35" s="3314"/>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7"/>
      <c r="T35" s="335" t="str">
        <f>IF(T34="一通",L35,IF(T34="二通",M35,IF(T34="三通",N35,IF(T34="四通",O35,IF(T34="五通",P35,IF(T34="六通",Q35,R35))))))</f>
        <v>、、、、、、</v>
      </c>
      <c r="U35" s="2635"/>
      <c r="V35" s="2635"/>
    </row>
    <row r="36" spans="1:30">
      <c r="A36" s="2626"/>
      <c r="B36" s="673" t="s">
        <v>2867</v>
      </c>
      <c r="C36" s="673" t="s">
        <v>2868</v>
      </c>
      <c r="D36" s="673" t="s">
        <v>2866</v>
      </c>
      <c r="E36" s="673" t="s">
        <v>2871</v>
      </c>
      <c r="F36" s="2867"/>
      <c r="G36" s="2861"/>
      <c r="H36" s="2861"/>
      <c r="I36" s="2861"/>
      <c r="J36" s="2635"/>
      <c r="K36" s="2812"/>
      <c r="L36" s="2809"/>
      <c r="M36" s="2809"/>
      <c r="N36" s="2635"/>
      <c r="O36" s="2646"/>
      <c r="P36" s="2635"/>
      <c r="Q36" s="2635"/>
      <c r="R36" s="2635"/>
      <c r="S36" s="2635"/>
      <c r="T36" s="2635"/>
      <c r="U36" s="2635"/>
      <c r="V36" s="2635"/>
    </row>
    <row r="37" spans="1:30">
      <c r="A37" s="2827" t="s">
        <v>2912</v>
      </c>
      <c r="B37" s="2627"/>
      <c r="C37" s="2627"/>
      <c r="D37" s="2627"/>
      <c r="E37" s="2627" t="s">
        <v>534</v>
      </c>
      <c r="F37" s="2867"/>
      <c r="G37" s="2861"/>
      <c r="H37" s="2861"/>
      <c r="I37" s="2861"/>
      <c r="J37" s="2635"/>
      <c r="K37" s="2812"/>
      <c r="L37" s="2809"/>
      <c r="M37" s="2809"/>
      <c r="N37" s="2635"/>
      <c r="O37" s="2646"/>
      <c r="P37" s="2635"/>
      <c r="Q37" s="2635"/>
      <c r="R37" s="2635"/>
      <c r="S37" s="2635"/>
      <c r="T37" s="2635"/>
      <c r="U37" s="2635"/>
      <c r="V37" s="2635"/>
    </row>
    <row r="38" spans="1:30" ht="13.5" thickBot="1">
      <c r="A38" s="2828" t="s">
        <v>2913</v>
      </c>
      <c r="B38" s="2628"/>
      <c r="C38" s="2628"/>
      <c r="D38" s="2628"/>
      <c r="E38" s="2628" t="s">
        <v>267</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2914</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2915</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2916</v>
      </c>
      <c r="B42" s="11" t="s">
        <v>2917</v>
      </c>
      <c r="C42" s="11" t="s">
        <v>2918</v>
      </c>
      <c r="D42" s="11" t="s">
        <v>2919</v>
      </c>
      <c r="E42" s="11" t="s">
        <v>2920</v>
      </c>
      <c r="F42" s="11" t="s">
        <v>2921</v>
      </c>
      <c r="G42" s="11" t="s">
        <v>2922</v>
      </c>
      <c r="H42" s="11" t="s">
        <v>2923</v>
      </c>
      <c r="I42" s="11" t="s">
        <v>2924</v>
      </c>
      <c r="J42" s="2823" t="s">
        <v>2925</v>
      </c>
      <c r="K42" s="2824" t="s">
        <v>2926</v>
      </c>
      <c r="L42" s="2824" t="s">
        <v>2927</v>
      </c>
      <c r="M42" s="2824" t="s">
        <v>2928</v>
      </c>
      <c r="N42" s="2817" t="s">
        <v>2929</v>
      </c>
      <c r="O42" s="2817" t="s">
        <v>2930</v>
      </c>
      <c r="P42" s="2817" t="s">
        <v>2931</v>
      </c>
      <c r="Q42" s="2818" t="s">
        <v>2932</v>
      </c>
      <c r="R42" s="2818" t="s">
        <v>2933</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29031.75</v>
      </c>
      <c r="B3" s="14">
        <f>IF(C3="否",G5-AT5,G5)</f>
        <v>23225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23225</v>
      </c>
      <c r="H5" s="16">
        <f t="shared" ref="H5:AT5" si="0">SUM(H13:H656)</f>
        <v>23225</v>
      </c>
      <c r="I5" s="16">
        <f t="shared" si="0"/>
        <v>23225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23225</v>
      </c>
      <c r="BA5" s="18">
        <f t="shared" si="1"/>
        <v>23225</v>
      </c>
      <c r="BB5" s="18">
        <f t="shared" si="1"/>
        <v>23225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29031.75</v>
      </c>
      <c r="F6" s="16" t="s">
        <v>1</v>
      </c>
      <c r="G6" s="16" t="s">
        <v>2</v>
      </c>
      <c r="H6" s="20">
        <f>SUMIF(I$12:AB$12,"总值",I6:AB6)</f>
        <v>29031.75</v>
      </c>
      <c r="I6" s="16">
        <f t="shared" ref="I6:AB6" si="2">ROUND($A$3*I5/$B$3,2)</f>
        <v>29031.75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29031.75</v>
      </c>
      <c r="AZ6" s="16" t="s">
        <v>3</v>
      </c>
      <c r="BA6" s="16">
        <f>ROUND($AY$6*BA5/$AZ$5,2)</f>
        <v>29031.75</v>
      </c>
      <c r="BB6" s="16">
        <f>ROUND($AY$6*BB5/$AZ$5,2)</f>
        <v>29031.75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3130</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3131</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标准厂房</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f>3711/I13*10000</f>
        <v>2357.6874205844979</v>
      </c>
      <c r="B13" s="3263">
        <v>0.8</v>
      </c>
      <c r="C13" s="3261" t="s">
        <v>3318</v>
      </c>
      <c r="D13" s="1780" t="s">
        <v>3129</v>
      </c>
      <c r="E13" s="16">
        <f>IF($C$3="是",ROUND($A$3*G13/$B$3,2),ROUND($A$3*(G13-AT13)/$B$3,2))</f>
        <v>19675.34</v>
      </c>
      <c r="F13" s="32"/>
      <c r="G13" s="33">
        <f>H13+AC13+AT13</f>
        <v>15740</v>
      </c>
      <c r="H13" s="20">
        <f>SUMIF(I$12:AB$12,"总值",I13:AB13)</f>
        <v>15740</v>
      </c>
      <c r="I13" s="1781">
        <v>15740</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2357.6874205844979</v>
      </c>
      <c r="AW13" s="11">
        <f t="shared" si="6"/>
        <v>0.8</v>
      </c>
      <c r="AX13" s="11" t="str">
        <f t="shared" si="6"/>
        <v>已发规证</v>
      </c>
      <c r="AY13" s="1503">
        <f>ROUND($AY$6*AZ13/$AZ$5,2)</f>
        <v>19675.34</v>
      </c>
      <c r="AZ13" s="16">
        <f>BA13+BL13</f>
        <v>15740</v>
      </c>
      <c r="BA13" s="16">
        <f>SUM(BB13:BK13)</f>
        <v>15740</v>
      </c>
      <c r="BB13" s="16">
        <f>IF($D13="是",I13-J13,0)</f>
        <v>15740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f>3000000/I14</f>
        <v>400.80160320641284</v>
      </c>
      <c r="B14" s="1182">
        <v>0</v>
      </c>
      <c r="C14" s="3262" t="s">
        <v>3319</v>
      </c>
      <c r="D14" s="1780" t="s">
        <v>3129</v>
      </c>
      <c r="E14" s="16">
        <f>IF($C$3="是",ROUND($A$3*G14/$B$3,2),ROUND($A$3*(G14-AT14)/$B$3,2))</f>
        <v>9356.41</v>
      </c>
      <c r="F14" s="32"/>
      <c r="G14" s="33">
        <f>H14+AC14+AT14</f>
        <v>7485</v>
      </c>
      <c r="H14" s="20">
        <f>SUMIF(I$12:AB$12,"总值",I14:AB14)</f>
        <v>7485</v>
      </c>
      <c r="I14" s="1781">
        <f>23225-I13</f>
        <v>7485</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400.80160320641284</v>
      </c>
      <c r="AW14" s="11">
        <f t="shared" si="6"/>
        <v>0</v>
      </c>
      <c r="AX14" s="11" t="str">
        <f t="shared" si="6"/>
        <v>未发规证</v>
      </c>
      <c r="AY14" s="1503">
        <f>ROUND($AY$6*AZ14/$AZ$5,2)</f>
        <v>9356.41</v>
      </c>
      <c r="AZ14" s="16">
        <f>BA14+BL14</f>
        <v>7485</v>
      </c>
      <c r="BA14" s="16">
        <f>SUM(BB14:BK14)</f>
        <v>7485</v>
      </c>
      <c r="BB14" s="16">
        <f>IF($D14="是",I14-J14,0)</f>
        <v>7485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f>(A13*I13+A14*I14)/A3</f>
        <v>1381.5908445064456</v>
      </c>
      <c r="B15" s="1182">
        <f>(B13*I13+B14*I14)/B3</f>
        <v>0.54217438105489779</v>
      </c>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1381.5908445064456</v>
      </c>
      <c r="AW15" s="11">
        <f t="shared" si="6"/>
        <v>0.54217438105489779</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7" t="s">
        <v>0</v>
      </c>
      <c r="B1" s="3337" t="s">
        <v>4</v>
      </c>
      <c r="C1" s="3337" t="s">
        <v>5</v>
      </c>
      <c r="D1" s="3338" t="s">
        <v>53</v>
      </c>
      <c r="E1" s="3338" t="s">
        <v>54</v>
      </c>
      <c r="F1" s="3338"/>
      <c r="G1" s="3338"/>
      <c r="H1" s="3338"/>
      <c r="I1" s="3338"/>
      <c r="J1" s="3338"/>
      <c r="K1" s="3338"/>
      <c r="L1" s="3338"/>
      <c r="M1" s="3338"/>
    </row>
    <row r="2" spans="1:13" ht="27" customHeight="1">
      <c r="A2" s="3337"/>
      <c r="B2" s="3337"/>
      <c r="C2" s="3337"/>
      <c r="D2" s="3338"/>
      <c r="E2" s="3338" t="s">
        <v>37</v>
      </c>
      <c r="F2" s="3338" t="s">
        <v>38</v>
      </c>
      <c r="G2" s="3338"/>
      <c r="H2" s="3338"/>
      <c r="I2" s="3338"/>
      <c r="J2" s="3338" t="s">
        <v>39</v>
      </c>
      <c r="K2" s="3338"/>
      <c r="L2" s="3338"/>
      <c r="M2" s="3338"/>
    </row>
    <row r="3" spans="1:13" ht="28.5">
      <c r="A3" s="3337"/>
      <c r="B3" s="3337"/>
      <c r="C3" s="3337"/>
      <c r="D3" s="3338"/>
      <c r="E3" s="33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8" t="s">
        <v>55</v>
      </c>
      <c r="B9" s="3338"/>
      <c r="C9" s="33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T14" sqref="T14"/>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48" t="s">
        <v>1757</v>
      </c>
      <c r="B2" s="3348"/>
      <c r="C2" s="3348"/>
      <c r="D2" s="904" t="s">
        <v>1733</v>
      </c>
      <c r="E2" s="1794" t="s">
        <v>1734</v>
      </c>
      <c r="F2" s="2856"/>
      <c r="G2" s="2847"/>
      <c r="H2" s="2848"/>
      <c r="I2" s="2518" t="s">
        <v>1758</v>
      </c>
      <c r="J2" s="2856"/>
      <c r="K2" s="2856"/>
      <c r="L2" s="2856"/>
      <c r="M2" s="2856"/>
      <c r="N2" s="2858"/>
      <c r="O2" s="2856"/>
      <c r="P2" s="2856"/>
    </row>
    <row r="3" spans="1:16" ht="15.75" thickBot="1">
      <c r="A3" s="3349" t="s">
        <v>1731</v>
      </c>
      <c r="B3" s="3349"/>
      <c r="C3" s="3349"/>
      <c r="D3" s="46">
        <f>'数据-基础表'!AY6</f>
        <v>29031.75</v>
      </c>
      <c r="E3" s="46">
        <f>'数据-基础表'!AZ5</f>
        <v>23225</v>
      </c>
      <c r="F3" s="2856"/>
      <c r="G3" s="1279"/>
      <c r="H3" s="1157" t="s">
        <v>1732</v>
      </c>
      <c r="I3" s="964">
        <f>ROUND('数据-基础表'!B3/'数据-基础表'!A3,2)</f>
        <v>0.8</v>
      </c>
      <c r="J3" s="2856"/>
      <c r="K3" s="2856"/>
      <c r="L3" s="2856"/>
      <c r="M3" s="2856"/>
      <c r="N3" s="2858"/>
      <c r="O3" s="2856"/>
      <c r="P3" s="2856"/>
    </row>
    <row r="4" spans="1:16" ht="15">
      <c r="A4" s="3350"/>
      <c r="B4" s="3351"/>
      <c r="C4" s="3352"/>
      <c r="D4" s="1796" t="s">
        <v>1733</v>
      </c>
      <c r="E4" s="1797" t="s">
        <v>1734</v>
      </c>
      <c r="F4" s="2856"/>
      <c r="G4" s="2849" t="s">
        <v>1759</v>
      </c>
      <c r="H4" s="1157" t="s">
        <v>1739</v>
      </c>
      <c r="I4" s="964">
        <f>ROUND(SUMIF('数据-基础表'!I9:AS9,"地上",'数据-基础表'!I5:AS5)/'数据-基础表'!A3,2)</f>
        <v>0.8</v>
      </c>
      <c r="J4" s="2856"/>
      <c r="K4" s="2856"/>
      <c r="L4" s="2856"/>
      <c r="M4" s="2856"/>
      <c r="N4" s="2858"/>
      <c r="O4" s="2856"/>
      <c r="P4" s="2856"/>
    </row>
    <row r="5" spans="1:16">
      <c r="A5" s="47" t="s">
        <v>1735</v>
      </c>
      <c r="B5" s="3353" t="s">
        <v>1736</v>
      </c>
      <c r="C5" s="3353"/>
      <c r="D5" s="48">
        <f>ROUND($D$3*E5/$E$3,2)</f>
        <v>0</v>
      </c>
      <c r="E5" s="49">
        <f>SUMIF('数据-基础表'!$11:$11,"住宅",'数据-基础表'!$5:$5)</f>
        <v>0</v>
      </c>
      <c r="F5" s="2856"/>
      <c r="G5" s="1279"/>
      <c r="H5" s="1157" t="s">
        <v>1732</v>
      </c>
      <c r="I5" s="964">
        <f>ROUND(E31/D31,2)</f>
        <v>0.8</v>
      </c>
      <c r="J5" s="2856"/>
      <c r="K5" s="2856"/>
      <c r="L5" s="2856"/>
      <c r="M5" s="2856"/>
      <c r="N5" s="2856"/>
      <c r="O5" s="2856"/>
      <c r="P5" s="2856"/>
    </row>
    <row r="6" spans="1:16" ht="15" thickBot="1">
      <c r="A6" s="1799"/>
      <c r="B6" s="3353" t="s">
        <v>1737</v>
      </c>
      <c r="C6" s="3353"/>
      <c r="D6" s="48">
        <f>ROUND($D$3*E6/$E$3,2)</f>
        <v>29031.75</v>
      </c>
      <c r="E6" s="49">
        <f>E3-E5</f>
        <v>23225</v>
      </c>
      <c r="F6" s="2856"/>
      <c r="G6" s="2850" t="s">
        <v>1738</v>
      </c>
      <c r="H6" s="1280" t="s">
        <v>1739</v>
      </c>
      <c r="I6" s="2851">
        <f>ROUND(F31/D31,2)</f>
        <v>0.8</v>
      </c>
      <c r="J6" s="2856"/>
      <c r="K6" s="2856"/>
      <c r="L6" s="2856"/>
      <c r="M6" s="2856"/>
      <c r="N6" s="2856"/>
      <c r="O6" s="2856"/>
      <c r="P6" s="2856"/>
    </row>
    <row r="7" spans="1:16" ht="15.75" thickBot="1">
      <c r="A7" s="3345"/>
      <c r="B7" s="3346"/>
      <c r="C7" s="3347"/>
      <c r="D7" s="1796" t="s">
        <v>1733</v>
      </c>
      <c r="E7" s="1800" t="s">
        <v>1740</v>
      </c>
      <c r="F7" s="2856"/>
      <c r="G7" s="2852" t="s">
        <v>1741</v>
      </c>
      <c r="H7" s="2853"/>
      <c r="I7" s="2854">
        <f>I6</f>
        <v>0.8</v>
      </c>
      <c r="J7" s="2856"/>
      <c r="K7" s="2856"/>
      <c r="L7" s="2856"/>
      <c r="M7" s="2856"/>
      <c r="N7" s="2856"/>
      <c r="O7" s="2856"/>
      <c r="P7" s="2856"/>
    </row>
    <row r="8" spans="1:16">
      <c r="A8" s="47" t="s">
        <v>1742</v>
      </c>
      <c r="B8" s="50" t="s">
        <v>1743</v>
      </c>
      <c r="C8" s="48" t="s">
        <v>1744</v>
      </c>
      <c r="D8" s="48">
        <f t="shared" ref="D8:D15" si="0">ROUND($D$3*E8/$E$3,2)</f>
        <v>29031.75</v>
      </c>
      <c r="E8" s="51">
        <f>SUMIF('数据-基础表'!BB10:BK10,"地上",'数据-基础表'!BB5:BK5)</f>
        <v>23225</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29031.75</v>
      </c>
      <c r="E16" s="53">
        <f>SUM(E8:E15)</f>
        <v>23225</v>
      </c>
      <c r="F16" s="2856"/>
      <c r="G16" s="2857"/>
      <c r="H16" s="1803" t="s">
        <v>1761</v>
      </c>
      <c r="I16" s="1804"/>
      <c r="J16" s="1273"/>
      <c r="K16" s="3342" t="s">
        <v>1761</v>
      </c>
      <c r="L16" s="3343"/>
      <c r="M16" s="3343"/>
      <c r="N16" s="3343"/>
      <c r="O16" s="3343"/>
      <c r="P16" s="3344"/>
    </row>
    <row r="17" spans="1:19" ht="15">
      <c r="A17" s="1805" t="s">
        <v>1762</v>
      </c>
      <c r="B17" s="1806" t="s">
        <v>1763</v>
      </c>
      <c r="C17" s="1807" t="s">
        <v>1764</v>
      </c>
      <c r="D17" s="1808" t="s">
        <v>1752</v>
      </c>
      <c r="E17" s="1809" t="s">
        <v>1753</v>
      </c>
      <c r="F17" s="1810"/>
      <c r="G17" s="1811"/>
      <c r="H17" s="1812" t="s">
        <v>1765</v>
      </c>
      <c r="I17" s="1813" t="s">
        <v>1750</v>
      </c>
      <c r="J17" s="1273"/>
      <c r="K17" s="3339" t="s">
        <v>1766</v>
      </c>
      <c r="L17" s="3340"/>
      <c r="M17" s="3341"/>
      <c r="N17" s="3339" t="s">
        <v>1767</v>
      </c>
      <c r="O17" s="3340"/>
      <c r="P17" s="3341"/>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3132</v>
      </c>
      <c r="D19" s="48">
        <f>ROUND($D$3*E19/$E$3,2)</f>
        <v>29031.75</v>
      </c>
      <c r="E19" s="56">
        <f t="shared" ref="E19:E26" si="1">SUM(F19:G19)</f>
        <v>23225</v>
      </c>
      <c r="F19" s="2996">
        <f>'数据-基础表'!I5</f>
        <v>23225</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29031.75</v>
      </c>
      <c r="S19" s="1158">
        <f t="shared" si="5"/>
        <v>23225</v>
      </c>
    </row>
    <row r="20" spans="1:19">
      <c r="A20" s="1826"/>
      <c r="B20" s="50" t="s">
        <v>1779</v>
      </c>
      <c r="C20" s="3207"/>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29031.75</v>
      </c>
      <c r="E27" s="1275">
        <f>IF(SUM(E19:E26)='数据-基础表'!BA5,SUM(E19:E26),IF(F27="地上面积有误","面积有误","地下面积有误"))</f>
        <v>23225</v>
      </c>
      <c r="F27" s="1274">
        <f>IF(SUM(F19:F26)=E8,SUM(F19:F26),"地上面积有误")</f>
        <v>23225</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29031.75</v>
      </c>
      <c r="S27" s="1157">
        <f>IF(SUM(S19:S26)=$E$3,SUM(S19:S26),SUM(S19:S26)&amp;"误差"&amp;ROUND(SUM(S19:S26)-E3,2))</f>
        <v>23225</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29031.75</v>
      </c>
      <c r="E31" s="685">
        <f>E27+E30</f>
        <v>23225</v>
      </c>
      <c r="F31" s="686">
        <f>F27+F30</f>
        <v>23225</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44610</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3320</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59481</v>
      </c>
      <c r="F6" s="68">
        <f>SUMIF(项目基本情况!D$12:I$12,C6,项目基本情况!D$15:I$15)</f>
        <v>40.74</v>
      </c>
      <c r="G6" s="69">
        <f>IF(ISERROR(ROUND(POWER(1+H6,D6-F6)*(POWER(1+H6,F6)-1)/(POWER(1+H6,D6)-1),3)),0,ROUND(POWER(1+H6,D6-F6)*(POWER(1+H6,F6)-1)/(POWER(1+H6,D6)-1),3))</f>
        <v>0.93700000000000006</v>
      </c>
      <c r="H6" s="741">
        <v>4.4999999999999998E-2</v>
      </c>
      <c r="I6" s="741">
        <v>0.05</v>
      </c>
      <c r="J6" s="70">
        <v>7.0000000000000007E-2</v>
      </c>
      <c r="K6" s="1161">
        <f>SUMIF('数据-汇总表'!C$19:C$33,A6,'数据-汇总表'!E$19:E$33)</f>
        <v>23225</v>
      </c>
      <c r="L6" s="742">
        <v>1500</v>
      </c>
      <c r="M6" s="71">
        <f t="shared" ref="M6:M14" si="0">ROUND(K6*L6/10000,0)</f>
        <v>3484</v>
      </c>
      <c r="N6" s="740">
        <v>0.55000000000000004</v>
      </c>
      <c r="O6" s="71">
        <f>IF($N$5="成新度","——",ROUND(M6*N6,0))</f>
        <v>1916</v>
      </c>
      <c r="P6" s="72">
        <f>IF($N$5="成新度","——",M6-O6)</f>
        <v>1568</v>
      </c>
      <c r="Q6" s="743">
        <v>0.08</v>
      </c>
      <c r="R6" s="73">
        <f ca="1">SUMIF('数据-汇总表'!C$19:C$33,A6,'数据-汇总表'!R$19:R$27)</f>
        <v>29031.75</v>
      </c>
      <c r="S6" s="54">
        <f>IF('数据-汇总表'!$I$17="按面积比例",SUMIF('数据-汇总表'!C$19:C$33,A6,'数据-汇总表'!K$19:K$33),SUMIF('数据-汇总表'!C$19:C$33,A6,'数据-汇总表'!N$19:N$33))</f>
        <v>0</v>
      </c>
      <c r="T6" s="1306">
        <f>ROUND($L$14*S6/10000,0)</f>
        <v>0</v>
      </c>
      <c r="U6" s="74">
        <v>1</v>
      </c>
      <c r="V6" s="75">
        <v>2.5000000000000001E-2</v>
      </c>
      <c r="W6" s="75">
        <v>0.1</v>
      </c>
      <c r="X6" s="1171"/>
      <c r="Y6" s="76">
        <f>N6</f>
        <v>0.55000000000000004</v>
      </c>
      <c r="Z6" s="77"/>
      <c r="AA6" s="70"/>
      <c r="AB6" s="70"/>
      <c r="AC6" s="1171"/>
      <c r="AD6" s="78"/>
      <c r="AE6" s="1172">
        <f ca="1">IF(AN6="",0,SUMIF(INDIRECT("'"&amp;AN6&amp;"'"&amp;"!E:E"),$AE$5,INDIRECT("'"&amp;AN6&amp;"'"&amp;"!F:F")))</f>
        <v>40.74</v>
      </c>
      <c r="AF6" s="1502"/>
      <c r="AG6" s="143">
        <f>IF(AF6="",0,AE6-AF6)</f>
        <v>0</v>
      </c>
      <c r="AH6" s="79"/>
      <c r="AI6" s="81">
        <v>365</v>
      </c>
      <c r="AJ6" s="82"/>
      <c r="AK6" s="83">
        <v>0.01</v>
      </c>
      <c r="AL6" s="84">
        <v>1E-3</v>
      </c>
      <c r="AM6" s="85">
        <v>0.01</v>
      </c>
      <c r="AN6" s="1871" t="s">
        <v>3134</v>
      </c>
      <c r="AO6" s="55">
        <f ca="1">SUMIF(INDIRECT("'"&amp;AN6&amp;"'"&amp;"!A:A"),"总价",INDIRECT("'"&amp;AN6&amp;"'"&amp;"!B:B"))</f>
        <v>14411</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f t="shared" si="3"/>
        <v>0</v>
      </c>
      <c r="P14" s="72">
        <f t="shared" si="4"/>
        <v>0</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0.93700000000000006</v>
      </c>
      <c r="H16" s="95">
        <f>ROUND(SUMPRODUCT(H6:H13,K6:K13)/SUMPRODUCT((H6:H13&gt;0)*(K6:K13)),3)</f>
        <v>4.4999999999999998E-2</v>
      </c>
      <c r="I16" s="96"/>
      <c r="J16" s="96"/>
      <c r="K16" s="97">
        <f>SUM(K6:K15)</f>
        <v>23225</v>
      </c>
      <c r="L16" s="98">
        <f>ROUND(M16*10000/SUM(K6:K14),0)</f>
        <v>1500</v>
      </c>
      <c r="M16" s="98">
        <f>SUM(M6:M14)</f>
        <v>3484</v>
      </c>
      <c r="N16" s="99">
        <f>ROUND(SUMPRODUCT(M6:M14,N6:N14)/M16,3)</f>
        <v>0.55000000000000004</v>
      </c>
      <c r="O16" s="98">
        <f>SUM(O6:O14)</f>
        <v>1916</v>
      </c>
      <c r="P16" s="98">
        <f>SUM(P6:P14)</f>
        <v>1568</v>
      </c>
      <c r="Q16" s="100">
        <f>ROUND(SUMPRODUCT(Q6:Q13,K6:K13)/SUMPRODUCT((Q6:Q13&gt;0)*(K6:K13)),2)</f>
        <v>0.08</v>
      </c>
      <c r="R16" s="1165">
        <f ca="1">SUM(R6:R13)</f>
        <v>29031.75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2987</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v>
      </c>
      <c r="C20" s="3001" t="s">
        <v>2985</v>
      </c>
      <c r="D20" s="2875"/>
      <c r="E20" s="2872"/>
      <c r="F20" s="2872"/>
      <c r="G20" s="2872"/>
      <c r="H20" s="2872"/>
      <c r="I20" s="2872">
        <v>15030.5</v>
      </c>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f>B20*N16</f>
        <v>0.55000000000000004</v>
      </c>
      <c r="C21" s="2872"/>
      <c r="D21" s="2875"/>
      <c r="E21" s="2872"/>
      <c r="F21" s="2872"/>
      <c r="G21" s="2872"/>
      <c r="H21" s="2872"/>
      <c r="I21" s="2872">
        <v>2179.08</v>
      </c>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0.55000000000000004</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0.44999999999999996</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2989</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c r="C29" s="3003" t="s">
        <v>2976</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2977</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2978</v>
      </c>
      <c r="D34" s="2883" t="s">
        <v>2986</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2979</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2980</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2981</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0.01</v>
      </c>
      <c r="C38" s="3004" t="s">
        <v>2981</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3133</v>
      </c>
      <c r="B40" s="1210">
        <f ca="1">IF(A40="利息：取LPR",存贷款利率!G1,存贷款利率!G1+C40)</f>
        <v>4.2000000000000003E-2</v>
      </c>
      <c r="C40" s="3015">
        <v>3.5000000000000001E-3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2990</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2982</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2983</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2991</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2982</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2984</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2988</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54" t="s">
        <v>2968</v>
      </c>
      <c r="B1" s="3355"/>
      <c r="C1" s="3355"/>
      <c r="D1" s="3355"/>
      <c r="E1" s="3355"/>
      <c r="F1" s="3355"/>
      <c r="G1" s="3355"/>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2963</v>
      </c>
      <c r="D2" s="2657"/>
      <c r="E2" s="2654"/>
      <c r="F2" s="2658"/>
      <c r="G2" s="2656" t="s">
        <v>2964</v>
      </c>
      <c r="H2" s="907"/>
      <c r="I2" s="907"/>
      <c r="J2" s="907"/>
      <c r="K2" s="907"/>
      <c r="L2" s="907"/>
      <c r="M2" s="907"/>
      <c r="N2" s="907"/>
      <c r="O2" s="907"/>
      <c r="P2" s="907"/>
      <c r="Q2" s="907"/>
      <c r="R2" s="907"/>
    </row>
    <row r="3" spans="1:29" ht="48">
      <c r="A3" s="2637" t="s">
        <v>2965</v>
      </c>
      <c r="B3" s="2659" t="s">
        <v>2934</v>
      </c>
      <c r="C3" s="2660" t="s">
        <v>2966</v>
      </c>
      <c r="D3" s="2661"/>
      <c r="E3" s="2638" t="s">
        <v>2965</v>
      </c>
      <c r="F3" s="2662" t="s">
        <v>2935</v>
      </c>
      <c r="G3" s="2663" t="s">
        <v>2967</v>
      </c>
      <c r="H3" s="907"/>
      <c r="I3" s="907"/>
      <c r="J3" s="907"/>
      <c r="K3" s="907"/>
      <c r="L3" s="907"/>
      <c r="M3" s="907"/>
      <c r="N3" s="907"/>
      <c r="O3" s="907"/>
      <c r="P3" s="907"/>
      <c r="Q3" s="907"/>
      <c r="R3" s="907"/>
    </row>
    <row r="4" spans="1:29" ht="36.75">
      <c r="A4" s="2638"/>
      <c r="B4" s="329" t="s">
        <v>2936</v>
      </c>
      <c r="C4" s="2664" t="s">
        <v>2937</v>
      </c>
      <c r="D4" s="2661"/>
      <c r="E4" s="2665"/>
      <c r="F4" s="1527" t="s">
        <v>2938</v>
      </c>
      <c r="G4" s="2666" t="s">
        <v>2939</v>
      </c>
      <c r="H4" s="907"/>
      <c r="I4" s="907"/>
      <c r="J4" s="907"/>
      <c r="K4" s="907"/>
      <c r="L4" s="907"/>
      <c r="M4" s="907"/>
      <c r="N4" s="907"/>
      <c r="O4" s="907"/>
      <c r="P4" s="907"/>
      <c r="Q4" s="907"/>
      <c r="R4" s="907"/>
    </row>
    <row r="5" spans="1:29" ht="36.75">
      <c r="A5" s="2638"/>
      <c r="B5" s="329" t="s">
        <v>2940</v>
      </c>
      <c r="C5" s="2664" t="s">
        <v>2941</v>
      </c>
      <c r="D5" s="2661"/>
      <c r="E5" s="2665"/>
      <c r="F5" s="329" t="s">
        <v>2942</v>
      </c>
      <c r="G5" s="2666" t="s">
        <v>2943</v>
      </c>
      <c r="H5" s="907"/>
      <c r="I5" s="907"/>
      <c r="J5" s="907"/>
      <c r="K5" s="907"/>
      <c r="L5" s="907"/>
      <c r="M5" s="907"/>
      <c r="N5" s="907"/>
      <c r="O5" s="907"/>
      <c r="P5" s="907"/>
      <c r="Q5" s="907"/>
      <c r="R5" s="907"/>
    </row>
    <row r="6" spans="1:29" ht="36">
      <c r="A6" s="2638"/>
      <c r="B6" s="329" t="s">
        <v>2944</v>
      </c>
      <c r="C6" s="2666" t="s">
        <v>2939</v>
      </c>
      <c r="D6" s="2661"/>
      <c r="E6" s="2665"/>
      <c r="F6" s="329" t="s">
        <v>2945</v>
      </c>
      <c r="G6" s="2666" t="s">
        <v>2946</v>
      </c>
      <c r="H6" s="907"/>
      <c r="I6" s="907"/>
      <c r="J6" s="907"/>
      <c r="K6" s="907"/>
      <c r="L6" s="907"/>
      <c r="M6" s="907"/>
      <c r="N6" s="907"/>
      <c r="O6" s="907"/>
      <c r="P6" s="907"/>
      <c r="Q6" s="907"/>
      <c r="R6" s="907"/>
    </row>
    <row r="7" spans="1:29" ht="24.75" thickBot="1">
      <c r="A7" s="2638"/>
      <c r="B7" s="329" t="s">
        <v>2942</v>
      </c>
      <c r="C7" s="2666" t="s">
        <v>2943</v>
      </c>
      <c r="D7" s="2667"/>
      <c r="E7" s="2668"/>
      <c r="F7" s="2669" t="s">
        <v>2947</v>
      </c>
      <c r="G7" s="2670" t="s">
        <v>2948</v>
      </c>
      <c r="H7" s="907"/>
      <c r="I7" s="907"/>
      <c r="J7" s="907"/>
      <c r="K7" s="907"/>
      <c r="L7" s="907"/>
      <c r="M7" s="907"/>
      <c r="N7" s="907"/>
      <c r="O7" s="907"/>
      <c r="P7" s="907"/>
      <c r="Q7" s="907"/>
      <c r="R7" s="907"/>
    </row>
    <row r="8" spans="1:29">
      <c r="A8" s="2638"/>
      <c r="B8" s="329" t="s">
        <v>2945</v>
      </c>
      <c r="C8" s="2666" t="s">
        <v>2946</v>
      </c>
      <c r="D8" s="2667"/>
      <c r="E8" s="2667"/>
      <c r="F8" s="2671"/>
      <c r="G8" s="2671"/>
      <c r="H8" s="907"/>
      <c r="I8" s="907"/>
      <c r="J8" s="907"/>
      <c r="K8" s="907"/>
      <c r="L8" s="907"/>
      <c r="M8" s="907"/>
      <c r="N8" s="907"/>
      <c r="O8" s="907"/>
      <c r="P8" s="907"/>
      <c r="Q8" s="907"/>
      <c r="R8" s="907"/>
    </row>
    <row r="9" spans="1:29" ht="24">
      <c r="A9" s="2638"/>
      <c r="B9" s="329" t="s">
        <v>2949</v>
      </c>
      <c r="C9" s="2664" t="s">
        <v>2950</v>
      </c>
      <c r="D9" s="2661"/>
      <c r="E9" s="2667"/>
      <c r="F9" s="2671"/>
      <c r="G9" s="2671"/>
      <c r="H9" s="907"/>
      <c r="I9" s="907"/>
      <c r="J9" s="907"/>
      <c r="K9" s="907"/>
      <c r="L9" s="907"/>
      <c r="M9" s="907"/>
      <c r="N9" s="907"/>
      <c r="O9" s="907"/>
      <c r="P9" s="907"/>
      <c r="Q9" s="907"/>
      <c r="R9" s="907"/>
    </row>
    <row r="10" spans="1:29" s="2677" customFormat="1" ht="15" thickBot="1">
      <c r="A10" s="2639"/>
      <c r="B10" s="2672" t="s">
        <v>2951</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2969</v>
      </c>
      <c r="B13" s="2680"/>
      <c r="C13" s="2680"/>
      <c r="D13" s="2678"/>
      <c r="E13" s="2680"/>
      <c r="F13" s="2680"/>
      <c r="G13" s="2680"/>
    </row>
    <row r="14" spans="1:29" ht="15" thickBot="1">
      <c r="A14" s="2690"/>
      <c r="B14" s="2690"/>
      <c r="C14" s="2691" t="s">
        <v>2952</v>
      </c>
      <c r="D14" s="2661"/>
      <c r="E14" s="2692"/>
      <c r="F14" s="2692"/>
      <c r="G14" s="2656" t="s">
        <v>2953</v>
      </c>
    </row>
    <row r="15" spans="1:29" ht="51">
      <c r="A15" s="2640" t="s">
        <v>2954</v>
      </c>
      <c r="B15" s="2693" t="s">
        <v>2934</v>
      </c>
      <c r="C15" s="2694" t="str">
        <f>C3</f>
        <v>估价对象周边居住用地比例、居住小区规模和社区发展完善程度，综合评价居住社区成熟度一般</v>
      </c>
      <c r="D15" s="2661"/>
      <c r="E15" s="2641" t="s">
        <v>2955</v>
      </c>
      <c r="F15" s="2693" t="s">
        <v>2956</v>
      </c>
      <c r="G15" s="2695" t="str">
        <f>G3</f>
        <v>估价对象位于XX开发区，园区建设成熟度XX，产业集聚程度XX</v>
      </c>
    </row>
    <row r="16" spans="1:29" ht="38.25">
      <c r="A16" s="2642"/>
      <c r="B16" s="2696" t="s">
        <v>2936</v>
      </c>
      <c r="C16" s="2697" t="str">
        <f>C4</f>
        <v>估价对象位于XX商圈，周边商业氛围成熟，人流量大，商业繁华度好</v>
      </c>
      <c r="D16" s="2661"/>
      <c r="E16" s="2643"/>
      <c r="F16" s="2698" t="s">
        <v>2938</v>
      </c>
      <c r="G16" s="2699" t="str">
        <f>G4</f>
        <v>估价对象周边道路状况、公共交通通达情况、停车便捷程度，综合评价交通便捷度较好</v>
      </c>
    </row>
    <row r="17" spans="1:18" ht="38.25">
      <c r="A17" s="2642"/>
      <c r="B17" s="2696" t="s">
        <v>2940</v>
      </c>
      <c r="C17" s="2697" t="str">
        <f>C5</f>
        <v>估价对象位于XX商圈，周边办公楼项目较多，入驻率高，办公集聚程度较好</v>
      </c>
      <c r="D17" s="2667"/>
      <c r="E17" s="2643"/>
      <c r="F17" s="2698" t="s">
        <v>2957</v>
      </c>
      <c r="G17" s="2700"/>
    </row>
    <row r="18" spans="1:18" ht="38.25">
      <c r="A18" s="2642"/>
      <c r="B18" s="2698" t="s">
        <v>2944</v>
      </c>
      <c r="C18" s="2699" t="str">
        <f>C6</f>
        <v>估价对象周边道路状况、公共交通通达情况、停车便捷程度，综合评价交通便捷度较好</v>
      </c>
      <c r="D18" s="2667"/>
      <c r="E18" s="2643"/>
      <c r="F18" s="2698" t="s">
        <v>2947</v>
      </c>
      <c r="G18" s="2699" t="str">
        <f>G7</f>
        <v>该园区内是否有污染型企业，绿化情况，卫生条件，整体环境状况判断</v>
      </c>
    </row>
    <row r="19" spans="1:18" ht="25.5">
      <c r="A19" s="2642"/>
      <c r="B19" s="2698" t="s">
        <v>2958</v>
      </c>
      <c r="C19" s="2700"/>
      <c r="D19" s="2661"/>
      <c r="E19" s="2643"/>
      <c r="F19" s="329" t="s">
        <v>2942</v>
      </c>
      <c r="G19" s="2699" t="str">
        <f>G5</f>
        <v>估价对象所在区域公共配套设施齐备情况</v>
      </c>
    </row>
    <row r="20" spans="1:18" ht="25.5">
      <c r="A20" s="2642"/>
      <c r="B20" s="2698" t="s">
        <v>2959</v>
      </c>
      <c r="C20" s="2697" t="str">
        <f>C9</f>
        <v>区域自然环境：；人文环境；综合评价环境状况一般</v>
      </c>
      <c r="D20" s="2667"/>
      <c r="E20" s="2643"/>
      <c r="F20" s="329" t="s">
        <v>2945</v>
      </c>
      <c r="G20" s="2699" t="str">
        <f>G6</f>
        <v>估价对象所在区域基础设施水平</v>
      </c>
    </row>
    <row r="21" spans="1:18" ht="25.5">
      <c r="A21" s="2642"/>
      <c r="B21" s="329" t="s">
        <v>2942</v>
      </c>
      <c r="C21" s="2699" t="str">
        <f>C7</f>
        <v>估价对象所在区域公共配套设施齐备情况</v>
      </c>
      <c r="D21" s="2661"/>
      <c r="E21" s="2643"/>
      <c r="F21" s="2698" t="s">
        <v>2960</v>
      </c>
      <c r="G21" s="2701"/>
    </row>
    <row r="22" spans="1:18" ht="13.5" customHeight="1">
      <c r="A22" s="2642"/>
      <c r="B22" s="329" t="s">
        <v>2945</v>
      </c>
      <c r="C22" s="2699" t="str">
        <f>C8</f>
        <v>估价对象所在区域基础设施水平</v>
      </c>
      <c r="D22" s="2661"/>
      <c r="E22" s="2643"/>
      <c r="F22" s="2698" t="s">
        <v>2951</v>
      </c>
      <c r="G22" s="2700"/>
    </row>
    <row r="23" spans="1:18" s="907" customFormat="1" ht="15" thickBot="1">
      <c r="A23" s="2642"/>
      <c r="B23" s="2698" t="s">
        <v>2960</v>
      </c>
      <c r="C23" s="2701"/>
      <c r="D23" s="1897"/>
      <c r="E23" s="2644"/>
      <c r="F23" s="2702" t="s">
        <v>2961</v>
      </c>
      <c r="G23" s="2703"/>
      <c r="H23" s="2687"/>
      <c r="I23" s="2688"/>
      <c r="J23" s="2687"/>
      <c r="K23" s="2687"/>
      <c r="L23" s="2688"/>
      <c r="M23" s="2687"/>
      <c r="N23" s="2687"/>
      <c r="O23" s="2688"/>
      <c r="P23" s="2687"/>
      <c r="Q23" s="2687"/>
      <c r="R23" s="2689"/>
    </row>
    <row r="24" spans="1:18" s="907" customFormat="1" ht="15" thickBot="1">
      <c r="A24" s="2645"/>
      <c r="B24" s="2702" t="s">
        <v>2962</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26" sqref="L26"/>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23225</v>
      </c>
      <c r="C1" s="2885"/>
      <c r="D1" s="2885"/>
      <c r="E1" s="2885"/>
      <c r="F1" s="2885"/>
      <c r="G1" s="2886"/>
      <c r="H1" s="2887"/>
      <c r="I1" s="2887"/>
      <c r="J1" s="2887"/>
      <c r="K1" s="2887"/>
    </row>
    <row r="2" spans="1:11" ht="16.5">
      <c r="A2" s="2708" t="s">
        <v>1259</v>
      </c>
      <c r="B2" s="2708">
        <f>SUM(C14:C23)</f>
        <v>29031.75</v>
      </c>
      <c r="C2" s="2885"/>
      <c r="D2" s="2885"/>
      <c r="E2" s="2885"/>
      <c r="F2" s="2885"/>
      <c r="G2" s="2886"/>
      <c r="H2" s="2887"/>
      <c r="I2" s="2887"/>
      <c r="J2" s="2887"/>
      <c r="K2" s="2887"/>
    </row>
    <row r="3" spans="1:11" ht="16.5">
      <c r="A3" s="2708" t="s">
        <v>1268</v>
      </c>
      <c r="B3" s="2710">
        <f>项目基本情况!D3</f>
        <v>44610</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9394</v>
      </c>
      <c r="C5" s="2708">
        <f ca="1">ROUND(B5*10000/$B$1,0)</f>
        <v>4045</v>
      </c>
      <c r="D5" s="2708">
        <f ca="1">ROUND(B5*10000/$B$2,0)</f>
        <v>3236</v>
      </c>
      <c r="E5" s="2885"/>
      <c r="F5" s="2886"/>
      <c r="G5" s="2886"/>
      <c r="H5" s="2887"/>
      <c r="I5" s="2887"/>
      <c r="J5" s="2887"/>
      <c r="K5" s="2887"/>
    </row>
    <row r="6" spans="1:11" ht="16.5">
      <c r="A6" s="2708" t="s">
        <v>1262</v>
      </c>
      <c r="B6" s="2708">
        <f ca="1">SUM(G14:G23)</f>
        <v>9394</v>
      </c>
      <c r="C6" s="2708">
        <f ca="1">ROUND(B6*10000/$B$1,0)</f>
        <v>4045</v>
      </c>
      <c r="D6" s="2708">
        <f ca="1">ROUND(B6*10000/$B$2,0)</f>
        <v>3236</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23225</v>
      </c>
      <c r="C14" s="2714">
        <f>结果表!C118</f>
        <v>29031.75</v>
      </c>
      <c r="D14" s="2714">
        <f ca="1">结果表!H118</f>
        <v>9394</v>
      </c>
      <c r="E14" s="2714">
        <f ca="1">ROUND(D14*10000/B14,0)</f>
        <v>4045</v>
      </c>
      <c r="F14" s="2714">
        <f ca="1">ROUND(D14*10000/C14,0)</f>
        <v>3236</v>
      </c>
      <c r="G14" s="2714">
        <f ca="1">结果表!D122</f>
        <v>9394</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 zoomScale="85" zoomScaleNormal="100" zoomScaleSheetLayoutView="85" zoomScalePageLayoutView="80" workbookViewId="0">
      <selection activeCell="G21" sqref="G21"/>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3322</v>
      </c>
      <c r="H1" s="1906" t="str">
        <f>IF(G1="现房","——","估价对象范围")</f>
        <v>估价对象范围</v>
      </c>
      <c r="I1" s="1907"/>
    </row>
    <row r="2" spans="1:12" ht="21.75" customHeight="1" thickBot="1">
      <c r="A2" s="3390" t="str">
        <f>项目基本情况!S2</f>
        <v>北京市出让国有建设用地使用权及在建建筑物房地产</v>
      </c>
      <c r="B2" s="3391"/>
      <c r="C2" s="3391"/>
      <c r="D2" s="3391"/>
      <c r="E2" s="3391"/>
      <c r="F2" s="3391"/>
      <c r="G2" s="3391"/>
      <c r="H2" s="3391"/>
      <c r="I2" s="3392"/>
    </row>
    <row r="3" spans="1:12" ht="12.75">
      <c r="A3" s="3394" t="s">
        <v>1890</v>
      </c>
      <c r="B3" s="3395"/>
      <c r="C3" s="3395"/>
      <c r="D3" s="3395"/>
      <c r="E3" s="3395"/>
      <c r="F3" s="3395"/>
      <c r="G3" s="3395"/>
      <c r="H3" s="3395"/>
      <c r="I3" s="3395"/>
    </row>
    <row r="4" spans="1:12" ht="14.25">
      <c r="A4" s="1910" t="s">
        <v>1891</v>
      </c>
      <c r="B4" s="1911" t="s">
        <v>1892</v>
      </c>
      <c r="C4" s="1912" t="s">
        <v>3169</v>
      </c>
      <c r="D4" s="1912" t="s">
        <v>3321</v>
      </c>
      <c r="E4" s="3396" t="s">
        <v>1893</v>
      </c>
      <c r="F4" s="3397"/>
      <c r="G4" s="3397"/>
      <c r="H4" s="3397"/>
      <c r="I4" s="339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70" t="s">
        <v>1894</v>
      </c>
      <c r="B5" s="3357">
        <v>25</v>
      </c>
      <c r="C5" s="3373"/>
      <c r="D5" s="3393"/>
      <c r="E5" s="136" t="s">
        <v>1895</v>
      </c>
      <c r="F5" s="1913"/>
      <c r="G5" s="1913"/>
      <c r="H5" s="1913"/>
      <c r="I5" s="1527"/>
    </row>
    <row r="6" spans="1:12" ht="12.75">
      <c r="A6" s="3370"/>
      <c r="B6" s="3357"/>
      <c r="C6" s="3374"/>
      <c r="D6" s="3393"/>
      <c r="E6" s="136" t="s">
        <v>1896</v>
      </c>
      <c r="F6" s="1913"/>
      <c r="G6" s="1913"/>
      <c r="H6" s="1913"/>
      <c r="I6" s="1527"/>
    </row>
    <row r="7" spans="1:12" ht="12.75">
      <c r="A7" s="3370"/>
      <c r="B7" s="3357"/>
      <c r="C7" s="3375"/>
      <c r="D7" s="3393"/>
      <c r="E7" s="136" t="s">
        <v>1897</v>
      </c>
      <c r="F7" s="1913"/>
      <c r="G7" s="1913"/>
      <c r="H7" s="1913"/>
      <c r="I7" s="1527"/>
    </row>
    <row r="8" spans="1:12" ht="12.75">
      <c r="A8" s="3370" t="s">
        <v>1898</v>
      </c>
      <c r="B8" s="3357">
        <v>15</v>
      </c>
      <c r="C8" s="3373"/>
      <c r="D8" s="3393"/>
      <c r="E8" s="136" t="s">
        <v>1899</v>
      </c>
      <c r="F8" s="1913"/>
      <c r="G8" s="1913"/>
      <c r="H8" s="1913"/>
      <c r="I8" s="1527"/>
    </row>
    <row r="9" spans="1:12" ht="12.75">
      <c r="A9" s="3370"/>
      <c r="B9" s="3357"/>
      <c r="C9" s="3375"/>
      <c r="D9" s="3393"/>
      <c r="E9" s="136" t="s">
        <v>1900</v>
      </c>
      <c r="F9" s="1913"/>
      <c r="G9" s="1913"/>
      <c r="H9" s="1913"/>
      <c r="I9" s="1527"/>
    </row>
    <row r="10" spans="1:12" ht="12.75">
      <c r="A10" s="3370" t="s">
        <v>1901</v>
      </c>
      <c r="B10" s="3357">
        <v>15</v>
      </c>
      <c r="C10" s="3373"/>
      <c r="D10" s="3393"/>
      <c r="E10" s="136" t="s">
        <v>1902</v>
      </c>
      <c r="F10" s="1913"/>
      <c r="G10" s="1913"/>
      <c r="H10" s="1913"/>
      <c r="I10" s="1527"/>
    </row>
    <row r="11" spans="1:12" ht="12.75">
      <c r="A11" s="3370"/>
      <c r="B11" s="3357"/>
      <c r="C11" s="3375"/>
      <c r="D11" s="3393"/>
      <c r="E11" s="136" t="s">
        <v>1903</v>
      </c>
      <c r="F11" s="1913"/>
      <c r="G11" s="1913"/>
      <c r="H11" s="1913"/>
      <c r="I11" s="1527"/>
    </row>
    <row r="12" spans="1:12" ht="12.75">
      <c r="A12" s="3370" t="s">
        <v>1904</v>
      </c>
      <c r="B12" s="3357">
        <v>15</v>
      </c>
      <c r="C12" s="3373"/>
      <c r="D12" s="3393"/>
      <c r="E12" s="136" t="s">
        <v>1905</v>
      </c>
      <c r="F12" s="1913"/>
      <c r="G12" s="1913"/>
      <c r="H12" s="1913"/>
      <c r="I12" s="1527"/>
    </row>
    <row r="13" spans="1:12" ht="12.75">
      <c r="A13" s="3370"/>
      <c r="B13" s="3357"/>
      <c r="C13" s="3375"/>
      <c r="D13" s="3393"/>
      <c r="E13" s="136" t="s">
        <v>1906</v>
      </c>
      <c r="F13" s="1913"/>
      <c r="G13" s="1913"/>
      <c r="H13" s="1913"/>
      <c r="I13" s="1527"/>
    </row>
    <row r="14" spans="1:12" ht="12.75">
      <c r="A14" s="3370" t="s">
        <v>1907</v>
      </c>
      <c r="B14" s="3357">
        <v>30</v>
      </c>
      <c r="C14" s="3373">
        <v>4</v>
      </c>
      <c r="D14" s="3393">
        <v>6</v>
      </c>
      <c r="E14" s="136" t="s">
        <v>1908</v>
      </c>
      <c r="F14" s="1913"/>
      <c r="G14" s="1913"/>
      <c r="H14" s="1913"/>
      <c r="I14" s="1527"/>
    </row>
    <row r="15" spans="1:12" ht="12.75">
      <c r="A15" s="3370"/>
      <c r="B15" s="3357"/>
      <c r="C15" s="3374"/>
      <c r="D15" s="3393"/>
      <c r="E15" s="136" t="s">
        <v>1909</v>
      </c>
      <c r="F15" s="1913"/>
      <c r="G15" s="1913"/>
      <c r="H15" s="1913"/>
      <c r="I15" s="1527"/>
    </row>
    <row r="16" spans="1:12" ht="12.75">
      <c r="A16" s="3370"/>
      <c r="B16" s="3357"/>
      <c r="C16" s="3375"/>
      <c r="D16" s="3393"/>
      <c r="E16" s="136" t="s">
        <v>1910</v>
      </c>
      <c r="F16" s="1913"/>
      <c r="G16" s="1913"/>
      <c r="H16" s="1913"/>
      <c r="I16" s="1527"/>
    </row>
    <row r="17" spans="1:36" ht="15">
      <c r="A17" s="1914" t="s">
        <v>1911</v>
      </c>
      <c r="B17" s="60"/>
      <c r="C17" s="137">
        <f>SUM(C5:C16)</f>
        <v>4</v>
      </c>
      <c r="D17" s="137">
        <f>SUM(D5:D16)</f>
        <v>6</v>
      </c>
      <c r="E17" s="134"/>
      <c r="F17" s="134"/>
      <c r="G17" s="134"/>
      <c r="H17" s="134"/>
      <c r="I17" s="134"/>
      <c r="K17" s="308"/>
      <c r="L17" s="308" t="s">
        <v>1912</v>
      </c>
      <c r="M17" s="308" t="s">
        <v>1913</v>
      </c>
    </row>
    <row r="18" spans="1:36" ht="31.9" customHeight="1" thickBot="1">
      <c r="A18" s="1915" t="s">
        <v>1914</v>
      </c>
      <c r="B18" s="1916"/>
      <c r="C18" s="138">
        <f>ROUND(C17/SUM(C17:D17),2)</f>
        <v>0.4</v>
      </c>
      <c r="D18" s="138">
        <f>1-C18</f>
        <v>0.6</v>
      </c>
      <c r="E18" s="3380" t="s">
        <v>2809</v>
      </c>
      <c r="F18" s="3381"/>
      <c r="G18" s="3381"/>
      <c r="H18" s="3381"/>
      <c r="I18" s="3381"/>
      <c r="K18" s="308" t="s">
        <v>1915</v>
      </c>
      <c r="L18" s="308">
        <f>IF(C1="",'数据-汇总表'!E3,SUMIF(项目类型,C1,'数据-汇总表'!E17:E26)+SUMIF(项目类型,C1,'数据-汇总表'!I17:I26))</f>
        <v>23225</v>
      </c>
      <c r="M18" s="308">
        <f>IF(C1="",'数据-汇总表'!E3,SUMIF(项目类型,C1,'数据-汇总表'!E17:E26))</f>
        <v>23225</v>
      </c>
    </row>
    <row r="19" spans="1:36" ht="15">
      <c r="A19" s="1917" t="s">
        <v>1916</v>
      </c>
      <c r="B19" s="1918" t="s">
        <v>1917</v>
      </c>
      <c r="C19" s="139">
        <f ca="1">SUMIF(INDIRECT("'"&amp;C4&amp;"'"&amp;"!A:A"),结果表!B19,INDIRECT("'"&amp;C4&amp;"'"&amp;"!B:B"))</f>
        <v>7547</v>
      </c>
      <c r="D19" s="140">
        <f ca="1">SUMIF(INDIRECT("'"&amp;D4&amp;"'"&amp;"!A:A"),结果表!B19,INDIRECT("'"&amp;D4&amp;"'"&amp;"!B:B"))</f>
        <v>10625</v>
      </c>
      <c r="E19" s="1917" t="s">
        <v>1918</v>
      </c>
      <c r="F19" s="1918" t="s">
        <v>1917</v>
      </c>
      <c r="G19" s="141">
        <f ca="1">ROUND(C19*$C$18+D19*$D$18,0)</f>
        <v>9394</v>
      </c>
      <c r="H19" s="1919" t="s">
        <v>1919</v>
      </c>
      <c r="I19" s="134"/>
      <c r="K19" s="308" t="s">
        <v>1920</v>
      </c>
      <c r="L19" s="308">
        <f>IF(C1="",'数据-汇总表'!D3,SUMIF(项目类型,C1,'数据-汇总表'!D17:D26)+SUMIF(项目类型,C1,'数据-汇总表'!H17:H27))</f>
        <v>29031.75</v>
      </c>
      <c r="M19" s="308">
        <f>IF(C1="",'数据-汇总表'!D3,SUMIF(项目类型,C1,'数据-汇总表'!D17:D26))</f>
        <v>29031.75</v>
      </c>
    </row>
    <row r="20" spans="1:36" ht="15">
      <c r="A20" s="1920"/>
      <c r="B20" s="1157" t="s">
        <v>1921</v>
      </c>
      <c r="C20" s="142">
        <f ca="1">SUMIF(INDIRECT("'"&amp;C4&amp;"'"&amp;"!A:A"),结果表!B20,INDIRECT("'"&amp;C4&amp;"'"&amp;"!B:B"))</f>
        <v>3250</v>
      </c>
      <c r="D20" s="143">
        <f ca="1">SUMIF(INDIRECT("'"&amp;D4&amp;"'"&amp;"!A:A"),结果表!B20,INDIRECT("'"&amp;D4&amp;"'"&amp;"!B:B"))</f>
        <v>4575</v>
      </c>
      <c r="E20" s="1920"/>
      <c r="F20" s="1157" t="s">
        <v>1921</v>
      </c>
      <c r="G20" s="144">
        <f ca="1">ROUND(C20*$C$18+D20*$D$18,0)</f>
        <v>4045</v>
      </c>
      <c r="H20" s="917" t="s">
        <v>1922</v>
      </c>
      <c r="I20" s="134"/>
    </row>
    <row r="21" spans="1:36" ht="15" customHeight="1" thickBot="1">
      <c r="A21" s="937"/>
      <c r="B21" s="1921" t="s">
        <v>1923</v>
      </c>
      <c r="C21" s="728">
        <f ca="1">ROUND(C19*10000/L19,0)</f>
        <v>2600</v>
      </c>
      <c r="D21" s="729">
        <f ca="1">ROUND(D19*10000/L19,0)</f>
        <v>3660</v>
      </c>
      <c r="E21" s="937"/>
      <c r="F21" s="1921" t="s">
        <v>1923</v>
      </c>
      <c r="G21" s="145">
        <f ca="1">ROUND(G19*10000/L19,0)</f>
        <v>3236</v>
      </c>
      <c r="H21" s="1922" t="s">
        <v>1922</v>
      </c>
      <c r="I21" s="134"/>
    </row>
    <row r="22" spans="1:36" ht="15" thickBot="1">
      <c r="A22" s="1844" t="s">
        <v>1924</v>
      </c>
      <c r="B22" s="1923"/>
      <c r="C22" s="1924"/>
      <c r="D22" s="730">
        <f ca="1">IF(C19&lt;D19,D19/C19-1,C19/D19-1)</f>
        <v>0.40784417649397109</v>
      </c>
      <c r="E22" s="134"/>
      <c r="F22" s="134"/>
      <c r="G22" s="134"/>
      <c r="H22" s="134"/>
      <c r="I22" s="134"/>
    </row>
    <row r="23" spans="1:36" ht="13.5" thickBot="1">
      <c r="A23" s="1903"/>
      <c r="B23" s="1903"/>
      <c r="C23" s="1903"/>
      <c r="D23" s="1903"/>
      <c r="E23" s="134"/>
      <c r="F23" s="134"/>
      <c r="G23" s="134"/>
      <c r="H23" s="134"/>
      <c r="I23" s="134"/>
    </row>
    <row r="24" spans="1:36" ht="14.25">
      <c r="A24" s="3364" t="s">
        <v>1925</v>
      </c>
      <c r="B24" s="1918" t="s">
        <v>1917</v>
      </c>
      <c r="C24" s="141">
        <f>IF(B30=0,0,D30)</f>
        <v>0</v>
      </c>
      <c r="D24" s="1925"/>
      <c r="E24" s="134"/>
      <c r="F24" s="134"/>
      <c r="G24" s="134"/>
      <c r="H24" s="134"/>
      <c r="I24" s="134"/>
    </row>
    <row r="25" spans="1:36" ht="14.25">
      <c r="A25" s="3365"/>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2810</v>
      </c>
      <c r="F30" s="134"/>
      <c r="G30" s="134"/>
      <c r="H30" s="134"/>
      <c r="I30" s="134"/>
    </row>
    <row r="31" spans="1:36" s="2497" customFormat="1" ht="26.45" customHeight="1" thickTop="1" thickBot="1">
      <c r="A31" s="2492"/>
      <c r="B31" s="2493"/>
      <c r="C31" s="2493"/>
      <c r="D31" s="2493"/>
      <c r="E31" s="2493"/>
      <c r="F31" s="2493"/>
      <c r="G31" s="2493"/>
      <c r="H31" s="2493"/>
      <c r="I31" s="2494" t="s">
        <v>2811</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9394</v>
      </c>
      <c r="D32" s="1931" t="s">
        <v>3324</v>
      </c>
      <c r="E32" s="134"/>
      <c r="F32" s="134"/>
      <c r="G32" s="134"/>
      <c r="H32" s="134"/>
      <c r="I32" s="134"/>
    </row>
    <row r="33" spans="1:15" ht="15">
      <c r="A33" s="894" t="s">
        <v>1932</v>
      </c>
      <c r="B33" s="1932"/>
      <c r="C33" s="1933" t="s">
        <v>3323</v>
      </c>
      <c r="D33" s="1934" t="s">
        <v>3169</v>
      </c>
      <c r="E33" s="1935" t="s">
        <v>1933</v>
      </c>
      <c r="F33" s="1936" t="str">
        <f>IF(D32="楼面单价","取值（单价）","取值（总价）")</f>
        <v>取值（总价）</v>
      </c>
      <c r="G33" s="134"/>
      <c r="H33" s="134"/>
      <c r="I33" s="134"/>
    </row>
    <row r="34" spans="1:15" ht="15">
      <c r="A34" s="1937"/>
      <c r="B34" s="1938" t="s">
        <v>1934</v>
      </c>
      <c r="C34" s="153">
        <f ca="1">IF(C33="自定义",F34,C32-C35)</f>
        <v>6050</v>
      </c>
      <c r="D34" s="970">
        <f ca="1">IF(C33="自定义",ROUND(C34/C32,3),IF(C33="收益比率",SUMIF(INDIRECT("'"&amp;D33&amp;"'"&amp;"!b:b"),"土地收益比率",INDIRECT("'"&amp;D33&amp;"'"&amp;"!c:c")),SUMIF(INDIRECT("'"&amp;D33&amp;"'"&amp;"!b:b"),"土地成本比率",INDIRECT("'"&amp;D33&amp;"'"&amp;"!c:c"))))</f>
        <v>0.64400000000000002</v>
      </c>
      <c r="E34" s="1939" t="s">
        <v>1935</v>
      </c>
      <c r="F34" s="1470"/>
      <c r="G34" s="134"/>
      <c r="H34" s="134"/>
      <c r="I34" s="134"/>
    </row>
    <row r="35" spans="1:15" ht="15.75" thickBot="1">
      <c r="A35" s="1940"/>
      <c r="B35" s="1941" t="s">
        <v>1936</v>
      </c>
      <c r="C35" s="1304">
        <f ca="1">IF(C33="自定义",F35,ROUND(C32*D35,0))</f>
        <v>3344</v>
      </c>
      <c r="D35" s="1305">
        <f ca="1">IF(C33="自定义",ROUND(C35/C32,3),IF(C33="收益比率",SUMIF(INDIRECT("'"&amp;D33&amp;"'"&amp;"!b:b"),"建筑物收益比率",INDIRECT("'"&amp;D33&amp;"'"&amp;"!c:c")),SUMIF(INDIRECT("'"&amp;D33&amp;"'"&amp;"!b:b"),"建筑物成本比率",INDIRECT("'"&amp;D33&amp;"'"&amp;"!c:c"))))</f>
        <v>0.35599999999999998</v>
      </c>
      <c r="E35" s="1942" t="s">
        <v>1937</v>
      </c>
      <c r="F35" s="159"/>
      <c r="G35" s="134"/>
      <c r="H35" s="134"/>
      <c r="I35" s="134"/>
    </row>
    <row r="36" spans="1:15" ht="15.75" thickBot="1">
      <c r="A36" s="3384" t="s">
        <v>1938</v>
      </c>
      <c r="B36" s="1943" t="s">
        <v>1939</v>
      </c>
      <c r="C36" s="150"/>
      <c r="D36" s="1944"/>
      <c r="E36" s="1945"/>
      <c r="F36" s="1946"/>
      <c r="G36" s="134"/>
      <c r="H36" s="134"/>
      <c r="I36" s="134"/>
    </row>
    <row r="37" spans="1:15" ht="15.75" thickBot="1">
      <c r="A37" s="3385"/>
      <c r="B37" s="1830" t="s">
        <v>1940</v>
      </c>
      <c r="C37" s="152"/>
      <c r="D37" s="1273"/>
      <c r="E37" s="1273"/>
      <c r="F37" s="1946"/>
      <c r="G37" s="134"/>
      <c r="H37" s="134"/>
      <c r="I37" s="134"/>
    </row>
    <row r="38" spans="1:15" ht="15.75" thickBot="1">
      <c r="A38" s="3386"/>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61" t="s">
        <v>1952</v>
      </c>
      <c r="B45" s="3362"/>
      <c r="C45" s="3363"/>
      <c r="D45" s="160">
        <f ca="1">ROUND(H101*F45,0)</f>
        <v>9394</v>
      </c>
      <c r="E45" s="161" t="s">
        <v>1953</v>
      </c>
      <c r="F45" s="162">
        <v>1</v>
      </c>
      <c r="G45" s="163" t="s">
        <v>1954</v>
      </c>
      <c r="H45" s="134"/>
      <c r="I45" s="134"/>
      <c r="J45" s="3442" t="s">
        <v>1955</v>
      </c>
      <c r="K45" s="3442"/>
      <c r="L45" s="3442"/>
      <c r="M45" s="3442"/>
      <c r="N45" s="3442"/>
      <c r="O45" s="3442"/>
    </row>
    <row r="46" spans="1:15" ht="14.25" customHeight="1">
      <c r="A46" s="3358" t="s">
        <v>1956</v>
      </c>
      <c r="B46" s="3359"/>
      <c r="C46" s="3359"/>
      <c r="D46" s="3359"/>
      <c r="E46" s="3359"/>
      <c r="F46" s="3359"/>
      <c r="G46" s="3360"/>
      <c r="H46" s="1962"/>
      <c r="I46" s="164"/>
      <c r="J46" s="2719">
        <v>1</v>
      </c>
      <c r="K46" s="3423" t="s">
        <v>1957</v>
      </c>
      <c r="L46" s="3423"/>
      <c r="M46" s="3443"/>
      <c r="N46" s="3443"/>
      <c r="O46" s="3443"/>
    </row>
    <row r="47" spans="1:15" ht="12" customHeight="1">
      <c r="A47" s="165" t="s">
        <v>1958</v>
      </c>
      <c r="B47" s="166"/>
      <c r="C47" s="167"/>
      <c r="D47" s="1219" t="s">
        <v>1959</v>
      </c>
      <c r="E47" s="308" t="s">
        <v>1960</v>
      </c>
      <c r="F47" s="168" t="s">
        <v>1961</v>
      </c>
      <c r="G47" s="2742" t="s">
        <v>1962</v>
      </c>
      <c r="H47" s="2743"/>
      <c r="I47" s="164"/>
      <c r="J47" s="2719">
        <v>2</v>
      </c>
      <c r="K47" s="3423" t="s">
        <v>1963</v>
      </c>
      <c r="L47" s="3423"/>
      <c r="M47" s="3444">
        <f>'数据-取费表'!B2</f>
        <v>44610</v>
      </c>
      <c r="N47" s="3444"/>
      <c r="O47" s="3444"/>
    </row>
    <row r="48" spans="1:15" ht="25.5">
      <c r="A48" s="3389" t="s">
        <v>1964</v>
      </c>
      <c r="B48" s="3372"/>
      <c r="C48" s="3372"/>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423" t="s">
        <v>1966</v>
      </c>
      <c r="L48" s="3423"/>
      <c r="M48" s="3445">
        <f ca="1">H101</f>
        <v>9394</v>
      </c>
      <c r="N48" s="3445"/>
      <c r="O48" s="3445"/>
    </row>
    <row r="49" spans="1:35" ht="25.5" customHeight="1">
      <c r="A49" s="2526" t="s">
        <v>1967</v>
      </c>
      <c r="B49" s="3356" t="s">
        <v>1968</v>
      </c>
      <c r="C49" s="3356"/>
      <c r="D49" s="1745">
        <v>0</v>
      </c>
      <c r="E49" s="330" t="s">
        <v>1969</v>
      </c>
      <c r="F49" s="2620" t="s">
        <v>34</v>
      </c>
      <c r="G49" s="3429"/>
      <c r="H49" s="2498" t="s">
        <v>2812</v>
      </c>
      <c r="I49" s="2499"/>
      <c r="J49" s="2719">
        <v>4</v>
      </c>
      <c r="K49" s="3423" t="str">
        <f>IF(项目基本情况!E8="房地产抵押价值","房地产抵押价值","抵押担保权已注销时的房地产抵押价值")</f>
        <v>房地产抵押价值</v>
      </c>
      <c r="L49" s="3423"/>
      <c r="M49" s="3445">
        <f ca="1">IF(项目基本情况!E8="房地产抵押价值",H107,H109)</f>
        <v>9394</v>
      </c>
      <c r="N49" s="3445"/>
      <c r="O49" s="3445"/>
    </row>
    <row r="50" spans="1:35" ht="25.5" customHeight="1">
      <c r="A50" s="2747"/>
      <c r="B50" s="3356" t="s">
        <v>1970</v>
      </c>
      <c r="C50" s="3356"/>
      <c r="D50" s="2748"/>
      <c r="E50" s="338"/>
      <c r="F50" s="2620"/>
      <c r="G50" s="3430"/>
      <c r="H50" s="2500" t="s">
        <v>2813</v>
      </c>
      <c r="I50" s="2499"/>
      <c r="J50" s="3442" t="s">
        <v>1971</v>
      </c>
      <c r="K50" s="3442"/>
      <c r="L50" s="3442"/>
      <c r="M50" s="3442"/>
      <c r="N50" s="3442"/>
      <c r="O50" s="3442"/>
    </row>
    <row r="51" spans="1:35" ht="20.45" customHeight="1">
      <c r="A51" s="2749"/>
      <c r="B51" s="3356" t="s">
        <v>1972</v>
      </c>
      <c r="C51" s="3356"/>
      <c r="D51" s="1219"/>
      <c r="E51" s="333"/>
      <c r="F51" s="2620"/>
      <c r="G51" s="3431"/>
      <c r="H51" s="2500" t="s">
        <v>2814</v>
      </c>
      <c r="I51" s="2499"/>
      <c r="J51" s="2720" t="s">
        <v>1973</v>
      </c>
      <c r="K51" s="3423" t="s">
        <v>1974</v>
      </c>
      <c r="L51" s="3423"/>
      <c r="M51" s="2720" t="s">
        <v>1975</v>
      </c>
      <c r="N51" s="2720" t="s">
        <v>1976</v>
      </c>
      <c r="O51" s="2720" t="s">
        <v>1977</v>
      </c>
    </row>
    <row r="52" spans="1:35" ht="24" customHeight="1">
      <c r="A52" s="2528" t="s">
        <v>1978</v>
      </c>
      <c r="B52" s="3356" t="s">
        <v>1979</v>
      </c>
      <c r="C52" s="3356"/>
      <c r="D52" s="1219">
        <f ca="1">ROUND(D45*'数据-取费表'!B41/(1+'数据-取费表'!C42),0)</f>
        <v>492</v>
      </c>
      <c r="E52" s="2527" t="s">
        <v>1980</v>
      </c>
      <c r="F52" s="2750">
        <f>'数据-取费表'!B41</f>
        <v>5.5000000000000007E-2</v>
      </c>
      <c r="G52" s="2751"/>
      <c r="H52" s="2740"/>
      <c r="I52" s="1963"/>
      <c r="J52" s="2719">
        <v>1</v>
      </c>
      <c r="K52" s="3424" t="s">
        <v>1981</v>
      </c>
      <c r="L52" s="3424"/>
      <c r="M52" s="2721" t="b">
        <f>D48</f>
        <v>0</v>
      </c>
      <c r="N52" s="2719" t="str">
        <f>E48</f>
        <v>销售额×税（费）率</v>
      </c>
      <c r="O52" s="2722">
        <f>F48</f>
        <v>5.5000000000000007E-2</v>
      </c>
    </row>
    <row r="53" spans="1:35" ht="12" customHeight="1">
      <c r="A53" s="2528" t="s">
        <v>1982</v>
      </c>
      <c r="B53" s="3382" t="s">
        <v>2973</v>
      </c>
      <c r="C53" s="3383"/>
      <c r="D53" s="1219">
        <f ca="1">ROUND(D45*'数据-取费表'!B41/(1+'数据-取费表'!C42),0)</f>
        <v>492</v>
      </c>
      <c r="E53" s="2527" t="s">
        <v>1980</v>
      </c>
      <c r="F53" s="2750">
        <f>'数据-取费表'!B41</f>
        <v>5.5000000000000007E-2</v>
      </c>
      <c r="G53" s="2751"/>
      <c r="H53" s="2740"/>
      <c r="I53" s="1963"/>
      <c r="J53" s="2719">
        <v>2</v>
      </c>
      <c r="K53" s="3424" t="s">
        <v>1983</v>
      </c>
      <c r="L53" s="3424"/>
      <c r="M53" s="2721">
        <f t="shared" ref="M53:O54" ca="1" si="0">D55</f>
        <v>5</v>
      </c>
      <c r="N53" s="2719" t="str">
        <f t="shared" si="0"/>
        <v>销售额×税（费）率</v>
      </c>
      <c r="O53" s="2722" t="str">
        <f t="shared" si="0"/>
        <v>免征</v>
      </c>
    </row>
    <row r="54" spans="1:35" ht="12" customHeight="1">
      <c r="A54" s="2528" t="s">
        <v>1984</v>
      </c>
      <c r="B54" s="3382" t="s">
        <v>2974</v>
      </c>
      <c r="C54" s="3383"/>
      <c r="D54" s="1219">
        <f ca="1">C68</f>
        <v>492</v>
      </c>
      <c r="E54" s="333" t="s">
        <v>1985</v>
      </c>
      <c r="F54" s="2750">
        <f>'数据-取费表'!B41</f>
        <v>5.5000000000000007E-2</v>
      </c>
      <c r="G54" s="2751"/>
      <c r="H54" s="2752"/>
      <c r="I54" s="1963"/>
      <c r="J54" s="2719">
        <v>3</v>
      </c>
      <c r="K54" s="3424" t="s">
        <v>1986</v>
      </c>
      <c r="L54" s="3424"/>
      <c r="M54" s="2721">
        <f t="shared" ca="1" si="0"/>
        <v>5325</v>
      </c>
      <c r="N54" s="2719" t="str">
        <f t="shared" si="0"/>
        <v>增值额×税（费）率</v>
      </c>
      <c r="O54" s="2723" t="str">
        <f t="shared" si="0"/>
        <v>免征</v>
      </c>
    </row>
    <row r="55" spans="1:35" ht="24" customHeight="1">
      <c r="A55" s="3371" t="s">
        <v>1987</v>
      </c>
      <c r="B55" s="3372"/>
      <c r="C55" s="3372"/>
      <c r="D55" s="2517">
        <f ca="1">IF(H55="个人住宅",0,ROUND(D45*I55,0))</f>
        <v>5</v>
      </c>
      <c r="E55" s="2527" t="s">
        <v>1988</v>
      </c>
      <c r="F55" s="2750" t="str">
        <f>IF(H55="正常",I55,"免征")</f>
        <v>免征</v>
      </c>
      <c r="G55" s="2751"/>
      <c r="H55" s="2746"/>
      <c r="I55" s="170">
        <f>'数据-取费表'!B49</f>
        <v>5.0000000000000001E-4</v>
      </c>
      <c r="J55" s="2719">
        <f>IF(H59="非个人房产","",4)</f>
        <v>4</v>
      </c>
      <c r="K55" s="3424" t="str">
        <f>IF(H59="非个人房产","——","个人所得税")</f>
        <v>个人所得税</v>
      </c>
      <c r="L55" s="3424"/>
      <c r="M55" s="2724">
        <f ca="1">D59</f>
        <v>89</v>
      </c>
      <c r="N55" s="2198" t="str">
        <f>E59</f>
        <v>差额计税</v>
      </c>
      <c r="O55" s="2725">
        <f>F59</f>
        <v>0.01</v>
      </c>
    </row>
    <row r="56" spans="1:35" ht="24.75">
      <c r="A56" s="3371" t="s">
        <v>1989</v>
      </c>
      <c r="B56" s="3372"/>
      <c r="C56" s="3372"/>
      <c r="D56" s="2517">
        <f ca="1">IF(H56="个人住宅",D57,D58)</f>
        <v>5325</v>
      </c>
      <c r="E56" s="2527" t="s">
        <v>1990</v>
      </c>
      <c r="F56" s="2750" t="str">
        <f>IF(H56="正常",F58,"免征")</f>
        <v>免征</v>
      </c>
      <c r="G56" s="2753" t="s">
        <v>1991</v>
      </c>
      <c r="H56" s="2754"/>
      <c r="I56" s="1964"/>
      <c r="J56" s="2719" t="str">
        <f>IF(项目基本情况!K6="上海银行",IF(J55="",4,J55+1),"")</f>
        <v/>
      </c>
      <c r="K56" s="3447" t="str">
        <f>IF(项目基本情况!K6="上海银行","其他处置费用","")</f>
        <v/>
      </c>
      <c r="L56" s="3448"/>
      <c r="M56" s="2721" t="str">
        <f>IF(项目基本情况!K6="上海银行",M69,"")</f>
        <v/>
      </c>
      <c r="N56" s="3447" t="str">
        <f>IF(项目基本情况!K6="上海银行","包含处置中涉及的律师、诉讼、拍卖、评估等费用","")</f>
        <v/>
      </c>
      <c r="O56" s="3450"/>
    </row>
    <row r="57" spans="1:35" ht="12.75">
      <c r="A57" s="2528" t="s">
        <v>1967</v>
      </c>
      <c r="B57" s="3382" t="s">
        <v>1992</v>
      </c>
      <c r="C57" s="3383"/>
      <c r="D57" s="1745">
        <v>0</v>
      </c>
      <c r="E57" s="330" t="s">
        <v>1969</v>
      </c>
      <c r="F57" s="308"/>
      <c r="G57" s="2751"/>
      <c r="H57" s="2755"/>
      <c r="I57" s="1964"/>
      <c r="J57" s="3424">
        <f>IF(AND(J55="",J56=""),4,IF(项目基本情况!K6="上海银行",结果表!J56+1,结果表!J55+1))</f>
        <v>5</v>
      </c>
      <c r="K57" s="3424" t="s">
        <v>1993</v>
      </c>
      <c r="L57" s="2726" t="s">
        <v>1994</v>
      </c>
      <c r="M57" s="2727"/>
      <c r="N57" s="2728">
        <f ca="1">SUMIF(M52:M56,"&lt;9e307")</f>
        <v>5419</v>
      </c>
      <c r="O57" s="2729"/>
      <c r="P57" s="2889">
        <f ca="1">N57/M49</f>
        <v>0.57685756866084736</v>
      </c>
    </row>
    <row r="58" spans="1:35" ht="24.75">
      <c r="A58" s="2528" t="s">
        <v>1978</v>
      </c>
      <c r="B58" s="3382" t="s">
        <v>1995</v>
      </c>
      <c r="C58" s="3356"/>
      <c r="D58" s="2517">
        <f ca="1">IF(H58="转让取得",C81,C97)</f>
        <v>5325</v>
      </c>
      <c r="E58" s="2527" t="s">
        <v>1990</v>
      </c>
      <c r="F58" s="308" t="s">
        <v>34</v>
      </c>
      <c r="G58" s="2751"/>
      <c r="H58" s="2754"/>
      <c r="I58" s="1964"/>
      <c r="J58" s="3424"/>
      <c r="K58" s="3424"/>
      <c r="L58" s="2726" t="s">
        <v>1996</v>
      </c>
      <c r="M58" s="2730"/>
      <c r="N58" s="2731" t="str">
        <f ca="1">NUMBERSTRING(INT(N57*10000),2)&amp;"元整"</f>
        <v>伍仟肆佰壹拾玖万元整</v>
      </c>
      <c r="O58" s="2732"/>
    </row>
    <row r="59" spans="1:35" ht="24.75" thickBot="1">
      <c r="A59" s="3427" t="s">
        <v>1997</v>
      </c>
      <c r="B59" s="3428"/>
      <c r="C59" s="3428"/>
      <c r="D59" s="2756">
        <f ca="1">IF(H59="非个人房产","——",IF(H59="个人住宅（满五唯一有凭证）",0,IF(H59="个人其他（无凭证）",ROUND(D45*F59,0),ROUND(C67*F59,0))))</f>
        <v>89</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2815</v>
      </c>
      <c r="J59" s="3425">
        <f>J57+1</f>
        <v>6</v>
      </c>
      <c r="K59" s="3424" t="s">
        <v>1998</v>
      </c>
      <c r="L59" s="2719" t="s">
        <v>1994</v>
      </c>
      <c r="M59" s="2733"/>
      <c r="N59" s="2734">
        <f ca="1">M49-N57</f>
        <v>3975</v>
      </c>
      <c r="O59" s="2735"/>
    </row>
    <row r="60" spans="1:35" ht="12" customHeight="1">
      <c r="A60" s="1965"/>
      <c r="B60" s="1903"/>
      <c r="C60" s="1903"/>
      <c r="D60" s="1903"/>
      <c r="E60" s="1733"/>
      <c r="F60" s="1964"/>
      <c r="G60" s="1964"/>
      <c r="H60" s="1966"/>
      <c r="I60" s="134"/>
      <c r="J60" s="3426"/>
      <c r="K60" s="3424"/>
      <c r="L60" s="2726" t="s">
        <v>1996</v>
      </c>
      <c r="M60" s="2730"/>
      <c r="N60" s="2731" t="str">
        <f ca="1">NUMBERSTRING(INT(N59*10000),2)&amp;"元整"</f>
        <v>叁仟玖佰柒拾伍万元整</v>
      </c>
      <c r="O60" s="2732"/>
    </row>
    <row r="61" spans="1:35" ht="13.5" thickBot="1">
      <c r="A61" s="3369" t="s">
        <v>1999</v>
      </c>
      <c r="B61" s="3369"/>
      <c r="C61" s="3369"/>
      <c r="D61" s="3369"/>
      <c r="E61" s="3369"/>
      <c r="F61" s="1964"/>
      <c r="G61" s="1964"/>
      <c r="H61" s="1966"/>
      <c r="I61" s="134"/>
      <c r="J61" s="2719">
        <f>J59+1</f>
        <v>7</v>
      </c>
      <c r="K61" s="3424" t="s">
        <v>2000</v>
      </c>
      <c r="L61" s="3424"/>
      <c r="M61" s="2736"/>
      <c r="N61" s="2737">
        <f ca="1">ROUND(N59*10000/'数据-汇总表'!E3,0)</f>
        <v>1712</v>
      </c>
      <c r="O61" s="2738"/>
    </row>
    <row r="62" spans="1:35" ht="12.75">
      <c r="A62" s="3387" t="s">
        <v>2001</v>
      </c>
      <c r="B62" s="3388"/>
      <c r="C62" s="2179"/>
      <c r="D62" s="2179" t="s">
        <v>2002</v>
      </c>
      <c r="E62" s="171" t="s">
        <v>2003</v>
      </c>
      <c r="F62" s="1964"/>
      <c r="G62" s="1964"/>
      <c r="H62" s="1966"/>
      <c r="I62" s="134"/>
    </row>
    <row r="63" spans="1:35" ht="12.75">
      <c r="A63" s="178" t="s">
        <v>775</v>
      </c>
      <c r="B63" s="172" t="s">
        <v>2004</v>
      </c>
      <c r="C63" s="2760">
        <f ca="1">ROUND((C64+C65)/(1+'数据-取费表'!C42),0)</f>
        <v>8947</v>
      </c>
      <c r="D63" s="172"/>
      <c r="E63" s="173"/>
      <c r="F63" s="1964"/>
      <c r="G63" s="1964"/>
      <c r="H63" s="1966"/>
      <c r="I63" s="134"/>
      <c r="J63" s="3449" t="s">
        <v>2005</v>
      </c>
      <c r="K63" s="1472" t="s">
        <v>2006</v>
      </c>
      <c r="L63" s="1472">
        <f ca="1">IF(M49&gt;10000,M49*0.5%,IF(AND(M49&gt;1000,M49&lt;=10000),M49*1%,IF(AND(M49&gt;100,M49&lt;=1000),M49*3%,IF(AND(M49&gt;10,M49&lt;=100),M49*5%,M49*8%))))</f>
        <v>93.94</v>
      </c>
      <c r="M63" s="308">
        <f ca="1">ROUND(L63,1)</f>
        <v>93.9</v>
      </c>
      <c r="N63" s="2739"/>
      <c r="Z63" s="1908"/>
      <c r="AI63" s="1909"/>
    </row>
    <row r="64" spans="1:35" ht="14.25" customHeight="1">
      <c r="A64" s="174" t="s">
        <v>770</v>
      </c>
      <c r="B64" s="175" t="s">
        <v>2007</v>
      </c>
      <c r="C64" s="2761">
        <f ca="1">D45</f>
        <v>9394</v>
      </c>
      <c r="D64" s="175" t="s">
        <v>32</v>
      </c>
      <c r="E64" s="177"/>
      <c r="F64" s="1964"/>
      <c r="G64" s="1964"/>
      <c r="H64" s="1966"/>
      <c r="I64" s="134"/>
      <c r="J64" s="3449"/>
      <c r="K64" s="1472" t="s">
        <v>2008</v>
      </c>
      <c r="L64" s="1472">
        <f ca="1">IF(M49&gt;2000,M49*0.5%,IF(AND(M49&gt;1000,M49&lt;=2000),M49*0.6%,IF(AND(M49&gt;500,M49&lt;=1000),M49*0.7%,IF(AND(M49&gt;200,M49&lt;=500),M49*0.8%,IF(AND(M49&gt;100,M49&lt;=200),M49*0.9%,IF(AND(M49&gt;50,M49&lt;=100),M49*1%,IF(AND(M49&gt;20,M49&lt;=50),M49*1.5%,IF(AND(M49&gt;10,M49&lt;=20),M49*2%,IF(AND(M49&gt;1,M49&lt;=10),M49*2.5%)))))))))</f>
        <v>46.97</v>
      </c>
      <c r="M64" s="308">
        <f t="shared" ref="M64:M65" ca="1" si="1">ROUND(L64,1)</f>
        <v>47</v>
      </c>
      <c r="N64" s="2740" t="s">
        <v>2009</v>
      </c>
      <c r="Z64" s="1908"/>
      <c r="AI64" s="1909"/>
    </row>
    <row r="65" spans="1:35" ht="14.25" customHeight="1">
      <c r="A65" s="174" t="s">
        <v>771</v>
      </c>
      <c r="B65" s="175" t="s">
        <v>2010</v>
      </c>
      <c r="C65" s="2762"/>
      <c r="D65" s="175"/>
      <c r="E65" s="177"/>
      <c r="F65" s="1964"/>
      <c r="G65" s="1964"/>
      <c r="H65" s="1966"/>
      <c r="I65" s="134"/>
      <c r="J65" s="3449"/>
      <c r="K65" s="1472" t="s">
        <v>2011</v>
      </c>
      <c r="L65" s="1472">
        <f ca="1">IF(M49&gt;1000,M49*0.1%,IF(AND(M49&gt;500,M49&lt;=1000),M49*0.5%,IF(AND(M49&gt;50,M49&lt;=500),M49*1%,IF(AND(M49&gt;1,M49&lt;=50),M49*1.5%))))</f>
        <v>9.3940000000000001</v>
      </c>
      <c r="M65" s="308">
        <f t="shared" ca="1" si="1"/>
        <v>9.4</v>
      </c>
      <c r="N65" s="2740" t="s">
        <v>2009</v>
      </c>
      <c r="Z65" s="1908"/>
      <c r="AI65" s="1909"/>
    </row>
    <row r="66" spans="1:35" ht="14.25" customHeight="1">
      <c r="A66" s="178" t="s">
        <v>772</v>
      </c>
      <c r="B66" s="179" t="s">
        <v>2012</v>
      </c>
      <c r="C66" s="2763"/>
      <c r="D66" s="179" t="s">
        <v>32</v>
      </c>
      <c r="E66" s="1479" t="s">
        <v>1277</v>
      </c>
      <c r="F66" s="1964"/>
      <c r="G66" s="1964"/>
      <c r="H66" s="1966"/>
      <c r="I66" s="134"/>
      <c r="J66" s="3449"/>
      <c r="K66" s="1472" t="s">
        <v>2013</v>
      </c>
      <c r="L66" s="1472">
        <f ca="1">M49*0.5%</f>
        <v>46.97</v>
      </c>
      <c r="M66" s="308">
        <f ca="1">IF(L66&gt;0.5,0.5,ROUND(L66,0))</f>
        <v>0.5</v>
      </c>
      <c r="N66" s="2740" t="s">
        <v>2014</v>
      </c>
      <c r="Z66" s="1908"/>
      <c r="AI66" s="1909"/>
    </row>
    <row r="67" spans="1:35" ht="14.25" customHeight="1">
      <c r="A67" s="178" t="s">
        <v>773</v>
      </c>
      <c r="B67" s="179" t="s">
        <v>2015</v>
      </c>
      <c r="C67" s="2764">
        <f ca="1">C63-C66</f>
        <v>8947</v>
      </c>
      <c r="D67" s="175" t="s">
        <v>32</v>
      </c>
      <c r="E67" s="177"/>
      <c r="F67" s="1964"/>
      <c r="G67" s="1964"/>
      <c r="H67" s="1966"/>
      <c r="I67" s="134"/>
      <c r="J67" s="3449"/>
      <c r="K67" s="1472" t="s">
        <v>2016</v>
      </c>
      <c r="L67" s="1472">
        <f ca="1">IF(M49&gt;=10000,(8.25+(M49-10000)*0.01%),IF(AND(M49&gt;=8000,M49&lt;10000),(7.85+(M49-8000)*0.02%),IF(AND(M49&gt;=5000,M49&lt;8000),(6.65+(M49-5000)*0.04%),IF(AND(M49&gt;=2000,M49&lt;5000),(4.25+(PM49-2000)*0.08%),IF(AND(M49&gt;=1000,M49&lt;2000),(2.75+(M49-1000)*0.15%),IF(AND(M49&gt;=100,M49&lt;1000),(0.5+(M49-100)*0.25%),IF(AND(M49&gt;0,M49&lt;100),M49*0.5%)))))))</f>
        <v>8.1288</v>
      </c>
      <c r="M67" s="308">
        <f ca="1">ROUND(L67*0.9,1)</f>
        <v>7.3</v>
      </c>
      <c r="N67" s="2739"/>
      <c r="Z67" s="1908"/>
      <c r="AI67" s="1909"/>
    </row>
    <row r="68" spans="1:35" ht="14.25" customHeight="1" thickBot="1">
      <c r="A68" s="181" t="s">
        <v>774</v>
      </c>
      <c r="B68" s="182" t="s">
        <v>2017</v>
      </c>
      <c r="C68" s="2765">
        <f ca="1">IF(C67&lt;=0,0,ROUND(C67*D68,0))</f>
        <v>492</v>
      </c>
      <c r="D68" s="2766">
        <f>'数据-取费表'!B41</f>
        <v>5.5000000000000007E-2</v>
      </c>
      <c r="E68" s="184"/>
      <c r="F68" s="1964"/>
      <c r="G68" s="1964"/>
      <c r="H68" s="1966"/>
      <c r="I68" s="134"/>
      <c r="J68" s="3449"/>
      <c r="K68" s="1472" t="s">
        <v>2018</v>
      </c>
      <c r="L68" s="1472">
        <f ca="1">IF(M49&gt;10000,M49*0.5%,IF(AND(M49&gt;5000,M49&lt;=10000),M49*1%,IF(AND(M49&gt;1000,M49&lt;=5000),M49*2%,IF(AND(M49&gt;200,M49&lt;=1000),M49*3%,M49*5%))))</f>
        <v>93.94</v>
      </c>
      <c r="M68" s="308">
        <f ca="1">ROUND(L68,1)</f>
        <v>93.9</v>
      </c>
      <c r="N68" s="2739"/>
      <c r="Z68" s="1908"/>
      <c r="AI68" s="1909"/>
    </row>
    <row r="69" spans="1:35" s="1928" customFormat="1" ht="16.5" customHeight="1">
      <c r="A69" s="1967"/>
      <c r="B69" s="1968"/>
      <c r="C69" s="1969"/>
      <c r="D69" s="1970"/>
      <c r="E69" s="1971"/>
      <c r="F69" s="1733"/>
      <c r="G69" s="1733"/>
      <c r="H69" s="1732"/>
      <c r="I69" s="1903"/>
      <c r="J69" s="3449"/>
      <c r="K69" s="1472" t="s">
        <v>2019</v>
      </c>
      <c r="L69" s="1472"/>
      <c r="M69" s="308">
        <f ca="1">ROUND(SUM(M63:M68),0)</f>
        <v>252</v>
      </c>
      <c r="N69" s="2741">
        <f ca="1">M69/M49</f>
        <v>2.6825633383010434E-2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408" t="s">
        <v>2020</v>
      </c>
      <c r="B70" s="3409"/>
      <c r="C70" s="3409"/>
      <c r="D70" s="3409"/>
      <c r="E70" s="3409"/>
      <c r="F70" s="3409"/>
      <c r="G70" s="3409"/>
      <c r="H70" s="3409"/>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87" t="s">
        <v>2001</v>
      </c>
      <c r="B71" s="3388"/>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8947</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45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82" t="s">
        <v>2028</v>
      </c>
      <c r="F76" s="3356"/>
      <c r="G76" s="3356"/>
      <c r="H76" s="340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45</v>
      </c>
      <c r="D78" s="2773">
        <f>'数据-取费表'!B43</f>
        <v>5.000000000000001E-3</v>
      </c>
      <c r="E78" s="3366" t="s">
        <v>2032</v>
      </c>
      <c r="F78" s="3367"/>
      <c r="G78" s="3367"/>
      <c r="H78" s="337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8902</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197.82222222222222</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5325</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408" t="s">
        <v>2036</v>
      </c>
      <c r="B83" s="3409"/>
      <c r="C83" s="3409"/>
      <c r="D83" s="3409"/>
      <c r="E83" s="3409"/>
      <c r="F83" s="3409"/>
      <c r="G83" s="3409"/>
      <c r="H83" s="340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87" t="s">
        <v>2001</v>
      </c>
      <c r="B84" s="338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8947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45</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2970</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451" t="s">
        <v>2807</v>
      </c>
      <c r="H90" s="3452"/>
      <c r="I90" s="1977"/>
      <c r="J90" s="2717" t="s">
        <v>2971</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66" t="s">
        <v>2045</v>
      </c>
      <c r="F91" s="3367"/>
      <c r="G91" s="3367"/>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66" t="s">
        <v>2048</v>
      </c>
      <c r="F92" s="3367"/>
      <c r="G92" s="3367"/>
      <c r="H92" s="3376"/>
      <c r="I92" s="1977"/>
      <c r="J92" s="2718" t="s">
        <v>2972</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45</v>
      </c>
      <c r="D93" s="2773">
        <f>'数据-取费表'!B43</f>
        <v>5.000000000000001E-3</v>
      </c>
      <c r="E93" s="3366" t="s">
        <v>2032</v>
      </c>
      <c r="F93" s="3367"/>
      <c r="G93" s="3367"/>
      <c r="H93" s="337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77" t="s">
        <v>2052</v>
      </c>
      <c r="F94" s="3378"/>
      <c r="G94" s="3378"/>
      <c r="H94" s="337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8902</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197.82222222222222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5325</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50" t="s">
        <v>2054</v>
      </c>
      <c r="B100" s="3351"/>
      <c r="C100" s="3351"/>
      <c r="D100" s="3368"/>
      <c r="E100" s="3351" t="s">
        <v>2055</v>
      </c>
      <c r="F100" s="3351"/>
      <c r="G100" s="3351"/>
      <c r="H100" s="3368"/>
      <c r="I100" s="134"/>
    </row>
    <row r="101" spans="1:35" ht="18.75" customHeight="1">
      <c r="A101" s="3432" t="s">
        <v>2056</v>
      </c>
      <c r="B101" s="3433"/>
      <c r="C101" s="2781" t="str">
        <f>C4</f>
        <v>成本法</v>
      </c>
      <c r="D101" s="2782" t="str">
        <f>D4</f>
        <v>假设开发法</v>
      </c>
      <c r="E101" s="3446" t="s">
        <v>2057</v>
      </c>
      <c r="F101" s="3400"/>
      <c r="G101" s="1983" t="s">
        <v>2058</v>
      </c>
      <c r="H101" s="2791">
        <f ca="1">H118</f>
        <v>9394</v>
      </c>
      <c r="I101" s="134"/>
    </row>
    <row r="102" spans="1:35" ht="18.75" customHeight="1">
      <c r="A102" s="3402" t="s">
        <v>2059</v>
      </c>
      <c r="B102" s="2780" t="s">
        <v>2058</v>
      </c>
      <c r="C102" s="2781">
        <f ca="1">C19</f>
        <v>7547</v>
      </c>
      <c r="D102" s="2782">
        <f ca="1">D19</f>
        <v>10625</v>
      </c>
      <c r="E102" s="3446"/>
      <c r="F102" s="3400"/>
      <c r="G102" s="1983" t="s">
        <v>2060</v>
      </c>
      <c r="H102" s="2751">
        <f ca="1">I118</f>
        <v>4045</v>
      </c>
      <c r="I102" s="134"/>
    </row>
    <row r="103" spans="1:35" ht="42.75" customHeight="1">
      <c r="A103" s="3402"/>
      <c r="B103" s="2780" t="s">
        <v>2060</v>
      </c>
      <c r="C103" s="2783">
        <f ca="1">C20</f>
        <v>3250</v>
      </c>
      <c r="D103" s="2784">
        <f ca="1">D20</f>
        <v>4575</v>
      </c>
      <c r="E103" s="3440" t="s">
        <v>2061</v>
      </c>
      <c r="F103" s="3441"/>
      <c r="G103" s="1984" t="s">
        <v>2062</v>
      </c>
      <c r="H103" s="2791">
        <f>IF(D36="正常操作",H104+H105+H106,H105+H106)</f>
        <v>0</v>
      </c>
      <c r="I103" s="134"/>
    </row>
    <row r="104" spans="1:35" ht="18.75" customHeight="1">
      <c r="A104" s="3402" t="s">
        <v>2063</v>
      </c>
      <c r="B104" s="2785" t="s">
        <v>2058</v>
      </c>
      <c r="C104" s="2786">
        <f ca="1">H118</f>
        <v>9394</v>
      </c>
      <c r="D104" s="2787"/>
      <c r="E104" s="1830" t="s">
        <v>2064</v>
      </c>
      <c r="F104" s="1821"/>
      <c r="G104" s="1984" t="s">
        <v>2062</v>
      </c>
      <c r="H104" s="2792">
        <f>IF(D36="同一抵押权人同一抵押物续贷",C36&amp;"（续贷，未扣减，详见特别提示）",C36)</f>
        <v>0</v>
      </c>
      <c r="I104" s="134"/>
    </row>
    <row r="105" spans="1:35" ht="18.75" customHeight="1" thickBot="1">
      <c r="A105" s="3403"/>
      <c r="B105" s="2788" t="s">
        <v>2060</v>
      </c>
      <c r="C105" s="2789">
        <f ca="1">I118</f>
        <v>4045</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99" t="str">
        <f>IF(项目基本情况!E8="已注销","——","3.房地产抵押价值")</f>
        <v>3.房地产抵押价值</v>
      </c>
      <c r="F107" s="3400"/>
      <c r="G107" s="1983" t="s">
        <v>2058</v>
      </c>
      <c r="H107" s="2791">
        <f ca="1">IF(E107="——","——",H101-H103)</f>
        <v>9394</v>
      </c>
      <c r="I107" s="134"/>
    </row>
    <row r="108" spans="1:35" ht="18.75" customHeight="1">
      <c r="A108" s="134"/>
      <c r="B108" s="134"/>
      <c r="C108" s="134"/>
      <c r="D108" s="134"/>
      <c r="E108" s="3399"/>
      <c r="F108" s="3400"/>
      <c r="G108" s="1983" t="s">
        <v>2060</v>
      </c>
      <c r="H108" s="2751">
        <f ca="1">ROUND(H107*10000/'数据-汇总表'!E3,0)</f>
        <v>4045</v>
      </c>
      <c r="I108" s="134"/>
    </row>
    <row r="109" spans="1:35" ht="18.75" customHeight="1">
      <c r="A109" s="134"/>
      <c r="B109" s="134"/>
      <c r="C109" s="134"/>
      <c r="D109" s="134"/>
      <c r="E109" s="3399" t="str">
        <f>IF(项目基本情况!E8="已注销及未注销","4.抵押担保权已注销时的房地产抵押价值",IF(项目基本情况!E8="已注销","3.抵押担保权已注销时的房地产抵押价值","——"))</f>
        <v>——</v>
      </c>
      <c r="F109" s="3400"/>
      <c r="G109" s="1983" t="s">
        <v>2058</v>
      </c>
      <c r="H109" s="2794" t="str">
        <f>IF(E109="——","——",H101-H105-H106)</f>
        <v>——</v>
      </c>
      <c r="I109" s="134"/>
    </row>
    <row r="110" spans="1:35" ht="18.75" customHeight="1">
      <c r="A110" s="134"/>
      <c r="B110" s="134"/>
      <c r="C110" s="134"/>
      <c r="D110" s="134"/>
      <c r="E110" s="3399"/>
      <c r="F110" s="3400"/>
      <c r="G110" s="1983" t="s">
        <v>2060</v>
      </c>
      <c r="H110" s="2751" t="str">
        <f>IF(H109="——","——",ROUND(H109*10000/'数据-汇总表'!E3,0))</f>
        <v>——</v>
      </c>
      <c r="I110" s="134"/>
    </row>
    <row r="111" spans="1:35" ht="18.75" customHeight="1">
      <c r="A111" s="134"/>
      <c r="B111" s="134"/>
      <c r="C111" s="134"/>
      <c r="D111" s="134"/>
      <c r="E111" s="3434" t="str">
        <f>IF(项目基本情况!E9="抵押净值",IF(OR(项目基本情况!E8="已注销",项目基本情况!E8="房地产抵押价值"),"4.抵押净值","5.抵押净值"),"——")</f>
        <v>——</v>
      </c>
      <c r="F111" s="3401"/>
      <c r="G111" s="1983" t="s">
        <v>2058</v>
      </c>
      <c r="H111" s="2791" t="str">
        <f>IF(E111="——","——",N59)</f>
        <v>——</v>
      </c>
      <c r="I111" s="134"/>
    </row>
    <row r="112" spans="1:35" ht="18.75" customHeight="1" thickBot="1">
      <c r="A112" s="134"/>
      <c r="B112" s="134"/>
      <c r="C112" s="134"/>
      <c r="D112" s="134"/>
      <c r="E112" s="3435"/>
      <c r="F112" s="3436"/>
      <c r="G112" s="1986" t="s">
        <v>2060</v>
      </c>
      <c r="H112" s="2795" t="str">
        <f>IF(E111="——","——",N61)</f>
        <v>——</v>
      </c>
      <c r="I112" s="134"/>
    </row>
    <row r="113" spans="1:27" ht="18.75" customHeight="1">
      <c r="A113" s="134"/>
      <c r="B113" s="134"/>
      <c r="C113" s="134"/>
      <c r="D113" s="134"/>
      <c r="E113" s="3404" t="s">
        <v>2066</v>
      </c>
      <c r="F113" s="3404"/>
      <c r="G113" s="3404"/>
      <c r="H113" s="3404"/>
      <c r="I113" s="134"/>
    </row>
    <row r="114" spans="1:27" ht="3.75" customHeight="1">
      <c r="A114" s="1903"/>
      <c r="B114" s="1903"/>
      <c r="C114" s="1903"/>
      <c r="D114" s="1903"/>
      <c r="E114" s="1965"/>
      <c r="F114" s="1965"/>
      <c r="G114" s="1965"/>
      <c r="H114" s="1965"/>
      <c r="I114" s="1903"/>
    </row>
    <row r="115" spans="1:27" ht="18.75" customHeight="1">
      <c r="A115" s="3417" t="s">
        <v>2068</v>
      </c>
      <c r="B115" s="3418"/>
      <c r="C115" s="3418"/>
      <c r="D115" s="3418"/>
      <c r="E115" s="3418"/>
      <c r="F115" s="3418"/>
      <c r="G115" s="3418"/>
      <c r="H115" s="3418"/>
      <c r="I115" s="3419"/>
    </row>
    <row r="116" spans="1:27" ht="27" customHeight="1">
      <c r="A116" s="3370" t="s">
        <v>2069</v>
      </c>
      <c r="B116" s="3405" t="s">
        <v>2070</v>
      </c>
      <c r="C116" s="3405" t="s">
        <v>2071</v>
      </c>
      <c r="D116" s="3421" t="s">
        <v>2072</v>
      </c>
      <c r="E116" s="3422"/>
      <c r="F116" s="3413" t="s">
        <v>2073</v>
      </c>
      <c r="G116" s="3413"/>
      <c r="H116" s="3370" t="s">
        <v>2074</v>
      </c>
      <c r="I116" s="3370"/>
    </row>
    <row r="117" spans="1:27" ht="18.75" customHeight="1">
      <c r="A117" s="3370"/>
      <c r="B117" s="3406"/>
      <c r="C117" s="3406"/>
      <c r="D117" s="2522" t="s">
        <v>2075</v>
      </c>
      <c r="E117" s="2522" t="s">
        <v>2076</v>
      </c>
      <c r="F117" s="2522" t="s">
        <v>2075</v>
      </c>
      <c r="G117" s="2522" t="s">
        <v>2077</v>
      </c>
      <c r="H117" s="2522" t="s">
        <v>2075</v>
      </c>
      <c r="I117" s="2522" t="s">
        <v>2077</v>
      </c>
    </row>
    <row r="118" spans="1:27" ht="24.75" customHeight="1">
      <c r="A118" s="2796" t="str">
        <f>项目基本情况!S2</f>
        <v>北京市出让国有建设用地使用权及在建建筑物房地产</v>
      </c>
      <c r="B118" s="2522">
        <f>M18</f>
        <v>23225</v>
      </c>
      <c r="C118" s="2522">
        <f>M19</f>
        <v>29031.75</v>
      </c>
      <c r="D118" s="2522">
        <f ca="1">ROUND(IF(D32="总价",C34,E118*B118/10000),0)</f>
        <v>6050</v>
      </c>
      <c r="E118" s="2522">
        <f ca="1">ROUND(IF(C33="自定义",IF(D32="楼面单价",C34,D118*10000/B118),I118-G118),0)</f>
        <v>2605</v>
      </c>
      <c r="F118" s="2522">
        <f ca="1">ROUND(IF(D32="总价",C35,G118*B118/10000),0)</f>
        <v>3344</v>
      </c>
      <c r="G118" s="2522">
        <f ca="1">ROUND(IF(D32="楼面单价",C35,F118*10000/B118),0)</f>
        <v>1440</v>
      </c>
      <c r="H118" s="2522">
        <f ca="1">ROUND(IF(D32="总价",C32,I118*B118/10000),0)</f>
        <v>9394</v>
      </c>
      <c r="I118" s="2522">
        <f ca="1">ROUND(IF(D32="楼面单价",C32,H118*10000/B118),0)</f>
        <v>4045</v>
      </c>
    </row>
    <row r="119" spans="1:27" ht="18.75" customHeight="1">
      <c r="A119" s="3370" t="s">
        <v>2078</v>
      </c>
      <c r="B119" s="3370"/>
      <c r="C119" s="3370"/>
      <c r="D119" s="3410" t="str">
        <f ca="1">NUMBERSTRING(INT(D118*10000),2)&amp;"元整"</f>
        <v>陆仟零伍拾万元整</v>
      </c>
      <c r="E119" s="3412"/>
      <c r="F119" s="3410" t="str">
        <f ca="1">NUMBERSTRING(INT(F118*10000),2)&amp;"元整"</f>
        <v>叁仟叁佰肆拾肆万元整</v>
      </c>
      <c r="G119" s="3412"/>
      <c r="H119" s="3410" t="str">
        <f ca="1">NUMBERSTRING(INT(H118*10000),2)&amp;"元整"</f>
        <v>玖仟叁佰玖拾肆万元整</v>
      </c>
      <c r="I119" s="3412"/>
    </row>
    <row r="120" spans="1:27" ht="18.75" customHeight="1">
      <c r="A120" s="3437" t="str">
        <f>IF(项目基本情况!B9="房地产市场价值","",MID(E103,3,LEN(E103)-2))</f>
        <v>估价师知悉的法定优先受偿款</v>
      </c>
      <c r="B120" s="3438"/>
      <c r="C120" s="3439"/>
      <c r="D120" s="3437">
        <f>H103</f>
        <v>0</v>
      </c>
      <c r="E120" s="3438"/>
      <c r="F120" s="3438"/>
      <c r="G120" s="3438"/>
      <c r="H120" s="3438"/>
      <c r="I120" s="3439"/>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414" t="s">
        <v>2078</v>
      </c>
      <c r="B121" s="3415"/>
      <c r="C121" s="3416"/>
      <c r="D121" s="3410" t="str">
        <f>IF(D120=0,"零元整",NUMBERSTRING(INT(D120*10000),2)&amp;"元整")</f>
        <v>零元整</v>
      </c>
      <c r="E121" s="3411"/>
      <c r="F121" s="3411"/>
      <c r="G121" s="3411"/>
      <c r="H121" s="3411"/>
      <c r="I121" s="3412"/>
      <c r="AA121" s="734"/>
    </row>
    <row r="122" spans="1:27" ht="18.75" customHeight="1">
      <c r="A122" s="3401" t="str">
        <f>IF(项目基本情况!B9="房地产市场价值","",MID(E107,3,LEN(E107)-2))</f>
        <v>房地产抵押价值</v>
      </c>
      <c r="B122" s="3401"/>
      <c r="C122" s="3401"/>
      <c r="D122" s="3437">
        <f ca="1">H107</f>
        <v>9394</v>
      </c>
      <c r="E122" s="3438"/>
      <c r="F122" s="3438"/>
      <c r="G122" s="3438"/>
      <c r="H122" s="3438"/>
      <c r="I122" s="3439"/>
      <c r="AA122" s="734"/>
    </row>
    <row r="123" spans="1:27" ht="18.75" customHeight="1">
      <c r="A123" s="3370" t="s">
        <v>2078</v>
      </c>
      <c r="B123" s="3370"/>
      <c r="C123" s="3370"/>
      <c r="D123" s="3410" t="str">
        <f ca="1">NUMBERSTRING(INT(D122*10000),2)&amp;"元整"</f>
        <v>玖仟叁佰玖拾肆万元整</v>
      </c>
      <c r="E123" s="3411"/>
      <c r="F123" s="3411"/>
      <c r="G123" s="3411"/>
      <c r="H123" s="3411"/>
      <c r="I123" s="3412"/>
      <c r="AA123" s="734"/>
    </row>
    <row r="124" spans="1:27" ht="18.75" customHeight="1">
      <c r="A124" s="3401" t="str">
        <f>IF(项目基本情况!B9="房地产市场价值","",MID(E109,3,LEN(E109)-2))</f>
        <v/>
      </c>
      <c r="B124" s="3401"/>
      <c r="C124" s="3401"/>
      <c r="D124" s="3437" t="str">
        <f>H109</f>
        <v>——</v>
      </c>
      <c r="E124" s="3438"/>
      <c r="F124" s="3438"/>
      <c r="G124" s="3438"/>
      <c r="H124" s="3438"/>
      <c r="I124" s="3439"/>
      <c r="AA124" s="734"/>
    </row>
    <row r="125" spans="1:27" ht="18.75" customHeight="1">
      <c r="A125" s="3370" t="s">
        <v>2078</v>
      </c>
      <c r="B125" s="3370"/>
      <c r="C125" s="3370"/>
      <c r="D125" s="3410" t="e">
        <f>NUMBERSTRING(INT(D124*10000),2)&amp;"元整"</f>
        <v>#VALUE!</v>
      </c>
      <c r="E125" s="3411"/>
      <c r="F125" s="3411"/>
      <c r="G125" s="3411"/>
      <c r="H125" s="3411"/>
      <c r="I125" s="3412"/>
      <c r="AA125" s="734"/>
    </row>
    <row r="126" spans="1:27" ht="18.75" customHeight="1">
      <c r="A126" s="3401" t="str">
        <f>IF(项目基本情况!B9="房地产市场价值","",MID(E111,3,LEN(E111)-2))</f>
        <v/>
      </c>
      <c r="B126" s="3401"/>
      <c r="C126" s="3401"/>
      <c r="D126" s="3437" t="str">
        <f>H111</f>
        <v>——</v>
      </c>
      <c r="E126" s="3438"/>
      <c r="F126" s="3438"/>
      <c r="G126" s="3438"/>
      <c r="H126" s="3438"/>
      <c r="I126" s="3439"/>
      <c r="AA126" s="734"/>
    </row>
    <row r="127" spans="1:27" ht="18.75" customHeight="1">
      <c r="A127" s="3370" t="s">
        <v>2078</v>
      </c>
      <c r="B127" s="3370"/>
      <c r="C127" s="3370"/>
      <c r="D127" s="3410" t="e">
        <f>NUMBERSTRING(INT(D126*10000),2)&amp;"元整"</f>
        <v>#VALUE!</v>
      </c>
      <c r="E127" s="3411"/>
      <c r="F127" s="3411"/>
      <c r="G127" s="3411"/>
      <c r="H127" s="3411"/>
      <c r="I127" s="3412"/>
      <c r="AA127" s="734"/>
    </row>
    <row r="128" spans="1:27" ht="21.75" customHeight="1">
      <c r="A128" s="3420" t="s">
        <v>2079</v>
      </c>
      <c r="B128" s="3420"/>
      <c r="C128" s="3420"/>
      <c r="D128" s="3420"/>
      <c r="E128" s="3420"/>
      <c r="F128" s="3420"/>
      <c r="G128" s="3420"/>
      <c r="H128" s="3420"/>
      <c r="I128" s="3420"/>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85" zoomScaleNormal="60" zoomScaleSheetLayoutView="85" workbookViewId="0">
      <selection activeCell="C24" sqref="C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2403</v>
      </c>
      <c r="B4" s="362"/>
      <c r="C4" s="3453" t="s">
        <v>2404</v>
      </c>
      <c r="D4" s="3480"/>
      <c r="E4" s="3481" t="s">
        <v>2405</v>
      </c>
      <c r="F4" s="3482"/>
      <c r="G4" s="3453" t="s">
        <v>2406</v>
      </c>
      <c r="H4" s="3480"/>
      <c r="I4" s="3453" t="s">
        <v>2407</v>
      </c>
      <c r="J4" s="3480"/>
      <c r="K4" s="567" t="s">
        <v>2408</v>
      </c>
      <c r="L4" s="2914"/>
      <c r="M4" s="2915"/>
      <c r="N4" s="2915"/>
      <c r="O4" s="2915"/>
      <c r="P4" s="3483" t="s">
        <v>2409</v>
      </c>
      <c r="Q4" s="3484"/>
      <c r="R4" s="3460" t="s">
        <v>2405</v>
      </c>
      <c r="S4" s="3461"/>
      <c r="T4" s="3460" t="s">
        <v>2406</v>
      </c>
      <c r="U4" s="3461"/>
      <c r="V4" s="3473" t="s">
        <v>2407</v>
      </c>
      <c r="W4" s="3473"/>
      <c r="X4" s="1509"/>
      <c r="Y4" s="3460" t="s">
        <v>2409</v>
      </c>
      <c r="Z4" s="3461"/>
      <c r="AA4" s="3477" t="s">
        <v>2405</v>
      </c>
      <c r="AB4" s="3478" t="s">
        <v>2406</v>
      </c>
      <c r="AC4" s="3477" t="s">
        <v>2407</v>
      </c>
    </row>
    <row r="5" spans="1:29" ht="48.75" customHeight="1">
      <c r="A5" s="364"/>
      <c r="B5" s="365"/>
      <c r="C5" s="3464" t="s">
        <v>2300</v>
      </c>
      <c r="D5" s="3465"/>
      <c r="E5" s="3489" t="str">
        <f>土地案例!A3</f>
        <v xml:space="preserve">顺义区赵全营镇SY04-0100-6006-1-2地块    </v>
      </c>
      <c r="F5" s="3490"/>
      <c r="G5" s="3464" t="str">
        <f>土地案例!A5</f>
        <v xml:space="preserve">顺义区赵全营板桥SY04-0100-6006-2地块M4工业研发用地   </v>
      </c>
      <c r="H5" s="3465"/>
      <c r="I5" s="3464" t="str">
        <f>土地案例!A6</f>
        <v xml:space="preserve">顺义区赵全营镇SY04-0100-6006-3地块M4工业研发项目   </v>
      </c>
      <c r="J5" s="3465"/>
      <c r="K5" s="567"/>
      <c r="L5" s="2914"/>
      <c r="M5" s="2915"/>
      <c r="N5" s="2915"/>
      <c r="O5" s="2915"/>
      <c r="P5" s="3485"/>
      <c r="Q5" s="3486"/>
      <c r="R5" s="3462"/>
      <c r="S5" s="3463"/>
      <c r="T5" s="3462"/>
      <c r="U5" s="3463"/>
      <c r="V5" s="3473"/>
      <c r="W5" s="3473"/>
      <c r="X5" s="1509"/>
      <c r="Y5" s="3462"/>
      <c r="Z5" s="3463"/>
      <c r="AA5" s="3478"/>
      <c r="AB5" s="3478"/>
      <c r="AC5" s="3478"/>
    </row>
    <row r="6" spans="1:29" ht="15.75" thickBot="1">
      <c r="A6" s="366"/>
      <c r="B6" s="367"/>
      <c r="C6" s="3466" t="s">
        <v>2555</v>
      </c>
      <c r="D6" s="3467"/>
      <c r="E6" s="3469" t="s">
        <v>2555</v>
      </c>
      <c r="F6" s="3470"/>
      <c r="G6" s="3466" t="s">
        <v>2555</v>
      </c>
      <c r="H6" s="3467"/>
      <c r="I6" s="3466" t="s">
        <v>2555</v>
      </c>
      <c r="J6" s="3467"/>
      <c r="K6" s="567" t="s">
        <v>2305</v>
      </c>
      <c r="L6" s="2914"/>
      <c r="M6" s="2915"/>
      <c r="N6" s="2915"/>
      <c r="O6" s="2915"/>
      <c r="P6" s="3487"/>
      <c r="Q6" s="3488"/>
      <c r="R6" s="3462"/>
      <c r="S6" s="3463"/>
      <c r="T6" s="3471"/>
      <c r="U6" s="3472"/>
      <c r="V6" s="3473"/>
      <c r="W6" s="3473"/>
      <c r="X6" s="1509"/>
      <c r="Y6" s="3471"/>
      <c r="Z6" s="3472"/>
      <c r="AA6" s="3479"/>
      <c r="AB6" s="3479"/>
      <c r="AC6" s="3479"/>
    </row>
    <row r="7" spans="1:29" s="113" customFormat="1" ht="15.75" thickBot="1">
      <c r="A7" s="368" t="s">
        <v>2306</v>
      </c>
      <c r="B7" s="369"/>
      <c r="C7" s="370">
        <f>'数据-取费表'!B2</f>
        <v>44610</v>
      </c>
      <c r="D7" s="371">
        <v>100</v>
      </c>
      <c r="E7" s="372" t="str">
        <f>土地案例!H3</f>
        <v xml:space="preserve"> 挂牌</v>
      </c>
      <c r="F7" s="373">
        <f>SUMIF(65:65,YEAR(E7)&amp;"-"&amp;INT((MONTH(E7)+2)/3),66:66)</f>
        <v>0</v>
      </c>
      <c r="G7" s="2130" t="str">
        <f>土地案例!H5</f>
        <v xml:space="preserve"> 挂牌</v>
      </c>
      <c r="H7" s="371">
        <f>SUMIF(65:65,YEAR(G7)&amp;"-"&amp;INT((MONTH(G7)+2)/3),66:66)</f>
        <v>0</v>
      </c>
      <c r="I7" s="2130" t="str">
        <f>土地案例!H6</f>
        <v xml:space="preserve"> 挂牌</v>
      </c>
      <c r="J7" s="371">
        <f>SUMIF(65:65,YEAR(I7)&amp;"-"&amp;INT((MONTH(I7)+2)/3),66:66)</f>
        <v>0</v>
      </c>
      <c r="K7" s="568"/>
      <c r="L7" s="2916"/>
      <c r="M7" s="2917"/>
      <c r="N7" s="2917"/>
      <c r="O7" s="2917"/>
      <c r="P7" s="3458" t="s">
        <v>2307</v>
      </c>
      <c r="Q7" s="3468"/>
      <c r="R7" s="710" t="s">
        <v>17</v>
      </c>
      <c r="S7" s="711">
        <f t="shared" ref="S7:S15" si="0">F7</f>
        <v>0</v>
      </c>
      <c r="T7" s="710" t="s">
        <v>17</v>
      </c>
      <c r="U7" s="711">
        <f t="shared" ref="U7:U15" si="1">H7</f>
        <v>0</v>
      </c>
      <c r="V7" s="710" t="s">
        <v>17</v>
      </c>
      <c r="W7" s="711">
        <f t="shared" ref="W7:W15" si="2">J7</f>
        <v>0</v>
      </c>
      <c r="X7" s="712"/>
      <c r="Y7" s="3458" t="s">
        <v>2307</v>
      </c>
      <c r="Z7" s="3459"/>
      <c r="AA7" s="713" t="e">
        <f>D7/F7</f>
        <v>#DIV/0!</v>
      </c>
      <c r="AB7" s="713" t="e">
        <f>D7/H7</f>
        <v>#DIV/0!</v>
      </c>
      <c r="AC7" s="713" t="e">
        <f>D7/J7</f>
        <v>#DIV/0!</v>
      </c>
    </row>
    <row r="8" spans="1:29" s="113" customFormat="1" ht="15.75" thickBot="1">
      <c r="A8" s="368" t="s">
        <v>2308</v>
      </c>
      <c r="B8" s="369"/>
      <c r="C8" s="374" t="s">
        <v>2309</v>
      </c>
      <c r="D8" s="371">
        <v>100</v>
      </c>
      <c r="E8" s="374" t="s">
        <v>2309</v>
      </c>
      <c r="F8" s="373">
        <f>SUMIF(68:68,E8,69:69)-SUMIF(68:68,C8,69:69)+100</f>
        <v>100</v>
      </c>
      <c r="G8" s="374" t="s">
        <v>2309</v>
      </c>
      <c r="H8" s="371">
        <f>SUMIF(68:68,G8,69:69)-SUMIF(68:68,C8,69:69)+100</f>
        <v>100</v>
      </c>
      <c r="I8" s="374" t="s">
        <v>2309</v>
      </c>
      <c r="J8" s="371">
        <f>SUMIF(68:68,I8,69:69)-SUMIF(68:68,C8,69:69)+100</f>
        <v>100</v>
      </c>
      <c r="K8" s="568"/>
      <c r="L8" s="2916"/>
      <c r="M8" s="2917"/>
      <c r="N8" s="2917"/>
      <c r="O8" s="2917"/>
      <c r="P8" s="3458" t="s">
        <v>2310</v>
      </c>
      <c r="Q8" s="3459"/>
      <c r="R8" s="710" t="s">
        <v>17</v>
      </c>
      <c r="S8" s="711">
        <f t="shared" si="0"/>
        <v>100</v>
      </c>
      <c r="T8" s="710" t="s">
        <v>17</v>
      </c>
      <c r="U8" s="711">
        <f t="shared" si="1"/>
        <v>100</v>
      </c>
      <c r="V8" s="710" t="s">
        <v>17</v>
      </c>
      <c r="W8" s="711">
        <f t="shared" si="2"/>
        <v>100</v>
      </c>
      <c r="X8" s="712"/>
      <c r="Y8" s="3458" t="s">
        <v>2310</v>
      </c>
      <c r="Z8" s="3459"/>
      <c r="AA8" s="713">
        <f t="shared" ref="AA8:AA40" si="3">D8/F8</f>
        <v>1</v>
      </c>
      <c r="AB8" s="713">
        <f t="shared" ref="AB8:AB40" si="4">D8/H8</f>
        <v>1</v>
      </c>
      <c r="AC8" s="713">
        <f t="shared" ref="AC8:AC40" si="5">D8/J8</f>
        <v>1</v>
      </c>
    </row>
    <row r="9" spans="1:29" s="113" customFormat="1">
      <c r="A9" s="375" t="s">
        <v>2311</v>
      </c>
      <c r="B9" s="67" t="s">
        <v>2312</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6"/>
      <c r="M9" s="2917"/>
      <c r="N9" s="2917"/>
      <c r="O9" s="2971"/>
      <c r="P9" s="3456" t="s">
        <v>2313</v>
      </c>
      <c r="Q9" s="1497" t="str">
        <f t="shared" ref="Q9:Q15" si="6">B9</f>
        <v>用途</v>
      </c>
      <c r="R9" s="710" t="s">
        <v>17</v>
      </c>
      <c r="S9" s="711">
        <f t="shared" si="0"/>
        <v>100</v>
      </c>
      <c r="T9" s="710" t="s">
        <v>17</v>
      </c>
      <c r="U9" s="711">
        <f t="shared" si="1"/>
        <v>100</v>
      </c>
      <c r="V9" s="710" t="s">
        <v>17</v>
      </c>
      <c r="W9" s="711">
        <f t="shared" si="2"/>
        <v>100</v>
      </c>
      <c r="X9" s="712"/>
      <c r="Y9" s="3357" t="s">
        <v>2314</v>
      </c>
      <c r="Z9" s="55" t="str">
        <f t="shared" ref="Z9:Z15" si="7">Q9</f>
        <v>用途</v>
      </c>
      <c r="AA9" s="713">
        <f t="shared" si="3"/>
        <v>1</v>
      </c>
      <c r="AB9" s="713">
        <f t="shared" si="4"/>
        <v>1</v>
      </c>
      <c r="AC9" s="713">
        <f t="shared" si="5"/>
        <v>1</v>
      </c>
    </row>
    <row r="10" spans="1:29" s="386" customFormat="1" ht="27">
      <c r="A10" s="380"/>
      <c r="B10" s="381" t="s">
        <v>2315</v>
      </c>
      <c r="C10" s="391"/>
      <c r="D10" s="132">
        <v>100</v>
      </c>
      <c r="E10" s="391"/>
      <c r="F10" s="132">
        <f>ROUND(100/'数据-取费表'!G16,0)</f>
        <v>107</v>
      </c>
      <c r="G10" s="391"/>
      <c r="H10" s="132">
        <f>ROUND(100/'数据-取费表'!G16,0)</f>
        <v>107</v>
      </c>
      <c r="I10" s="391"/>
      <c r="J10" s="132">
        <f>ROUND(100/'数据-取费表'!G16,0)</f>
        <v>107</v>
      </c>
      <c r="K10" s="628"/>
      <c r="L10" s="2918"/>
      <c r="M10" s="2919"/>
      <c r="N10" s="2919"/>
      <c r="O10" s="2972"/>
      <c r="P10" s="3456"/>
      <c r="Q10" s="1497" t="str">
        <f t="shared" si="6"/>
        <v>土地使用年限（年）</v>
      </c>
      <c r="R10" s="710" t="s">
        <v>17</v>
      </c>
      <c r="S10" s="711">
        <f t="shared" si="0"/>
        <v>107</v>
      </c>
      <c r="T10" s="710" t="s">
        <v>17</v>
      </c>
      <c r="U10" s="711">
        <f t="shared" si="1"/>
        <v>107</v>
      </c>
      <c r="V10" s="710" t="s">
        <v>17</v>
      </c>
      <c r="W10" s="711">
        <f t="shared" si="2"/>
        <v>107</v>
      </c>
      <c r="X10" s="712"/>
      <c r="Y10" s="3357"/>
      <c r="Z10" s="55" t="str">
        <f t="shared" si="7"/>
        <v>土地使用年限（年）</v>
      </c>
      <c r="AA10" s="713">
        <f t="shared" si="3"/>
        <v>0.93457943925233644</v>
      </c>
      <c r="AB10" s="713">
        <f t="shared" si="4"/>
        <v>0.93457943925233644</v>
      </c>
      <c r="AC10" s="713">
        <f t="shared" si="5"/>
        <v>0.93457943925233644</v>
      </c>
    </row>
    <row r="11" spans="1:29" ht="15">
      <c r="A11" s="387"/>
      <c r="B11" s="381" t="s">
        <v>2316</v>
      </c>
      <c r="C11" s="388">
        <f>'数据-汇总表'!I4</f>
        <v>0.8</v>
      </c>
      <c r="D11" s="132">
        <v>100</v>
      </c>
      <c r="E11" s="388">
        <v>1.8</v>
      </c>
      <c r="F11" s="132">
        <f>LOOKUP(E11,75:75,76:76)-LOOKUP(C11,75:75,76:76)+100</f>
        <v>100</v>
      </c>
      <c r="G11" s="389">
        <v>1.8</v>
      </c>
      <c r="H11" s="132">
        <f>LOOKUP(G11,75:75,76:76)-LOOKUP(C11,75:75,76:76)+100</f>
        <v>100</v>
      </c>
      <c r="I11" s="388">
        <v>1.8</v>
      </c>
      <c r="J11" s="132">
        <f>LOOKUP(I11,75:75,76:76)-LOOKUP(C11,75:75,76:76)+100</f>
        <v>100</v>
      </c>
      <c r="K11" s="629"/>
      <c r="L11" s="2920"/>
      <c r="M11" s="2915"/>
      <c r="N11" s="2915"/>
      <c r="O11" s="2973"/>
      <c r="P11" s="3456"/>
      <c r="Q11" s="1497" t="str">
        <f t="shared" si="6"/>
        <v>容积率</v>
      </c>
      <c r="R11" s="710" t="s">
        <v>17</v>
      </c>
      <c r="S11" s="711">
        <f t="shared" si="0"/>
        <v>100</v>
      </c>
      <c r="T11" s="710" t="s">
        <v>17</v>
      </c>
      <c r="U11" s="711">
        <f t="shared" si="1"/>
        <v>100</v>
      </c>
      <c r="V11" s="710" t="s">
        <v>17</v>
      </c>
      <c r="W11" s="711">
        <f t="shared" si="2"/>
        <v>100</v>
      </c>
      <c r="X11" s="712"/>
      <c r="Y11" s="3357"/>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56"/>
      <c r="Q12" s="149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56"/>
      <c r="Q13" s="149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56"/>
      <c r="Q14" s="1497">
        <f t="shared" si="6"/>
        <v>111</v>
      </c>
      <c r="R14" s="710" t="s">
        <v>17</v>
      </c>
      <c r="S14" s="711">
        <f t="shared" si="0"/>
        <v>100</v>
      </c>
      <c r="T14" s="710" t="s">
        <v>17</v>
      </c>
      <c r="U14" s="711">
        <f t="shared" si="1"/>
        <v>100</v>
      </c>
      <c r="V14" s="710" t="s">
        <v>17</v>
      </c>
      <c r="W14" s="711">
        <f t="shared" si="2"/>
        <v>100</v>
      </c>
      <c r="X14" s="712"/>
      <c r="Y14" s="3357"/>
      <c r="Z14" s="55">
        <f t="shared" si="7"/>
        <v>111</v>
      </c>
      <c r="AA14" s="713">
        <f t="shared" si="3"/>
        <v>1</v>
      </c>
      <c r="AB14" s="713">
        <f t="shared" si="4"/>
        <v>1</v>
      </c>
      <c r="AC14" s="713">
        <f t="shared" si="5"/>
        <v>1</v>
      </c>
    </row>
    <row r="15" spans="1:29" ht="57">
      <c r="A15" s="399" t="s">
        <v>2317</v>
      </c>
      <c r="B15" s="585" t="s">
        <v>2556</v>
      </c>
      <c r="C15" s="2127" t="str">
        <f>估价对象房地状况!G15</f>
        <v>估价对象位于XX开发区，园区建设成熟度XX，产业集聚程度XX</v>
      </c>
      <c r="D15" s="400">
        <v>100</v>
      </c>
      <c r="E15" s="401"/>
      <c r="F15" s="400">
        <f>SUMIF(83:83,E16,84:84)-SUMIF(83:83,C16,84:84)+100</f>
        <v>103</v>
      </c>
      <c r="G15" s="401"/>
      <c r="H15" s="400">
        <f>SUMIF(83:83,G16,84:84)-SUMIF(83:83,C16,84:84)+100</f>
        <v>103</v>
      </c>
      <c r="I15" s="403"/>
      <c r="J15" s="400">
        <f>SUMIF(83:83,I16,84:84)-SUMIF(83:83,C16,84:84)+100</f>
        <v>103</v>
      </c>
      <c r="K15" s="629">
        <v>3</v>
      </c>
      <c r="L15" s="2921"/>
      <c r="M15" s="2915"/>
      <c r="N15" s="2915"/>
      <c r="O15" s="2973"/>
      <c r="P15" s="3474" t="s">
        <v>2318</v>
      </c>
      <c r="Q15" s="1506" t="str">
        <f t="shared" si="6"/>
        <v>产业集聚程度</v>
      </c>
      <c r="R15" s="714" t="s">
        <v>17</v>
      </c>
      <c r="S15" s="715">
        <f t="shared" si="0"/>
        <v>103</v>
      </c>
      <c r="T15" s="714" t="s">
        <v>17</v>
      </c>
      <c r="U15" s="715">
        <f t="shared" si="1"/>
        <v>103</v>
      </c>
      <c r="V15" s="714" t="s">
        <v>17</v>
      </c>
      <c r="W15" s="715">
        <f t="shared" si="2"/>
        <v>103</v>
      </c>
      <c r="X15" s="1509"/>
      <c r="Y15" s="3474" t="s">
        <v>2318</v>
      </c>
      <c r="Z15" s="1510" t="str">
        <f t="shared" si="7"/>
        <v>产业集聚程度</v>
      </c>
      <c r="AA15" s="1507">
        <f t="shared" si="3"/>
        <v>0.970873786407767</v>
      </c>
      <c r="AB15" s="1507">
        <f t="shared" si="4"/>
        <v>0.970873786407767</v>
      </c>
      <c r="AC15" s="1507">
        <f t="shared" si="5"/>
        <v>0.970873786407767</v>
      </c>
    </row>
    <row r="16" spans="1:29" ht="15">
      <c r="A16" s="387"/>
      <c r="B16" s="586"/>
      <c r="C16" s="406" t="s">
        <v>3157</v>
      </c>
      <c r="D16" s="407"/>
      <c r="E16" s="2060" t="s">
        <v>3158</v>
      </c>
      <c r="F16" s="407"/>
      <c r="G16" s="2060" t="s">
        <v>3158</v>
      </c>
      <c r="H16" s="409"/>
      <c r="I16" s="2060" t="s">
        <v>3158</v>
      </c>
      <c r="J16" s="407"/>
      <c r="K16" s="628"/>
      <c r="L16" s="2921"/>
      <c r="M16" s="2915"/>
      <c r="N16" s="2915"/>
      <c r="O16" s="2973"/>
      <c r="P16" s="3475"/>
      <c r="Q16" s="1506"/>
      <c r="R16" s="714"/>
      <c r="S16" s="715"/>
      <c r="T16" s="714"/>
      <c r="U16" s="715"/>
      <c r="V16" s="714"/>
      <c r="W16" s="715"/>
      <c r="X16" s="1509"/>
      <c r="Y16" s="3475"/>
      <c r="Z16" s="1510"/>
      <c r="AA16" s="1507">
        <v>1</v>
      </c>
      <c r="AB16" s="1507">
        <v>1</v>
      </c>
      <c r="AC16" s="1507">
        <v>1</v>
      </c>
    </row>
    <row r="17" spans="1:29" ht="85.5">
      <c r="A17" s="387"/>
      <c r="B17" s="587" t="s">
        <v>2467</v>
      </c>
      <c r="C17" s="2056" t="str">
        <f>估价对象房地状况!G16</f>
        <v>估价对象周边道路状况、公共交通通达情况、停车便捷程度，综合评价交通便捷度较好</v>
      </c>
      <c r="D17" s="409">
        <v>100</v>
      </c>
      <c r="E17" s="411"/>
      <c r="F17" s="414">
        <f>SUMIF(85:85,E18,86:86)-SUMIF(85:85,C18,86:86)+100</f>
        <v>102</v>
      </c>
      <c r="G17" s="411"/>
      <c r="H17" s="414">
        <f>SUMIF(85:85,G18,86:86)-SUMIF(85:85,C18,86:86)+100</f>
        <v>102</v>
      </c>
      <c r="I17" s="413"/>
      <c r="J17" s="409">
        <f>SUMIF(85:85,I18,86:86)-SUMIF(85:85,C18,86:86)+100</f>
        <v>102</v>
      </c>
      <c r="K17" s="629">
        <v>2</v>
      </c>
      <c r="L17" s="2921"/>
      <c r="M17" s="2915"/>
      <c r="N17" s="2915"/>
      <c r="O17" s="2973"/>
      <c r="P17" s="3475"/>
      <c r="Q17" s="1506" t="str">
        <f>B17</f>
        <v>交通便捷度</v>
      </c>
      <c r="R17" s="714" t="s">
        <v>17</v>
      </c>
      <c r="S17" s="715">
        <f>F17</f>
        <v>102</v>
      </c>
      <c r="T17" s="714" t="s">
        <v>17</v>
      </c>
      <c r="U17" s="715">
        <f>H17</f>
        <v>102</v>
      </c>
      <c r="V17" s="714" t="s">
        <v>17</v>
      </c>
      <c r="W17" s="715">
        <f>J17</f>
        <v>102</v>
      </c>
      <c r="X17" s="1509"/>
      <c r="Y17" s="3475"/>
      <c r="Z17" s="1510" t="str">
        <f>Q17</f>
        <v>交通便捷度</v>
      </c>
      <c r="AA17" s="1507">
        <f t="shared" si="3"/>
        <v>0.98039215686274506</v>
      </c>
      <c r="AB17" s="1507">
        <f t="shared" si="4"/>
        <v>0.98039215686274506</v>
      </c>
      <c r="AC17" s="1507">
        <f t="shared" si="5"/>
        <v>0.98039215686274506</v>
      </c>
    </row>
    <row r="18" spans="1:29" ht="15">
      <c r="A18" s="387"/>
      <c r="B18" s="588"/>
      <c r="C18" s="406" t="s">
        <v>3158</v>
      </c>
      <c r="D18" s="407"/>
      <c r="E18" s="2054" t="s">
        <v>3159</v>
      </c>
      <c r="F18" s="407"/>
      <c r="G18" s="2054" t="s">
        <v>3159</v>
      </c>
      <c r="H18" s="407"/>
      <c r="I18" s="2054" t="s">
        <v>3159</v>
      </c>
      <c r="J18" s="407"/>
      <c r="K18" s="628"/>
      <c r="L18" s="2921"/>
      <c r="M18" s="2915"/>
      <c r="N18" s="2915"/>
      <c r="O18" s="2973"/>
      <c r="P18" s="3475"/>
      <c r="Q18" s="1506"/>
      <c r="R18" s="714"/>
      <c r="S18" s="715"/>
      <c r="T18" s="714"/>
      <c r="U18" s="715"/>
      <c r="V18" s="714"/>
      <c r="W18" s="715"/>
      <c r="X18" s="1509"/>
      <c r="Y18" s="3475"/>
      <c r="Z18" s="1510"/>
      <c r="AA18" s="1507">
        <v>1</v>
      </c>
      <c r="AB18" s="1507">
        <v>1</v>
      </c>
      <c r="AC18" s="1507">
        <v>1</v>
      </c>
    </row>
    <row r="19" spans="1:29" ht="15">
      <c r="A19" s="387"/>
      <c r="B19" s="587" t="s">
        <v>2506</v>
      </c>
      <c r="C19" s="2056">
        <f>估价对象房地状况!G17</f>
        <v>0</v>
      </c>
      <c r="D19" s="409">
        <v>100</v>
      </c>
      <c r="E19" s="411"/>
      <c r="F19" s="414">
        <f>SUMIF(87:87,E20,88:88)-SUMIF(87:87,C20,88:88)+100</f>
        <v>102</v>
      </c>
      <c r="G19" s="411"/>
      <c r="H19" s="414">
        <f>SUMIF(87:87,G20,88:88)-SUMIF(87:87,C20,88:88)+100</f>
        <v>102</v>
      </c>
      <c r="I19" s="411"/>
      <c r="J19" s="414">
        <f>SUMIF(87:87,I20,88:88)-SUMIF(87:87,C20,88:88)+100</f>
        <v>102</v>
      </c>
      <c r="K19" s="629">
        <v>2</v>
      </c>
      <c r="L19" s="2921"/>
      <c r="M19" s="2915"/>
      <c r="N19" s="2915"/>
      <c r="O19" s="2973"/>
      <c r="P19" s="3475"/>
      <c r="Q19" s="1506" t="str">
        <f t="shared" ref="Q19:Q33" si="8">B19</f>
        <v>区域土地利用方向</v>
      </c>
      <c r="R19" s="714" t="s">
        <v>17</v>
      </c>
      <c r="S19" s="715">
        <f>F19</f>
        <v>102</v>
      </c>
      <c r="T19" s="714" t="s">
        <v>17</v>
      </c>
      <c r="U19" s="715">
        <f>H19</f>
        <v>102</v>
      </c>
      <c r="V19" s="714" t="s">
        <v>17</v>
      </c>
      <c r="W19" s="715">
        <f>J19</f>
        <v>102</v>
      </c>
      <c r="X19" s="1509"/>
      <c r="Y19" s="3475"/>
      <c r="Z19" s="1510" t="str">
        <f>Q19</f>
        <v>区域土地利用方向</v>
      </c>
      <c r="AA19" s="1507">
        <f t="shared" si="3"/>
        <v>0.98039215686274506</v>
      </c>
      <c r="AB19" s="1507">
        <f t="shared" si="4"/>
        <v>0.98039215686274506</v>
      </c>
      <c r="AC19" s="1507">
        <f t="shared" si="5"/>
        <v>0.98039215686274506</v>
      </c>
    </row>
    <row r="20" spans="1:29" ht="15">
      <c r="A20" s="364"/>
      <c r="B20" s="588"/>
      <c r="C20" s="406" t="s">
        <v>3158</v>
      </c>
      <c r="D20" s="407"/>
      <c r="E20" s="2054" t="s">
        <v>3159</v>
      </c>
      <c r="F20" s="407"/>
      <c r="G20" s="2054" t="s">
        <v>3159</v>
      </c>
      <c r="H20" s="407"/>
      <c r="I20" s="2054" t="s">
        <v>3159</v>
      </c>
      <c r="J20" s="407"/>
      <c r="K20" s="751"/>
      <c r="L20" s="2921"/>
      <c r="M20" s="2915"/>
      <c r="N20" s="2915"/>
      <c r="O20" s="2973"/>
      <c r="P20" s="3475"/>
      <c r="Q20" s="1506"/>
      <c r="R20" s="714"/>
      <c r="S20" s="715"/>
      <c r="T20" s="714"/>
      <c r="U20" s="715"/>
      <c r="V20" s="714"/>
      <c r="W20" s="715"/>
      <c r="X20" s="1509"/>
      <c r="Y20" s="3475"/>
      <c r="Z20" s="1510"/>
      <c r="AA20" s="1507"/>
      <c r="AB20" s="1507"/>
      <c r="AC20" s="1507"/>
    </row>
    <row r="21" spans="1:29" ht="71.25">
      <c r="A21" s="364"/>
      <c r="B21" s="587" t="s">
        <v>2557</v>
      </c>
      <c r="C21" s="2056" t="str">
        <f>估价对象房地状况!G18</f>
        <v>该园区内是否有污染型企业，绿化情况，卫生条件，整体环境状况判断</v>
      </c>
      <c r="D21" s="409">
        <v>100</v>
      </c>
      <c r="E21" s="411"/>
      <c r="F21" s="409">
        <f>SUMIF(89:89,E22,90:90)-SUMIF(89:89,C22,90:90)+100</f>
        <v>102</v>
      </c>
      <c r="G21" s="411"/>
      <c r="H21" s="409">
        <f>SUMIF(89:89,G22,90:90)-SUMIF(89:89,C22,90:90)+100</f>
        <v>102</v>
      </c>
      <c r="I21" s="413"/>
      <c r="J21" s="409">
        <f>SUMIF(89:89,I22,90:90)-SUMIF(89:89,C22,90:90)+100</f>
        <v>102</v>
      </c>
      <c r="K21" s="629">
        <v>2</v>
      </c>
      <c r="L21" s="2921"/>
      <c r="M21" s="2915"/>
      <c r="N21" s="2915"/>
      <c r="O21" s="2973"/>
      <c r="P21" s="3475"/>
      <c r="Q21" s="1506" t="str">
        <f t="shared" si="8"/>
        <v>环境状况</v>
      </c>
      <c r="R21" s="714" t="s">
        <v>17</v>
      </c>
      <c r="S21" s="715">
        <f>F21</f>
        <v>102</v>
      </c>
      <c r="T21" s="714" t="s">
        <v>17</v>
      </c>
      <c r="U21" s="715">
        <f>H21</f>
        <v>102</v>
      </c>
      <c r="V21" s="714" t="s">
        <v>17</v>
      </c>
      <c r="W21" s="715">
        <f>J21</f>
        <v>102</v>
      </c>
      <c r="X21" s="1509"/>
      <c r="Y21" s="3475"/>
      <c r="Z21" s="1510" t="str">
        <f>Q21</f>
        <v>环境状况</v>
      </c>
      <c r="AA21" s="1507">
        <f t="shared" si="3"/>
        <v>0.98039215686274506</v>
      </c>
      <c r="AB21" s="1507">
        <f t="shared" si="4"/>
        <v>0.98039215686274506</v>
      </c>
      <c r="AC21" s="1507">
        <f t="shared" si="5"/>
        <v>0.98039215686274506</v>
      </c>
    </row>
    <row r="22" spans="1:29" ht="15">
      <c r="A22" s="364"/>
      <c r="B22" s="588"/>
      <c r="C22" s="406" t="s">
        <v>3158</v>
      </c>
      <c r="D22" s="407"/>
      <c r="E22" s="2054" t="s">
        <v>3159</v>
      </c>
      <c r="F22" s="407"/>
      <c r="G22" s="2054" t="s">
        <v>3159</v>
      </c>
      <c r="H22" s="407"/>
      <c r="I22" s="2054" t="s">
        <v>3159</v>
      </c>
      <c r="J22" s="407"/>
      <c r="K22" s="628"/>
      <c r="L22" s="2921"/>
      <c r="M22" s="2915"/>
      <c r="N22" s="2915"/>
      <c r="O22" s="2973"/>
      <c r="P22" s="3475"/>
      <c r="Q22" s="1506"/>
      <c r="R22" s="714"/>
      <c r="S22" s="715"/>
      <c r="T22" s="714"/>
      <c r="U22" s="715"/>
      <c r="V22" s="714"/>
      <c r="W22" s="715"/>
      <c r="X22" s="1509"/>
      <c r="Y22" s="3475"/>
      <c r="Z22" s="1510"/>
      <c r="AA22" s="1507">
        <v>1</v>
      </c>
      <c r="AB22" s="1507">
        <v>1</v>
      </c>
      <c r="AC22" s="1507">
        <v>1</v>
      </c>
    </row>
    <row r="23" spans="1:29" s="113" customFormat="1" ht="42.75">
      <c r="A23" s="605"/>
      <c r="B23" s="589" t="s">
        <v>2412</v>
      </c>
      <c r="C23" s="2056" t="str">
        <f>估价对象房地状况!G19</f>
        <v>估价对象所在区域公共配套设施齐备情况</v>
      </c>
      <c r="D23" s="409">
        <v>100</v>
      </c>
      <c r="E23" s="411"/>
      <c r="F23" s="409">
        <f>SUMIF(91:91,E24,92:92)-SUMIF(91:91,C24,92:92)+100</f>
        <v>102</v>
      </c>
      <c r="G23" s="411"/>
      <c r="H23" s="409">
        <f>SUMIF(91:91,G24,92:92)-SUMIF(91:91,C24,92:92)+100</f>
        <v>102</v>
      </c>
      <c r="I23" s="413"/>
      <c r="J23" s="409">
        <f>SUMIF(91:91,I24,92:92)-SUMIF(91:91,C24,92:92)+100</f>
        <v>102</v>
      </c>
      <c r="K23" s="629">
        <v>2</v>
      </c>
      <c r="L23" s="2916"/>
      <c r="M23" s="2917"/>
      <c r="N23" s="2917"/>
      <c r="O23" s="2971"/>
      <c r="P23" s="3475"/>
      <c r="Q23" s="1497" t="str">
        <f t="shared" si="8"/>
        <v>公共配套设施</v>
      </c>
      <c r="R23" s="710" t="s">
        <v>17</v>
      </c>
      <c r="S23" s="711">
        <f>F23</f>
        <v>102</v>
      </c>
      <c r="T23" s="710" t="s">
        <v>17</v>
      </c>
      <c r="U23" s="711">
        <f>H23</f>
        <v>102</v>
      </c>
      <c r="V23" s="710" t="s">
        <v>17</v>
      </c>
      <c r="W23" s="711">
        <f>J23</f>
        <v>102</v>
      </c>
      <c r="X23" s="712"/>
      <c r="Y23" s="3475"/>
      <c r="Z23" s="55" t="str">
        <f>Q23</f>
        <v>公共配套设施</v>
      </c>
      <c r="AA23" s="1507">
        <f>D23/F23</f>
        <v>0.98039215686274506</v>
      </c>
      <c r="AB23" s="1507">
        <f>D23/H23</f>
        <v>0.98039215686274506</v>
      </c>
      <c r="AC23" s="1507">
        <f>D23/J23</f>
        <v>0.98039215686274506</v>
      </c>
    </row>
    <row r="24" spans="1:29" s="113" customFormat="1" ht="15">
      <c r="A24" s="605"/>
      <c r="B24" s="588"/>
      <c r="C24" s="2134" t="s">
        <v>3157</v>
      </c>
      <c r="D24" s="407"/>
      <c r="E24" s="2134" t="s">
        <v>3158</v>
      </c>
      <c r="F24" s="407"/>
      <c r="G24" s="2134" t="s">
        <v>3158</v>
      </c>
      <c r="H24" s="407"/>
      <c r="I24" s="2134" t="s">
        <v>3158</v>
      </c>
      <c r="J24" s="407"/>
      <c r="K24" s="628"/>
      <c r="L24" s="2916"/>
      <c r="M24" s="2917"/>
      <c r="N24" s="2917"/>
      <c r="O24" s="2971"/>
      <c r="P24" s="3475"/>
      <c r="Q24" s="1497"/>
      <c r="R24" s="710"/>
      <c r="S24" s="711"/>
      <c r="T24" s="710"/>
      <c r="U24" s="711"/>
      <c r="V24" s="710"/>
      <c r="W24" s="711"/>
      <c r="X24" s="712"/>
      <c r="Y24" s="3475"/>
      <c r="Z24" s="55"/>
      <c r="AA24" s="713">
        <v>1</v>
      </c>
      <c r="AB24" s="713">
        <v>1</v>
      </c>
      <c r="AC24" s="713">
        <v>1</v>
      </c>
    </row>
    <row r="25" spans="1:29" s="113" customFormat="1" ht="28.5">
      <c r="A25" s="605"/>
      <c r="B25" s="589" t="s">
        <v>2413</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6"/>
      <c r="M25" s="2917"/>
      <c r="N25" s="2917"/>
      <c r="O25" s="2971"/>
      <c r="P25" s="3475"/>
      <c r="Q25" s="1497" t="str">
        <f t="shared" ref="Q25" si="9">B25</f>
        <v>基础设施水平</v>
      </c>
      <c r="R25" s="710" t="s">
        <v>17</v>
      </c>
      <c r="S25" s="711">
        <f>F25</f>
        <v>100</v>
      </c>
      <c r="T25" s="710" t="s">
        <v>17</v>
      </c>
      <c r="U25" s="711">
        <f>H25</f>
        <v>100</v>
      </c>
      <c r="V25" s="710" t="s">
        <v>17</v>
      </c>
      <c r="W25" s="711">
        <f>J25</f>
        <v>100</v>
      </c>
      <c r="X25" s="712"/>
      <c r="Y25" s="3475"/>
      <c r="Z25" s="55" t="str">
        <f>Q25</f>
        <v>基础设施水平</v>
      </c>
      <c r="AA25" s="1507">
        <f>D25/F25</f>
        <v>1</v>
      </c>
      <c r="AB25" s="1507">
        <f>D25/H25</f>
        <v>1</v>
      </c>
      <c r="AC25" s="1507">
        <f>D25/J25</f>
        <v>1</v>
      </c>
    </row>
    <row r="26" spans="1:29" s="113" customFormat="1" ht="15.75" thickBot="1">
      <c r="A26" s="605"/>
      <c r="B26" s="588"/>
      <c r="C26" s="2134" t="s">
        <v>3167</v>
      </c>
      <c r="D26" s="407"/>
      <c r="E26" s="2134" t="s">
        <v>3167</v>
      </c>
      <c r="F26" s="407"/>
      <c r="G26" s="2134" t="s">
        <v>3167</v>
      </c>
      <c r="H26" s="407"/>
      <c r="I26" s="2134" t="s">
        <v>3167</v>
      </c>
      <c r="J26" s="407"/>
      <c r="K26" s="628"/>
      <c r="L26" s="2916"/>
      <c r="M26" s="2917"/>
      <c r="N26" s="2917"/>
      <c r="O26" s="2971"/>
      <c r="P26" s="3475"/>
      <c r="Q26" s="1497"/>
      <c r="R26" s="710"/>
      <c r="S26" s="711"/>
      <c r="T26" s="710"/>
      <c r="U26" s="711"/>
      <c r="V26" s="710"/>
      <c r="W26" s="711"/>
      <c r="X26" s="712"/>
      <c r="Y26" s="3475"/>
      <c r="Z26" s="55"/>
      <c r="AA26" s="713">
        <v>1</v>
      </c>
      <c r="AB26" s="713">
        <v>1</v>
      </c>
      <c r="AC26" s="713">
        <v>1</v>
      </c>
    </row>
    <row r="27" spans="1:29" ht="15" hidden="1">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7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5"/>
      <c r="Z27" s="1510" t="str">
        <f t="shared" ref="Z27:Z40" si="13">Q27</f>
        <v>临街状况</v>
      </c>
      <c r="AA27" s="1507">
        <f t="shared" si="3"/>
        <v>1</v>
      </c>
      <c r="AB27" s="1507">
        <f t="shared" si="4"/>
        <v>1</v>
      </c>
      <c r="AC27" s="1507">
        <f t="shared" si="5"/>
        <v>1</v>
      </c>
    </row>
    <row r="28" spans="1:29" ht="27" hidden="1">
      <c r="A28" s="387"/>
      <c r="B28" s="589" t="s">
        <v>2449</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75"/>
      <c r="Q28" s="1506" t="str">
        <f t="shared" si="8"/>
        <v>毗邻道路的类型与等级</v>
      </c>
      <c r="R28" s="714" t="s">
        <v>17</v>
      </c>
      <c r="S28" s="715">
        <f t="shared" si="10"/>
        <v>100</v>
      </c>
      <c r="T28" s="714" t="s">
        <v>17</v>
      </c>
      <c r="U28" s="715">
        <f t="shared" si="11"/>
        <v>100</v>
      </c>
      <c r="V28" s="714" t="s">
        <v>17</v>
      </c>
      <c r="W28" s="715">
        <f t="shared" si="12"/>
        <v>100</v>
      </c>
      <c r="X28" s="1509"/>
      <c r="Y28" s="3475"/>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21"/>
      <c r="M29" s="2915"/>
      <c r="N29" s="2915"/>
      <c r="O29" s="2973"/>
      <c r="P29" s="3475"/>
      <c r="Q29" s="1506"/>
      <c r="R29" s="714"/>
      <c r="S29" s="715"/>
      <c r="T29" s="714"/>
      <c r="U29" s="715"/>
      <c r="V29" s="714"/>
      <c r="W29" s="715"/>
      <c r="X29" s="1509"/>
      <c r="Y29" s="3475"/>
      <c r="Z29" s="1510"/>
      <c r="AA29" s="1507">
        <v>1</v>
      </c>
      <c r="AB29" s="1507">
        <v>1</v>
      </c>
      <c r="AC29" s="1507">
        <v>1</v>
      </c>
    </row>
    <row r="30" spans="1:29" ht="15" hidden="1">
      <c r="A30" s="387"/>
      <c r="B30" s="610" t="s">
        <v>2508</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75"/>
      <c r="Q30" s="1506" t="str">
        <f t="shared" si="8"/>
        <v>土地级别</v>
      </c>
      <c r="R30" s="714" t="s">
        <v>17</v>
      </c>
      <c r="S30" s="715">
        <f t="shared" si="10"/>
        <v>100</v>
      </c>
      <c r="T30" s="714" t="s">
        <v>17</v>
      </c>
      <c r="U30" s="715">
        <f t="shared" si="11"/>
        <v>100</v>
      </c>
      <c r="V30" s="714" t="s">
        <v>17</v>
      </c>
      <c r="W30" s="715">
        <f t="shared" si="12"/>
        <v>100</v>
      </c>
      <c r="X30" s="1509"/>
      <c r="Y30" s="3475"/>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75"/>
      <c r="Q31" s="1506">
        <f t="shared" si="8"/>
        <v>111</v>
      </c>
      <c r="R31" s="714" t="s">
        <v>17</v>
      </c>
      <c r="S31" s="715">
        <f t="shared" si="10"/>
        <v>100</v>
      </c>
      <c r="T31" s="714" t="s">
        <v>17</v>
      </c>
      <c r="U31" s="715">
        <f t="shared" si="11"/>
        <v>100</v>
      </c>
      <c r="V31" s="714" t="s">
        <v>17</v>
      </c>
      <c r="W31" s="715">
        <f t="shared" si="12"/>
        <v>100</v>
      </c>
      <c r="X31" s="1509"/>
      <c r="Y31" s="3475"/>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1" t="s">
        <v>2323</v>
      </c>
      <c r="Q32" s="1506">
        <f t="shared" si="8"/>
        <v>111</v>
      </c>
      <c r="R32" s="714" t="s">
        <v>17</v>
      </c>
      <c r="S32" s="715">
        <f t="shared" si="10"/>
        <v>100</v>
      </c>
      <c r="T32" s="714" t="s">
        <v>17</v>
      </c>
      <c r="U32" s="715">
        <f t="shared" si="11"/>
        <v>100</v>
      </c>
      <c r="V32" s="714" t="s">
        <v>17</v>
      </c>
      <c r="W32" s="715">
        <f t="shared" si="12"/>
        <v>100</v>
      </c>
      <c r="X32" s="1509"/>
      <c r="Y32" s="3476" t="s">
        <v>2323</v>
      </c>
      <c r="Z32" s="1510">
        <f t="shared" si="13"/>
        <v>111</v>
      </c>
      <c r="AA32" s="1507">
        <f t="shared" si="3"/>
        <v>1</v>
      </c>
      <c r="AB32" s="1507">
        <f t="shared" si="4"/>
        <v>1</v>
      </c>
      <c r="AC32" s="1507">
        <f t="shared" si="5"/>
        <v>1</v>
      </c>
    </row>
    <row r="33" spans="1:31" s="430" customFormat="1" ht="15.75"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6"/>
      <c r="Q33" s="1506">
        <f t="shared" si="8"/>
        <v>111</v>
      </c>
      <c r="R33" s="717" t="s">
        <v>17</v>
      </c>
      <c r="S33" s="718">
        <f t="shared" si="10"/>
        <v>100</v>
      </c>
      <c r="T33" s="717" t="s">
        <v>17</v>
      </c>
      <c r="U33" s="718">
        <f t="shared" si="11"/>
        <v>100</v>
      </c>
      <c r="V33" s="717" t="s">
        <v>17</v>
      </c>
      <c r="W33" s="718">
        <f t="shared" si="12"/>
        <v>100</v>
      </c>
      <c r="X33" s="719"/>
      <c r="Y33" s="3476"/>
      <c r="Z33" s="720">
        <f t="shared" si="13"/>
        <v>111</v>
      </c>
      <c r="AA33" s="1507">
        <f t="shared" si="3"/>
        <v>1</v>
      </c>
      <c r="AB33" s="1507">
        <f t="shared" si="4"/>
        <v>1</v>
      </c>
      <c r="AC33" s="1507">
        <f t="shared" si="5"/>
        <v>1</v>
      </c>
    </row>
    <row r="34" spans="1:31" ht="15">
      <c r="A34" s="399" t="s">
        <v>2321</v>
      </c>
      <c r="B34" s="415" t="s">
        <v>2509</v>
      </c>
      <c r="C34" s="635">
        <f>'数据-汇总表'!D3</f>
        <v>29031.75</v>
      </c>
      <c r="D34" s="426">
        <v>100</v>
      </c>
      <c r="E34" s="635" t="e">
        <f>土地案例!#REF!</f>
        <v>#REF!</v>
      </c>
      <c r="F34" s="426" t="e">
        <f>LOOKUP(E34,108:108,109:109)-LOOKUP(C34,108:108,109:109)+100</f>
        <v>#REF!</v>
      </c>
      <c r="G34" s="635" t="e">
        <f>土地案例!#REF!</f>
        <v>#REF!</v>
      </c>
      <c r="H34" s="426" t="e">
        <f>LOOKUP(G34,108:108,109:109)-LOOKUP(C34,108:108,109:109)+100</f>
        <v>#REF!</v>
      </c>
      <c r="I34" s="487" t="e">
        <f>土地案例!#REF!</f>
        <v>#REF!</v>
      </c>
      <c r="J34" s="426" t="e">
        <f>LOOKUP(I34,108:108,109:109)-LOOKUP(C34,108:108,109:109)+100</f>
        <v>#REF!</v>
      </c>
      <c r="K34" s="570"/>
      <c r="L34" s="2921"/>
      <c r="M34" s="2915"/>
      <c r="N34" s="2915"/>
      <c r="O34" s="2973"/>
      <c r="P34" s="3476"/>
      <c r="Q34" s="1506" t="str">
        <f>B34</f>
        <v>宗地面积</v>
      </c>
      <c r="R34" s="714" t="s">
        <v>17</v>
      </c>
      <c r="S34" s="715" t="e">
        <f t="shared" si="10"/>
        <v>#REF!</v>
      </c>
      <c r="T34" s="714" t="s">
        <v>17</v>
      </c>
      <c r="U34" s="715" t="e">
        <f t="shared" si="11"/>
        <v>#REF!</v>
      </c>
      <c r="V34" s="714" t="s">
        <v>17</v>
      </c>
      <c r="W34" s="715" t="e">
        <f t="shared" si="12"/>
        <v>#REF!</v>
      </c>
      <c r="X34" s="1509"/>
      <c r="Y34" s="3476"/>
      <c r="Z34" s="1510" t="str">
        <f t="shared" si="13"/>
        <v>宗地面积</v>
      </c>
      <c r="AA34" s="1507" t="e">
        <f t="shared" si="3"/>
        <v>#REF!</v>
      </c>
      <c r="AB34" s="1507" t="e">
        <f t="shared" si="4"/>
        <v>#REF!</v>
      </c>
      <c r="AC34" s="1507" t="e">
        <f t="shared" si="5"/>
        <v>#REF!</v>
      </c>
    </row>
    <row r="35" spans="1:31" ht="15">
      <c r="A35" s="431"/>
      <c r="B35" s="381" t="s">
        <v>2510</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v>2</v>
      </c>
      <c r="L35" s="2921"/>
      <c r="M35" s="2915"/>
      <c r="N35" s="2915"/>
      <c r="O35" s="2973"/>
      <c r="P35" s="3476"/>
      <c r="Q35" s="1506" t="str">
        <f t="shared" ref="Q35:Q40" si="14">B35</f>
        <v>宗地形状</v>
      </c>
      <c r="R35" s="714" t="s">
        <v>17</v>
      </c>
      <c r="S35" s="715">
        <f t="shared" si="10"/>
        <v>100</v>
      </c>
      <c r="T35" s="714" t="s">
        <v>17</v>
      </c>
      <c r="U35" s="715">
        <f t="shared" si="11"/>
        <v>100</v>
      </c>
      <c r="V35" s="714" t="s">
        <v>17</v>
      </c>
      <c r="W35" s="715">
        <f t="shared" si="12"/>
        <v>100</v>
      </c>
      <c r="X35" s="1509"/>
      <c r="Y35" s="3476"/>
      <c r="Z35" s="1510" t="str">
        <f t="shared" si="13"/>
        <v>宗地形状</v>
      </c>
      <c r="AA35" s="1507">
        <f t="shared" si="3"/>
        <v>1</v>
      </c>
      <c r="AB35" s="1507">
        <f t="shared" si="4"/>
        <v>1</v>
      </c>
      <c r="AC35" s="1507">
        <f t="shared" si="5"/>
        <v>1</v>
      </c>
    </row>
    <row r="36" spans="1:31" s="113" customFormat="1" ht="15">
      <c r="A36" s="432"/>
      <c r="B36" s="381" t="s">
        <v>2512</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v>1</v>
      </c>
      <c r="L36" s="2916"/>
      <c r="M36" s="2917"/>
      <c r="N36" s="2917"/>
      <c r="O36" s="2971"/>
      <c r="P36" s="3476"/>
      <c r="Q36" s="1506" t="str">
        <f t="shared" si="14"/>
        <v>宗地开发程度</v>
      </c>
      <c r="R36" s="710" t="s">
        <v>17</v>
      </c>
      <c r="S36" s="711">
        <f t="shared" si="10"/>
        <v>100</v>
      </c>
      <c r="T36" s="710" t="s">
        <v>17</v>
      </c>
      <c r="U36" s="711">
        <f t="shared" si="11"/>
        <v>100</v>
      </c>
      <c r="V36" s="710" t="s">
        <v>17</v>
      </c>
      <c r="W36" s="711">
        <f t="shared" si="12"/>
        <v>100</v>
      </c>
      <c r="X36" s="712"/>
      <c r="Y36" s="3476"/>
      <c r="Z36" s="55" t="str">
        <f t="shared" si="13"/>
        <v>宗地开发程度</v>
      </c>
      <c r="AA36" s="713">
        <f t="shared" si="3"/>
        <v>1</v>
      </c>
      <c r="AB36" s="713">
        <f t="shared" si="4"/>
        <v>1</v>
      </c>
      <c r="AC36" s="713">
        <f t="shared" si="5"/>
        <v>1</v>
      </c>
    </row>
    <row r="37" spans="1:31" ht="15">
      <c r="A37" s="431"/>
      <c r="B37" s="381" t="s">
        <v>2513</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v>2</v>
      </c>
      <c r="L37" s="2921"/>
      <c r="M37" s="2915"/>
      <c r="N37" s="2915"/>
      <c r="O37" s="2973"/>
      <c r="P37" s="3476" t="s">
        <v>2323</v>
      </c>
      <c r="Q37" s="1506" t="str">
        <f t="shared" si="14"/>
        <v>工程地质条件</v>
      </c>
      <c r="R37" s="714" t="s">
        <v>17</v>
      </c>
      <c r="S37" s="715">
        <f t="shared" si="10"/>
        <v>100</v>
      </c>
      <c r="T37" s="714" t="s">
        <v>17</v>
      </c>
      <c r="U37" s="715">
        <f t="shared" si="11"/>
        <v>100</v>
      </c>
      <c r="V37" s="714" t="s">
        <v>17</v>
      </c>
      <c r="W37" s="715">
        <f t="shared" si="12"/>
        <v>100</v>
      </c>
      <c r="X37" s="1509"/>
      <c r="Y37" s="3476" t="s">
        <v>2323</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6"/>
      <c r="Q38" s="1506">
        <f t="shared" si="14"/>
        <v>111</v>
      </c>
      <c r="R38" s="714" t="s">
        <v>17</v>
      </c>
      <c r="S38" s="715">
        <f t="shared" si="10"/>
        <v>100</v>
      </c>
      <c r="T38" s="714" t="s">
        <v>17</v>
      </c>
      <c r="U38" s="715">
        <f t="shared" si="11"/>
        <v>100</v>
      </c>
      <c r="V38" s="714" t="s">
        <v>17</v>
      </c>
      <c r="W38" s="715">
        <f t="shared" si="12"/>
        <v>100</v>
      </c>
      <c r="X38" s="1509"/>
      <c r="Y38" s="347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6"/>
      <c r="Q39" s="1506">
        <f t="shared" si="14"/>
        <v>111</v>
      </c>
      <c r="R39" s="714" t="s">
        <v>17</v>
      </c>
      <c r="S39" s="715">
        <f t="shared" si="10"/>
        <v>100</v>
      </c>
      <c r="T39" s="714" t="s">
        <v>17</v>
      </c>
      <c r="U39" s="715">
        <f t="shared" si="11"/>
        <v>100</v>
      </c>
      <c r="V39" s="714" t="s">
        <v>17</v>
      </c>
      <c r="W39" s="715">
        <f t="shared" si="12"/>
        <v>100</v>
      </c>
      <c r="X39" s="1509"/>
      <c r="Y39" s="347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6"/>
      <c r="Q40" s="1506">
        <f t="shared" si="14"/>
        <v>111</v>
      </c>
      <c r="R40" s="717" t="s">
        <v>17</v>
      </c>
      <c r="S40" s="718">
        <f t="shared" si="10"/>
        <v>100</v>
      </c>
      <c r="T40" s="717" t="s">
        <v>17</v>
      </c>
      <c r="U40" s="718">
        <f t="shared" si="11"/>
        <v>100</v>
      </c>
      <c r="V40" s="717" t="s">
        <v>17</v>
      </c>
      <c r="W40" s="718">
        <f t="shared" si="12"/>
        <v>100</v>
      </c>
      <c r="X40" s="719"/>
      <c r="Y40" s="3476"/>
      <c r="Z40" s="720">
        <f t="shared" si="13"/>
        <v>111</v>
      </c>
      <c r="AA40" s="1507">
        <f t="shared" si="3"/>
        <v>1</v>
      </c>
      <c r="AB40" s="1507">
        <f t="shared" si="4"/>
        <v>1</v>
      </c>
      <c r="AC40" s="1507">
        <f t="shared" si="5"/>
        <v>1</v>
      </c>
    </row>
    <row r="41" spans="1:31" ht="15">
      <c r="A41" s="438" t="s">
        <v>2478</v>
      </c>
      <c r="B41" s="2138" t="s">
        <v>3168</v>
      </c>
      <c r="C41" s="638" t="s">
        <v>1</v>
      </c>
      <c r="D41" s="440"/>
      <c r="E41" s="441" t="str">
        <f>土地案例!Q3</f>
        <v xml:space="preserve"> --</v>
      </c>
      <c r="F41" s="442"/>
      <c r="G41" s="443" t="str">
        <f>土地案例!Q5</f>
        <v xml:space="preserve"> --</v>
      </c>
      <c r="H41" s="444"/>
      <c r="I41" s="441" t="str">
        <f>土地案例!Q6</f>
        <v xml:space="preserve"> --</v>
      </c>
      <c r="J41" s="444"/>
      <c r="K41" s="723"/>
      <c r="L41" s="2923"/>
      <c r="M41" s="2915"/>
      <c r="N41" s="2915"/>
      <c r="O41" s="2924"/>
      <c r="P41" s="3456" t="str">
        <f>A41</f>
        <v>成交单价</v>
      </c>
      <c r="Q41" s="3456"/>
      <c r="R41" s="3473" t="str">
        <f>E41</f>
        <v xml:space="preserve"> --</v>
      </c>
      <c r="S41" s="3473"/>
      <c r="T41" s="3473" t="str">
        <f>G41</f>
        <v xml:space="preserve"> --</v>
      </c>
      <c r="U41" s="3473"/>
      <c r="V41" s="3473" t="str">
        <f>I41</f>
        <v xml:space="preserve"> --</v>
      </c>
      <c r="W41" s="3473"/>
      <c r="X41" s="699"/>
      <c r="Y41" s="721"/>
      <c r="Z41" s="699"/>
      <c r="AA41" s="699"/>
      <c r="AB41" s="699"/>
      <c r="AC41" s="699"/>
    </row>
    <row r="42" spans="1:31" ht="15.75" thickBot="1">
      <c r="A42" s="445" t="s">
        <v>2427</v>
      </c>
      <c r="B42" s="639"/>
      <c r="C42" s="448" t="e">
        <f>R43</f>
        <v>#DIV/0!</v>
      </c>
      <c r="D42" s="2508" t="s">
        <v>2816</v>
      </c>
      <c r="E42" s="448" t="e">
        <f>R42</f>
        <v>#DIV/0!</v>
      </c>
      <c r="F42" s="2509"/>
      <c r="G42" s="447" t="e">
        <f>T42</f>
        <v>#DIV/0!</v>
      </c>
      <c r="H42" s="2509"/>
      <c r="I42" s="448" t="e">
        <f>V42</f>
        <v>#DIV/0!</v>
      </c>
      <c r="J42" s="2509"/>
      <c r="K42" s="2511">
        <f>F42+H42+J42</f>
        <v>0</v>
      </c>
      <c r="L42" s="2923"/>
      <c r="M42" s="2915"/>
      <c r="N42" s="2915"/>
      <c r="O42" s="2924"/>
      <c r="P42" s="3456" t="str">
        <f>A42</f>
        <v>比较价值（元/平方米）</v>
      </c>
      <c r="Q42" s="3456"/>
      <c r="R42" s="3495" t="e">
        <f>ROUND(PRODUCT(R41,AA7:AA40),0)</f>
        <v>#DIV/0!</v>
      </c>
      <c r="S42" s="3495"/>
      <c r="T42" s="3495" t="e">
        <f>ROUND(PRODUCT(T41,AB7:AB40),0)</f>
        <v>#DIV/0!</v>
      </c>
      <c r="U42" s="3495"/>
      <c r="V42" s="3495" t="e">
        <f>ROUND(PRODUCT(V41,AC7:AC40),0)</f>
        <v>#DIV/0!</v>
      </c>
      <c r="W42" s="3495"/>
      <c r="X42" s="699"/>
      <c r="Y42" s="699"/>
      <c r="Z42" s="699"/>
      <c r="AA42" s="699"/>
      <c r="AB42" s="699"/>
      <c r="AC42" s="699"/>
    </row>
    <row r="43" spans="1:31" ht="15.75" thickBot="1">
      <c r="A43" s="449" t="s">
        <v>2428</v>
      </c>
      <c r="B43" s="450"/>
      <c r="C43" s="451" t="e">
        <f>R43</f>
        <v>#DIV/0!</v>
      </c>
      <c r="D43" s="451"/>
      <c r="E43" s="451"/>
      <c r="F43" s="451"/>
      <c r="G43" s="451"/>
      <c r="H43" s="451"/>
      <c r="I43" s="451"/>
      <c r="J43" s="451"/>
      <c r="K43" s="724"/>
      <c r="L43" s="2923"/>
      <c r="M43" s="2915"/>
      <c r="N43" s="2915"/>
      <c r="O43" s="2924"/>
      <c r="P43" s="3492" t="str">
        <f>A43</f>
        <v>估价对象XX用房的比较价值（楼面单价，元/平方米）</v>
      </c>
      <c r="Q43" s="3493"/>
      <c r="R43" s="3494" t="e">
        <f>ROUND(IF(D42="简单平均",AVERAGE(R42:W42),R42*F42+T42*H42+V42*J42),0)</f>
        <v>#DIV/0!</v>
      </c>
      <c r="S43" s="3494"/>
      <c r="T43" s="3494"/>
      <c r="U43" s="3494"/>
      <c r="V43" s="3494"/>
      <c r="W43" s="3494"/>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2431</v>
      </c>
      <c r="D48" s="458"/>
      <c r="E48" s="456" t="e">
        <f>IF(E41&lt;G41,G41/E41-1,E41/G41-1)</f>
        <v>#VALUE!</v>
      </c>
      <c r="F48" s="457" t="e">
        <f>IF(OR(E48&gt;=0.3,E48&lt;=-0.3),"超过30%","")</f>
        <v>#VALUE!</v>
      </c>
      <c r="G48" s="456" t="e">
        <f>IF(G41&lt;I41,I41/G41-1,G41/I41-1)</f>
        <v>#VALUE!</v>
      </c>
      <c r="H48" s="457" t="e">
        <f>IF(OR(G48&gt;=0.3,G48&lt;=-0.3),"超过30%","")</f>
        <v>#VALUE!</v>
      </c>
      <c r="I48" s="456" t="e">
        <f>IF(I41&lt;E41,E41/I41-1,I41/E41-1)</f>
        <v>#VALUE!</v>
      </c>
      <c r="J48" s="457" t="e">
        <f>IF(OR(I48&gt;=0.3,I48&lt;=-0.3),"超过30%","")</f>
        <v>#VALUE!</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2516</v>
      </c>
      <c r="B50" s="641" t="s">
        <v>2517</v>
      </c>
      <c r="C50" s="2139" t="s">
        <v>2518</v>
      </c>
      <c r="D50" s="2140" t="s">
        <v>2519</v>
      </c>
      <c r="E50" s="642" t="s">
        <v>2520</v>
      </c>
      <c r="F50" s="643" t="s">
        <v>2521</v>
      </c>
      <c r="G50" s="3453" t="s">
        <v>2522</v>
      </c>
      <c r="H50" s="3454"/>
      <c r="I50" s="1510" t="s">
        <v>2558</v>
      </c>
      <c r="J50" s="1510">
        <f>项目基本情况!F35</f>
        <v>0</v>
      </c>
      <c r="K50" s="2142" t="s">
        <v>2524</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2525</v>
      </c>
      <c r="B51" s="645" t="e">
        <f>C43</f>
        <v>#DIV/0!</v>
      </c>
      <c r="C51" s="646">
        <v>1</v>
      </c>
      <c r="D51" s="1075">
        <v>1</v>
      </c>
      <c r="E51" s="646">
        <f>'数据-汇总表'!E8+'数据-汇总表'!E9</f>
        <v>23225</v>
      </c>
      <c r="F51" s="647" t="e">
        <f t="shared" ref="F51:F60" si="15">ROUND(B51*E51/10000,0)</f>
        <v>#DIV/0!</v>
      </c>
      <c r="G51" s="3455"/>
      <c r="H51" s="3456"/>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2526</v>
      </c>
      <c r="B52" s="224" t="e">
        <f>ROUND($C$43*C52*D52,0)</f>
        <v>#DIV/0!</v>
      </c>
      <c r="C52" s="176">
        <f t="shared" ref="C52:C60" si="16">IF($C$50="北京市系数",I52,J52)</f>
        <v>0</v>
      </c>
      <c r="D52" s="1076">
        <v>0.25</v>
      </c>
      <c r="E52" s="650"/>
      <c r="F52" s="647" t="e">
        <f t="shared" si="15"/>
        <v>#DIV/0!</v>
      </c>
      <c r="G52" s="3457" t="s">
        <v>2527</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2528</v>
      </c>
      <c r="B53" s="224" t="e">
        <f t="shared" ref="B53:B60" si="17">ROUND($C$43*C53*D53,0)</f>
        <v>#DIV/0!</v>
      </c>
      <c r="C53" s="176">
        <f t="shared" si="16"/>
        <v>0</v>
      </c>
      <c r="D53" s="1076">
        <v>0.25</v>
      </c>
      <c r="E53" s="650"/>
      <c r="F53" s="647" t="e">
        <f t="shared" si="15"/>
        <v>#DIV/0!</v>
      </c>
      <c r="G53" s="3457"/>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2529</v>
      </c>
      <c r="B54" s="224" t="e">
        <f t="shared" si="17"/>
        <v>#DIV/0!</v>
      </c>
      <c r="C54" s="176">
        <f t="shared" si="16"/>
        <v>0</v>
      </c>
      <c r="D54" s="1076">
        <v>0.25</v>
      </c>
      <c r="E54" s="650"/>
      <c r="F54" s="647" t="e">
        <f t="shared" si="15"/>
        <v>#DIV/0!</v>
      </c>
      <c r="G54" s="3457"/>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2530</v>
      </c>
      <c r="B55" s="224" t="e">
        <f t="shared" si="17"/>
        <v>#DIV/0!</v>
      </c>
      <c r="C55" s="176">
        <f t="shared" si="16"/>
        <v>0</v>
      </c>
      <c r="D55" s="1076">
        <v>0.25</v>
      </c>
      <c r="E55" s="650"/>
      <c r="F55" s="647" t="e">
        <f t="shared" si="15"/>
        <v>#DIV/0!</v>
      </c>
      <c r="G55" s="3457"/>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2531</v>
      </c>
      <c r="B56" s="224" t="e">
        <f t="shared" si="17"/>
        <v>#DIV/0!</v>
      </c>
      <c r="C56" s="176">
        <f t="shared" si="16"/>
        <v>0</v>
      </c>
      <c r="D56" s="1076">
        <v>0.25</v>
      </c>
      <c r="E56" s="223">
        <f>'数据-汇总表'!E11</f>
        <v>0</v>
      </c>
      <c r="F56" s="647" t="e">
        <f t="shared" si="15"/>
        <v>#DIV/0!</v>
      </c>
      <c r="G56" s="2143" t="s">
        <v>2532</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2533</v>
      </c>
      <c r="B57" s="224" t="e">
        <f t="shared" si="17"/>
        <v>#DIV/0!</v>
      </c>
      <c r="C57" s="176">
        <f t="shared" si="16"/>
        <v>0</v>
      </c>
      <c r="D57" s="1076">
        <v>0.25</v>
      </c>
      <c r="E57" s="223">
        <f>'数据-汇总表'!E12</f>
        <v>0</v>
      </c>
      <c r="F57" s="647" t="e">
        <f t="shared" si="15"/>
        <v>#DIV/0!</v>
      </c>
      <c r="G57" s="1023" t="s">
        <v>2534</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2535</v>
      </c>
      <c r="B58" s="224" t="e">
        <f t="shared" si="17"/>
        <v>#DIV/0!</v>
      </c>
      <c r="C58" s="176">
        <f t="shared" si="16"/>
        <v>0</v>
      </c>
      <c r="D58" s="1076">
        <v>0.25</v>
      </c>
      <c r="E58" s="223">
        <f>'数据-汇总表'!E13</f>
        <v>0</v>
      </c>
      <c r="F58" s="647" t="e">
        <f t="shared" si="15"/>
        <v>#DIV/0!</v>
      </c>
      <c r="G58" s="1023" t="s">
        <v>2536</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2537</v>
      </c>
      <c r="B59" s="224" t="e">
        <f t="shared" si="17"/>
        <v>#DIV/0!</v>
      </c>
      <c r="C59" s="176">
        <f t="shared" si="16"/>
        <v>0</v>
      </c>
      <c r="D59" s="1076">
        <v>0.25</v>
      </c>
      <c r="E59" s="223">
        <f>'数据-汇总表'!E14</f>
        <v>0</v>
      </c>
      <c r="F59" s="647" t="e">
        <f t="shared" si="15"/>
        <v>#DIV/0!</v>
      </c>
      <c r="G59" s="2143" t="s">
        <v>2527</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2538</v>
      </c>
      <c r="B60" s="224" t="e">
        <f t="shared" si="17"/>
        <v>#DIV/0!</v>
      </c>
      <c r="C60" s="176">
        <f t="shared" si="16"/>
        <v>0</v>
      </c>
      <c r="D60" s="1076">
        <v>0.25</v>
      </c>
      <c r="E60" s="223">
        <f>'数据-汇总表'!E15</f>
        <v>0</v>
      </c>
      <c r="F60" s="647" t="e">
        <f t="shared" si="15"/>
        <v>#DIV/0!</v>
      </c>
      <c r="G60" s="2144" t="s">
        <v>2532</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2539</v>
      </c>
      <c r="B61" s="652" t="s">
        <v>28</v>
      </c>
      <c r="C61" s="652" t="s">
        <v>29</v>
      </c>
      <c r="D61" s="652" t="s">
        <v>997</v>
      </c>
      <c r="E61" s="652">
        <f>IF(B41="楼面地价",SUM(E51:E60),'数据-汇总表'!D3)</f>
        <v>23225</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4"/>
      <c r="Q63" s="2924"/>
      <c r="R63" s="2924"/>
      <c r="S63" s="2924"/>
      <c r="T63" s="2924"/>
      <c r="U63" s="2924"/>
      <c r="V63" s="2924"/>
      <c r="W63" s="2924"/>
      <c r="X63" s="2924"/>
      <c r="Y63" s="2924"/>
      <c r="Z63" s="2924"/>
      <c r="AA63" s="2924"/>
      <c r="AB63" s="2924"/>
      <c r="AC63" s="2924"/>
      <c r="AD63" s="2924"/>
      <c r="AE63" s="2924"/>
    </row>
    <row r="64" spans="1:31" ht="21.75" thickBot="1">
      <c r="A64" s="703" t="s">
        <v>2432</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2540</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2559</v>
      </c>
      <c r="B66" s="294" t="str">
        <f>"北京市平均增长率"&amp;TEXT(基准地价修正!P24,"0.00%")</f>
        <v>北京市平均增长率1.18%</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2343</v>
      </c>
      <c r="B67" s="473"/>
      <c r="C67" s="474">
        <v>0.5</v>
      </c>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2308</v>
      </c>
      <c r="B68" s="467"/>
      <c r="C68" s="479" t="s">
        <v>2410</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2346</v>
      </c>
      <c r="B70" s="485" t="s">
        <v>2312</v>
      </c>
      <c r="C70" s="3208" t="s">
        <v>3160</v>
      </c>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2315</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2316</v>
      </c>
      <c r="C74" s="504" t="str">
        <f>C75&amp;"（含）"&amp;"-"&amp;D75</f>
        <v>0（含）-1</v>
      </c>
      <c r="D74" s="504" t="str">
        <f t="shared" ref="D74:L74" si="21">D75&amp;"（含）"&amp;"-"&amp;E75</f>
        <v>1（含）-2</v>
      </c>
      <c r="E74" s="504" t="str">
        <f t="shared" si="21"/>
        <v>2（含）-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v>0</v>
      </c>
      <c r="D75" s="506">
        <v>1</v>
      </c>
      <c r="E75" s="506">
        <v>2</v>
      </c>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2317</v>
      </c>
      <c r="B83" s="485" t="s">
        <v>2463</v>
      </c>
      <c r="C83" s="530" t="s">
        <v>2355</v>
      </c>
      <c r="D83" s="530" t="s">
        <v>2356</v>
      </c>
      <c r="E83" s="530" t="s">
        <v>2357</v>
      </c>
      <c r="F83" s="530" t="s">
        <v>2358</v>
      </c>
      <c r="G83" s="530" t="s">
        <v>2359</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97</v>
      </c>
      <c r="E84" s="501">
        <f>D84-$K15</f>
        <v>94</v>
      </c>
      <c r="F84" s="501">
        <f>E84-$K15</f>
        <v>91</v>
      </c>
      <c r="G84" s="501">
        <f>F84-$K15</f>
        <v>88</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2360</v>
      </c>
      <c r="C85" s="535" t="s">
        <v>2355</v>
      </c>
      <c r="D85" s="535" t="s">
        <v>2356</v>
      </c>
      <c r="E85" s="535" t="s">
        <v>2357</v>
      </c>
      <c r="F85" s="535" t="s">
        <v>2358</v>
      </c>
      <c r="G85" s="535" t="s">
        <v>2359</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98</v>
      </c>
      <c r="E86" s="501">
        <f>D86-$K17</f>
        <v>96</v>
      </c>
      <c r="F86" s="501">
        <f>E86-$K17</f>
        <v>94</v>
      </c>
      <c r="G86" s="501">
        <f>F86-$K17</f>
        <v>92</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2543</v>
      </c>
      <c r="C87" s="530" t="s">
        <v>2355</v>
      </c>
      <c r="D87" s="530" t="s">
        <v>2356</v>
      </c>
      <c r="E87" s="530" t="s">
        <v>2357</v>
      </c>
      <c r="F87" s="530" t="s">
        <v>2358</v>
      </c>
      <c r="G87" s="530" t="s">
        <v>2359</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2544</v>
      </c>
      <c r="C89" s="530" t="s">
        <v>2355</v>
      </c>
      <c r="D89" s="530" t="s">
        <v>2356</v>
      </c>
      <c r="E89" s="530" t="s">
        <v>2357</v>
      </c>
      <c r="F89" s="530" t="s">
        <v>2358</v>
      </c>
      <c r="G89" s="530" t="s">
        <v>2359</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2412</v>
      </c>
      <c r="C91" s="530" t="s">
        <v>2355</v>
      </c>
      <c r="D91" s="530" t="s">
        <v>2356</v>
      </c>
      <c r="E91" s="530" t="s">
        <v>2357</v>
      </c>
      <c r="F91" s="530" t="s">
        <v>2358</v>
      </c>
      <c r="G91" s="530" t="s">
        <v>2359</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2560</v>
      </c>
      <c r="C93" s="616" t="s">
        <v>2433</v>
      </c>
      <c r="D93" s="616" t="s">
        <v>2434</v>
      </c>
      <c r="E93" s="616" t="s">
        <v>2435</v>
      </c>
      <c r="F93" s="616" t="s">
        <v>2436</v>
      </c>
      <c r="G93" s="616" t="s">
        <v>2437</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2449</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2508</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ht="28.5">
      <c r="A107" s="484" t="s">
        <v>2321</v>
      </c>
      <c r="B107" s="485" t="s">
        <v>2549</v>
      </c>
      <c r="C107" s="486" t="str">
        <f t="shared" ref="C107:L107" si="26">C108&amp;"(含)"&amp;"-"&amp;D108</f>
        <v>0(含)-20000</v>
      </c>
      <c r="D107" s="486" t="str">
        <f t="shared" si="26"/>
        <v>20000(含)-40000</v>
      </c>
      <c r="E107" s="486" t="str">
        <f t="shared" si="26"/>
        <v>40000(含)-60000</v>
      </c>
      <c r="F107" s="486" t="str">
        <f t="shared" si="26"/>
        <v>60000(含)-80000</v>
      </c>
      <c r="G107" s="486" t="str">
        <f t="shared" si="26"/>
        <v>80000(含)-</v>
      </c>
      <c r="H107" s="486" t="str">
        <f t="shared" si="26"/>
        <v>(含)-</v>
      </c>
      <c r="I107" s="486" t="str">
        <f t="shared" si="26"/>
        <v>(含)-</v>
      </c>
      <c r="J107" s="486" t="str">
        <f t="shared" si="26"/>
        <v>(含)-</v>
      </c>
      <c r="K107" s="1473" t="str">
        <f t="shared" si="26"/>
        <v>(含)-</v>
      </c>
      <c r="L107" s="1473" t="str">
        <f t="shared" si="26"/>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v>0</v>
      </c>
      <c r="D108" s="552">
        <v>20000</v>
      </c>
      <c r="E108" s="552">
        <v>40000</v>
      </c>
      <c r="F108" s="552">
        <v>60000</v>
      </c>
      <c r="G108" s="552">
        <v>80000</v>
      </c>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v>100</v>
      </c>
      <c r="D109" s="548">
        <v>101</v>
      </c>
      <c r="E109" s="548">
        <v>102</v>
      </c>
      <c r="F109" s="548">
        <v>103</v>
      </c>
      <c r="G109" s="548">
        <v>104</v>
      </c>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2550</v>
      </c>
      <c r="C110" s="3209" t="s">
        <v>3161</v>
      </c>
      <c r="D110" s="3209" t="s">
        <v>3162</v>
      </c>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2552</v>
      </c>
      <c r="C112" s="3210" t="s">
        <v>3163</v>
      </c>
      <c r="D112" s="3210" t="s">
        <v>3164</v>
      </c>
      <c r="E112" s="3210" t="s">
        <v>3165</v>
      </c>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2553</v>
      </c>
      <c r="C114" s="3210" t="s">
        <v>3166</v>
      </c>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4" t="str">
        <f>项目基本情况!B1</f>
        <v>北京市出让国有建设用地使用权及在建建筑物房地产抵押价值预评估</v>
      </c>
      <c r="C37" s="3264"/>
      <c r="D37" s="3264"/>
      <c r="E37" s="3264"/>
      <c r="F37" s="3264"/>
      <c r="G37" s="3264"/>
      <c r="H37" s="3264"/>
      <c r="I37" s="3264"/>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C29" sqref="C29"/>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2561</v>
      </c>
      <c r="B1" s="203"/>
      <c r="C1" s="207" t="s">
        <v>2562</v>
      </c>
      <c r="D1" s="348">
        <f>SUM(D29:D30,D33:D39)</f>
        <v>23225</v>
      </c>
      <c r="E1" s="2151"/>
      <c r="F1" s="2151"/>
      <c r="G1" s="2151"/>
      <c r="H1" s="2151"/>
      <c r="I1" s="2151"/>
      <c r="J1" s="2151"/>
      <c r="K1" s="1252"/>
      <c r="L1" s="2152" t="s">
        <v>2563</v>
      </c>
      <c r="M1" s="994">
        <f>SUMPRODUCT((区片价!B5:B9=I2)*(区片价!C3:F3=E2)*(区片价!C5:F9))</f>
        <v>0</v>
      </c>
      <c r="N1" s="997">
        <f>SUMPRODUCT((因素修正幅度!B5:B9=I2)*(因素修正幅度!C3:F3=E2)*(因素修正幅度!C5:F9))</f>
        <v>0</v>
      </c>
      <c r="O1" s="2153"/>
      <c r="P1" s="2153"/>
      <c r="Q1" s="1252"/>
      <c r="R1" s="1346" t="s">
        <v>2564</v>
      </c>
      <c r="S1" s="1346" t="s">
        <v>2565</v>
      </c>
      <c r="T1" s="1346" t="s">
        <v>2566</v>
      </c>
      <c r="U1" s="1346" t="s">
        <v>2567</v>
      </c>
      <c r="V1" s="1346" t="s">
        <v>2568</v>
      </c>
      <c r="W1" s="1350"/>
      <c r="X1" s="1350"/>
      <c r="Y1" s="1350"/>
      <c r="Z1" s="1350"/>
      <c r="AA1" s="1350"/>
      <c r="AB1" s="1350"/>
      <c r="AC1" s="1351"/>
      <c r="AD1" s="1352"/>
      <c r="AE1" s="1352"/>
      <c r="AF1" s="1352"/>
      <c r="AG1" s="1352"/>
      <c r="AH1" s="1352"/>
      <c r="AI1" s="1352"/>
      <c r="AJ1" s="1353"/>
    </row>
    <row r="2" spans="1:36" ht="15.75">
      <c r="A2" s="207" t="s">
        <v>2569</v>
      </c>
      <c r="B2" s="210">
        <f>C26</f>
        <v>2569</v>
      </c>
      <c r="C2" s="2155" t="s">
        <v>2570</v>
      </c>
      <c r="D2" s="2156" t="s">
        <v>2571</v>
      </c>
      <c r="E2" s="2157" t="s">
        <v>6</v>
      </c>
      <c r="F2" s="2156" t="s">
        <v>2572</v>
      </c>
      <c r="G2" s="2158" t="str">
        <f>IF(E2="商业",项目基本情况!B37,IF(E2="办公",项目基本情况!C37,IF(E2="住宅",项目基本情况!D37,项目基本情况!E37)))</f>
        <v>十级</v>
      </c>
      <c r="H2" s="2156" t="s">
        <v>2573</v>
      </c>
      <c r="I2" s="2158" t="str">
        <f>IF(E2="商业",项目基本情况!B38,IF(E2="办公",项目基本情况!C38,IF(E2="住宅",项目基本情况!D38,项目基本情况!E38)))</f>
        <v>Ⅹ-顺2</v>
      </c>
      <c r="J2" s="2159"/>
      <c r="K2" s="1252"/>
      <c r="L2" s="2160" t="s">
        <v>2574</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2.4275000000000002</v>
      </c>
      <c r="T2" s="1346">
        <f>ROUND($C$5*$C$18*$C$19*$C$20*S2*$C$24,0)</f>
        <v>2147</v>
      </c>
      <c r="U2" s="1347"/>
      <c r="V2" s="1346">
        <f>ROUND(T2*U2/10000,0)</f>
        <v>0</v>
      </c>
      <c r="W2" s="1350"/>
      <c r="X2" s="1350"/>
      <c r="Y2" s="1350"/>
      <c r="Z2" s="1350"/>
      <c r="AA2" s="1350"/>
      <c r="AB2" s="1350"/>
      <c r="AC2" s="1351"/>
      <c r="AD2" s="1352"/>
      <c r="AE2" s="1352"/>
      <c r="AF2" s="1352"/>
      <c r="AG2" s="1352"/>
      <c r="AH2" s="1352"/>
      <c r="AI2" s="1352"/>
      <c r="AJ2" s="1353"/>
    </row>
    <row r="3" spans="1:36" ht="15.75">
      <c r="A3" s="209" t="s">
        <v>2575</v>
      </c>
      <c r="B3" s="210">
        <f>ROUND(B2*10000/D1,0)</f>
        <v>1106</v>
      </c>
      <c r="C3" s="2155" t="s">
        <v>2576</v>
      </c>
      <c r="D3" s="2156" t="s">
        <v>2577</v>
      </c>
      <c r="E3" s="2161" t="s">
        <v>3308</v>
      </c>
      <c r="F3" s="2162" t="s">
        <v>2578</v>
      </c>
      <c r="G3" s="855">
        <f>IF(F3="宗地容积率",'数据-汇总表'!I4,IF(F3="估价对象容积率",'数据-汇总表'!I6,'数据-汇总表'!I7))</f>
        <v>0.8</v>
      </c>
      <c r="H3" s="175" t="s">
        <v>2579</v>
      </c>
      <c r="I3" s="881"/>
      <c r="J3" s="2159" t="s">
        <v>2580</v>
      </c>
      <c r="K3" s="1252"/>
      <c r="L3" s="2160" t="s">
        <v>2581</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1.5999000000000001</v>
      </c>
      <c r="T3" s="1346">
        <f t="shared" ref="T3:T16" si="0">ROUND($C$5*$C$18*$C$19*$C$20*S3*$C$24,0)</f>
        <v>1415</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99"/>
      <c r="B4" s="3500"/>
      <c r="C4" s="3500"/>
      <c r="D4" s="3501"/>
      <c r="E4" s="3501"/>
      <c r="F4" s="3501"/>
      <c r="G4" s="3501"/>
      <c r="H4" s="3501"/>
      <c r="I4" s="3501"/>
      <c r="J4" s="3502"/>
      <c r="K4" s="1252"/>
      <c r="L4" s="2160" t="s">
        <v>2582</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1.2589999999999999</v>
      </c>
      <c r="T4" s="1346">
        <f t="shared" si="0"/>
        <v>1114</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2583</v>
      </c>
      <c r="C5" s="856">
        <f>ROUND(IF(E2="商业",C6*C7+C16,(IF(E2="住宅",C6*C12+C16,C6+C16))),0)</f>
        <v>640</v>
      </c>
      <c r="D5" s="1493">
        <f>ROUND(C6+C16,0)</f>
        <v>640</v>
      </c>
      <c r="E5" s="1493"/>
      <c r="F5" s="2165"/>
      <c r="G5" s="2166"/>
      <c r="H5" s="2166"/>
      <c r="I5" s="2166"/>
      <c r="J5" s="2167"/>
      <c r="K5" s="2168"/>
      <c r="L5" s="2160" t="s">
        <v>2584</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0.94059999999999999</v>
      </c>
      <c r="T5" s="1346">
        <f t="shared" si="0"/>
        <v>832</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2585</v>
      </c>
      <c r="B6" s="2174" t="s">
        <v>2586</v>
      </c>
      <c r="C6" s="857">
        <f>SUMIF(L1:L12,G2,M1:M12)</f>
        <v>640</v>
      </c>
      <c r="D6" s="2175" t="s">
        <v>2587</v>
      </c>
      <c r="E6" s="2176"/>
      <c r="F6" s="2176"/>
      <c r="G6" s="2177"/>
      <c r="H6" s="2177"/>
      <c r="I6" s="2177"/>
      <c r="J6" s="2178"/>
      <c r="K6" s="1538"/>
      <c r="L6" s="2160" t="s">
        <v>2588</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0.70740000000000003</v>
      </c>
      <c r="T6" s="1346">
        <f t="shared" si="0"/>
        <v>626</v>
      </c>
      <c r="U6" s="1347"/>
      <c r="V6" s="1346">
        <f t="shared" si="1"/>
        <v>0</v>
      </c>
      <c r="W6" s="1350"/>
      <c r="X6" s="1350"/>
      <c r="Y6" s="1350"/>
      <c r="Z6" s="1350"/>
      <c r="AA6" s="1350"/>
      <c r="AB6" s="1350"/>
      <c r="AC6" s="2169"/>
      <c r="AD6" s="2170"/>
      <c r="AE6" s="2170"/>
      <c r="AF6" s="2170"/>
      <c r="AG6" s="2170"/>
      <c r="AH6" s="2170"/>
      <c r="AI6" s="2170"/>
      <c r="AJ6" s="2171"/>
    </row>
    <row r="7" spans="1:36" ht="24">
      <c r="A7" s="3503" t="str">
        <f>IF(E2="商业",IF(C8="不临58条商业街","",2),"")</f>
        <v/>
      </c>
      <c r="B7" s="2179" t="s">
        <v>2589</v>
      </c>
      <c r="C7" s="858">
        <f>IF(C8="不临58条商业街",1,ROUND(1+(1.6*E8+1.2*E9+0.8*E10+0.4*E11)*C9,4))</f>
        <v>1</v>
      </c>
      <c r="D7" s="2180" t="s">
        <v>2590</v>
      </c>
      <c r="E7" s="882"/>
      <c r="F7" s="2181"/>
      <c r="G7" s="2182"/>
      <c r="H7" s="2182"/>
      <c r="I7" s="2182"/>
      <c r="J7" s="2183"/>
      <c r="K7" s="1538"/>
      <c r="L7" s="2160" t="s">
        <v>2591</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0.56559999999999999</v>
      </c>
      <c r="T7" s="1346">
        <f t="shared" si="0"/>
        <v>500</v>
      </c>
      <c r="U7" s="1347"/>
      <c r="V7" s="1346">
        <f t="shared" si="1"/>
        <v>0</v>
      </c>
      <c r="W7" s="1512" t="s">
        <v>2592</v>
      </c>
      <c r="X7" s="1348" t="str">
        <f>G2</f>
        <v>十级</v>
      </c>
      <c r="Y7" s="1348" t="s">
        <v>2593</v>
      </c>
      <c r="Z7" s="1349">
        <f>G3</f>
        <v>0.8</v>
      </c>
      <c r="AA7" s="1350"/>
      <c r="AB7" s="1350"/>
      <c r="AC7" s="1351"/>
      <c r="AD7" s="1352"/>
      <c r="AE7" s="1352"/>
      <c r="AF7" s="1352"/>
      <c r="AG7" s="1352"/>
      <c r="AH7" s="1352"/>
      <c r="AI7" s="1352"/>
      <c r="AJ7" s="1353"/>
    </row>
    <row r="8" spans="1:36" ht="25.5">
      <c r="A8" s="3504"/>
      <c r="B8" s="175" t="s">
        <v>2594</v>
      </c>
      <c r="C8" s="2184" t="s">
        <v>3309</v>
      </c>
      <c r="D8" s="859" t="s">
        <v>139</v>
      </c>
      <c r="E8" s="860" t="e">
        <f>ROUND(C11/E7,4)</f>
        <v>#DIV/0!</v>
      </c>
      <c r="F8" s="2185" t="s">
        <v>2595</v>
      </c>
      <c r="G8" s="2186"/>
      <c r="H8" s="2186"/>
      <c r="I8" s="2186"/>
      <c r="J8" s="2187"/>
      <c r="K8" s="1252"/>
      <c r="L8" s="2160" t="s">
        <v>2596</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6" t="s">
        <v>2597</v>
      </c>
      <c r="X8" s="3497"/>
      <c r="Y8" s="1354" t="s">
        <v>2598</v>
      </c>
      <c r="Z8" s="1354" t="s">
        <v>2599</v>
      </c>
      <c r="AA8" s="1354" t="s">
        <v>2600</v>
      </c>
      <c r="AB8" s="1354" t="s">
        <v>2601</v>
      </c>
      <c r="AC8" s="1354" t="s">
        <v>2602</v>
      </c>
      <c r="AD8" s="1354" t="s">
        <v>2603</v>
      </c>
      <c r="AE8" s="1354" t="s">
        <v>2604</v>
      </c>
      <c r="AF8" s="1354" t="s">
        <v>2605</v>
      </c>
      <c r="AG8" s="1354" t="s">
        <v>2606</v>
      </c>
      <c r="AH8" s="1354" t="s">
        <v>2607</v>
      </c>
      <c r="AI8" s="1354" t="s">
        <v>2608</v>
      </c>
      <c r="AJ8" s="1354" t="s">
        <v>2609</v>
      </c>
    </row>
    <row r="9" spans="1:36" ht="15">
      <c r="A9" s="3504"/>
      <c r="B9" s="175" t="s">
        <v>2610</v>
      </c>
      <c r="C9" s="861">
        <f>SUMIF(修正!C59:C119,C8,修正!E59:E119)</f>
        <v>0</v>
      </c>
      <c r="D9" s="176" t="s">
        <v>140</v>
      </c>
      <c r="E9" s="176" t="e">
        <f>ROUND(C11/E7,4)</f>
        <v>#DIV/0!</v>
      </c>
      <c r="F9" s="2185" t="s">
        <v>2611</v>
      </c>
      <c r="G9" s="2186"/>
      <c r="H9" s="2186"/>
      <c r="I9" s="2186"/>
      <c r="J9" s="2187"/>
      <c r="K9" s="1252"/>
      <c r="L9" s="2160" t="s">
        <v>2612</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98" t="s">
        <v>2613</v>
      </c>
      <c r="X9" s="1355" t="s">
        <v>2614</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4"/>
      <c r="B10" s="175" t="s">
        <v>2615</v>
      </c>
      <c r="C10" s="176">
        <f>SUMIF(修正!C59:C119,C8,修正!F59:F119)</f>
        <v>0</v>
      </c>
      <c r="D10" s="176" t="s">
        <v>141</v>
      </c>
      <c r="E10" s="176" t="e">
        <f>ROUND(C11/E7,4)</f>
        <v>#DIV/0!</v>
      </c>
      <c r="F10" s="2185" t="s">
        <v>2616</v>
      </c>
      <c r="G10" s="2186"/>
      <c r="H10" s="2186"/>
      <c r="I10" s="2186"/>
      <c r="J10" s="2187"/>
      <c r="K10" s="1252"/>
      <c r="L10" s="2160" t="s">
        <v>2617</v>
      </c>
      <c r="M10" s="995">
        <f>SUMPRODUCT((区片价!B290:B316=I2)*(区片价!C3:F3=E2)*(区片价!C290:F316))</f>
        <v>640</v>
      </c>
      <c r="N10" s="997">
        <f>SUMPRODUCT((因素修正幅度!B290:B316=I2)*(因素修正幅度!C3:F3=E2)*(因素修正幅度!C290:F316))</f>
        <v>0.14799999999999999</v>
      </c>
      <c r="O10" s="1252"/>
      <c r="P10" s="1252"/>
      <c r="Q10" s="1252"/>
      <c r="R10" s="1346">
        <v>9</v>
      </c>
      <c r="S10" s="1347"/>
      <c r="T10" s="1346">
        <f t="shared" si="0"/>
        <v>0</v>
      </c>
      <c r="U10" s="1347"/>
      <c r="V10" s="1346">
        <f t="shared" si="1"/>
        <v>0</v>
      </c>
      <c r="W10" s="349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4"/>
      <c r="B11" s="2188" t="s">
        <v>2618</v>
      </c>
      <c r="C11" s="862">
        <f>C10/4</f>
        <v>0</v>
      </c>
      <c r="D11" s="862" t="s">
        <v>142</v>
      </c>
      <c r="E11" s="862" t="e">
        <f>ROUND(C11/E7,4)</f>
        <v>#DIV/0!</v>
      </c>
      <c r="F11" s="2189" t="s">
        <v>2619</v>
      </c>
      <c r="G11" s="2190"/>
      <c r="H11" s="2190"/>
      <c r="I11" s="2190"/>
      <c r="J11" s="2191"/>
      <c r="K11" s="1252"/>
      <c r="L11" s="2160" t="s">
        <v>2620</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98" t="s">
        <v>2621</v>
      </c>
      <c r="X11" s="1358" t="s">
        <v>2622</v>
      </c>
      <c r="Y11" s="1359">
        <f>$G$3</f>
        <v>0.8</v>
      </c>
      <c r="Z11" s="1359">
        <f t="shared" ref="Z11:AJ11" si="3">$G$3</f>
        <v>0.8</v>
      </c>
      <c r="AA11" s="1359">
        <f t="shared" si="3"/>
        <v>0.8</v>
      </c>
      <c r="AB11" s="1359">
        <f t="shared" si="3"/>
        <v>0.8</v>
      </c>
      <c r="AC11" s="1359">
        <f t="shared" si="3"/>
        <v>0.8</v>
      </c>
      <c r="AD11" s="1359">
        <f t="shared" si="3"/>
        <v>0.8</v>
      </c>
      <c r="AE11" s="1359">
        <f t="shared" si="3"/>
        <v>0.8</v>
      </c>
      <c r="AF11" s="1359">
        <f t="shared" si="3"/>
        <v>0.8</v>
      </c>
      <c r="AG11" s="1359">
        <f t="shared" si="3"/>
        <v>0.8</v>
      </c>
      <c r="AH11" s="1359">
        <f t="shared" si="3"/>
        <v>0.8</v>
      </c>
      <c r="AI11" s="1359">
        <f t="shared" si="3"/>
        <v>0.8</v>
      </c>
      <c r="AJ11" s="1359">
        <f t="shared" si="3"/>
        <v>0.8</v>
      </c>
    </row>
    <row r="12" spans="1:36" ht="25.5" thickBot="1">
      <c r="A12" s="3503" t="s">
        <v>2623</v>
      </c>
      <c r="B12" s="2192" t="s">
        <v>2624</v>
      </c>
      <c r="C12" s="858">
        <f>ROUND(C15*D15*E15*F15*G15*H15*I15*J15,4)</f>
        <v>1</v>
      </c>
      <c r="D12" s="2193" t="s">
        <v>2625</v>
      </c>
      <c r="E12" s="2194"/>
      <c r="F12" s="2194"/>
      <c r="G12" s="2195"/>
      <c r="H12" s="2195"/>
      <c r="I12" s="2195"/>
      <c r="J12" s="2196"/>
      <c r="K12" s="1252"/>
      <c r="L12" s="2197" t="s">
        <v>2626</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98"/>
      <c r="X12" s="1360" t="s">
        <v>2627</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5"/>
      <c r="B13" s="2198" t="s">
        <v>2628</v>
      </c>
      <c r="C13" s="2199" t="s">
        <v>2629</v>
      </c>
      <c r="D13" s="1504" t="s">
        <v>2630</v>
      </c>
      <c r="E13" s="1504" t="s">
        <v>2631</v>
      </c>
      <c r="F13" s="30" t="s">
        <v>2632</v>
      </c>
      <c r="G13" s="2200" t="s">
        <v>2633</v>
      </c>
      <c r="H13" s="2200" t="s">
        <v>2633</v>
      </c>
      <c r="I13" s="2200" t="s">
        <v>2633</v>
      </c>
      <c r="J13" s="2201" t="s">
        <v>2633</v>
      </c>
      <c r="K13" s="1252"/>
      <c r="L13" s="1252"/>
      <c r="M13" s="1252"/>
      <c r="N13" s="1252"/>
      <c r="O13" s="1252"/>
      <c r="P13" s="1252"/>
      <c r="Q13" s="1252"/>
      <c r="R13" s="1346">
        <v>12</v>
      </c>
      <c r="S13" s="1347"/>
      <c r="T13" s="1346">
        <f t="shared" si="0"/>
        <v>0</v>
      </c>
      <c r="U13" s="1347"/>
      <c r="V13" s="1346">
        <f t="shared" si="1"/>
        <v>0</v>
      </c>
      <c r="W13" s="3498"/>
      <c r="X13" s="1360"/>
      <c r="Y13" s="1357">
        <f>(-0.163*(Y12^2)-0.59*Y12+7617)*(10^(-4))/Y11</f>
        <v>0.952125</v>
      </c>
      <c r="Z13" s="1357">
        <f t="shared" ref="Z13:AJ13" si="5">(-0.163*(Z12^2)-0.59*Z12+7617)*(10^(-4))/Z11</f>
        <v>0.952125</v>
      </c>
      <c r="AA13" s="1357">
        <f t="shared" si="5"/>
        <v>0.952125</v>
      </c>
      <c r="AB13" s="1357">
        <f t="shared" si="5"/>
        <v>0.952125</v>
      </c>
      <c r="AC13" s="1357">
        <f t="shared" si="5"/>
        <v>0.952125</v>
      </c>
      <c r="AD13" s="1357">
        <f t="shared" si="5"/>
        <v>0.952125</v>
      </c>
      <c r="AE13" s="1357">
        <f t="shared" si="5"/>
        <v>0.952125</v>
      </c>
      <c r="AF13" s="1357">
        <f t="shared" si="5"/>
        <v>0.952125</v>
      </c>
      <c r="AG13" s="1357">
        <f t="shared" si="5"/>
        <v>0.952125</v>
      </c>
      <c r="AH13" s="1357">
        <f t="shared" si="5"/>
        <v>0.952125</v>
      </c>
      <c r="AI13" s="1357">
        <f t="shared" si="5"/>
        <v>0.952125</v>
      </c>
      <c r="AJ13" s="1357">
        <f t="shared" si="5"/>
        <v>0.952125</v>
      </c>
    </row>
    <row r="14" spans="1:36" ht="15">
      <c r="A14" s="3505"/>
      <c r="B14" s="2202"/>
      <c r="C14" s="2203"/>
      <c r="D14" s="2204"/>
      <c r="E14" s="2204"/>
      <c r="F14" s="2205"/>
      <c r="G14" s="2206" t="s">
        <v>2634</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06"/>
      <c r="B15" s="2210" t="s">
        <v>2635</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3" t="s">
        <v>2640</v>
      </c>
      <c r="B16" s="2179" t="s">
        <v>2641</v>
      </c>
      <c r="C16" s="2341">
        <f>ROUND(IF(F17="与级别开发程度一致",0,(G17-E17)/C17),0)</f>
        <v>0</v>
      </c>
      <c r="D16" s="3519" t="s">
        <v>2645</v>
      </c>
      <c r="E16" s="3520"/>
      <c r="F16" s="3519" t="s">
        <v>2642</v>
      </c>
      <c r="G16" s="3520"/>
      <c r="H16" s="2211" t="s">
        <v>3310</v>
      </c>
      <c r="I16" s="2211" t="s">
        <v>3311</v>
      </c>
      <c r="J16" s="2345" t="s">
        <v>3312</v>
      </c>
      <c r="K16" s="2211" t="s">
        <v>3313</v>
      </c>
      <c r="L16" s="2211" t="s">
        <v>3314</v>
      </c>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7"/>
      <c r="B17" s="2352" t="s">
        <v>2644</v>
      </c>
      <c r="C17" s="2353">
        <f>SUMPRODUCT((修正!A2:A5=E2)*(修正!B1:M1=G2)*(修正!B2:M5))</f>
        <v>1</v>
      </c>
      <c r="D17" s="193" t="str">
        <f>IF(OR(G2="八级",G2="九级",G2="十级",G2="十一级",G2="十二级"),"五通一平","七通一平")</f>
        <v>五通一平</v>
      </c>
      <c r="E17" s="2342">
        <f>SUMPRODUCT((修正!B1:M1=G2)*(修正!B15:M15))</f>
        <v>155</v>
      </c>
      <c r="F17" s="2343" t="s">
        <v>3315</v>
      </c>
      <c r="G17" s="2344">
        <f>SUM(H17:O17)</f>
        <v>145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2647</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2648</v>
      </c>
      <c r="C19" s="863">
        <f>ROUND(IF(H19="按公示增长率计算",SUMPRODUCT((地价!A3:A37=YEAR(G19)&amp;"-"&amp;ROUNDUP(MONTH(G19)/3,0))*(地价!X2:AB2=E2)*(地价!X3:AB37)),IF(H19="地价指数",M20/M19,(1+I19)^O19)),4)</f>
        <v>1.4529000000000001</v>
      </c>
      <c r="D19" s="2221" t="s">
        <v>2649</v>
      </c>
      <c r="E19" s="864">
        <v>41640</v>
      </c>
      <c r="F19" s="2221" t="s">
        <v>2650</v>
      </c>
      <c r="G19" s="865">
        <f>'数据-取费表'!B2</f>
        <v>44610</v>
      </c>
      <c r="H19" s="2222" t="s">
        <v>3316</v>
      </c>
      <c r="I19" s="866" t="str">
        <f>IF(H19="季度增幅（自定义）",SUMIF(N21:N24,E2,O21:O24),"")</f>
        <v/>
      </c>
      <c r="J19" s="2219"/>
      <c r="K19" s="1259"/>
      <c r="L19" s="2223" t="s">
        <v>2651</v>
      </c>
      <c r="M19" s="1468">
        <f>ROUND(SUMIF(地价!B2:F2,E2,地价!B37:F37),0)</f>
        <v>230</v>
      </c>
      <c r="N19" s="2224" t="s">
        <v>2652</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2653</v>
      </c>
      <c r="C20" s="868">
        <f>ROUND(POWER(1+G20,J20-I20)*(POWER(1+G20,I20)-1)/(POWER(1+G20,J20)-1),4)</f>
        <v>0.94230000000000003</v>
      </c>
      <c r="D20" s="2228" t="s">
        <v>2654</v>
      </c>
      <c r="E20" s="1475">
        <f>存贷款利率!E18/100</f>
        <v>4.3499999999999997E-2</v>
      </c>
      <c r="F20" s="2228" t="s">
        <v>2646</v>
      </c>
      <c r="G20" s="873">
        <f>SUMIF(M26:P26,E2,M28:P28)</f>
        <v>4.8000000000000001E-2</v>
      </c>
      <c r="H20" s="2228" t="s">
        <v>2655</v>
      </c>
      <c r="I20" s="874">
        <f>SUMIF('数据-取费表'!C6:C15,E2,'数据-取费表'!F6:F15)/COUNTIF('数据-取费表'!C6:C15,E2)</f>
        <v>40.74</v>
      </c>
      <c r="J20" s="875">
        <f>IF(E2="住宅",70,IF(E2="商业",40,50))</f>
        <v>50</v>
      </c>
      <c r="K20" s="1259"/>
      <c r="L20" s="2229" t="s">
        <v>2656</v>
      </c>
      <c r="M20" s="1469">
        <f>ROUND(SUMPRODUCT((地价!A4:A37=YEAR(G19)&amp;"-"&amp;ROUNDUP(MONTH(G19)/3,0))*(地价!B2:F2=E2)*(地价!B4:F37)),0)</f>
        <v>334</v>
      </c>
      <c r="N20" s="2230" t="s">
        <v>2657</v>
      </c>
      <c r="O20" s="2231" t="s">
        <v>2658</v>
      </c>
      <c r="P20" s="2232" t="s">
        <v>2659</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3317</v>
      </c>
      <c r="C21" s="876">
        <f>IF(B21="容积率修正",IF(G3&lt;=10,D22,J22),C23)</f>
        <v>1.25</v>
      </c>
      <c r="D21" s="2235"/>
      <c r="E21" s="2235"/>
      <c r="F21" s="2235"/>
      <c r="G21" s="2235"/>
      <c r="H21" s="2235"/>
      <c r="I21" s="2235"/>
      <c r="J21" s="2236"/>
      <c r="K21" s="1259"/>
      <c r="L21" s="2989"/>
      <c r="M21" s="2989"/>
      <c r="N21" s="2237" t="s">
        <v>2660</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2661</v>
      </c>
      <c r="B22" s="2238" t="s">
        <v>2662</v>
      </c>
      <c r="C22" s="1506" t="s">
        <v>2663</v>
      </c>
      <c r="D22" s="1506">
        <f>IF(E22=G22,F22,IF(G3&lt;=10,ROUND(F22+(H22-F22)*(G3-E22)/(G22-E22),4),"——"))</f>
        <v>1.25</v>
      </c>
      <c r="E22" s="855">
        <f>ROUNDDOWN(G3,1)</f>
        <v>0.8</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v>
      </c>
      <c r="G22" s="855">
        <f>ROUNDUP(G3,1)</f>
        <v>0.8</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506" t="s">
        <v>155</v>
      </c>
      <c r="J22" s="877" t="str">
        <f>IF(G3&gt;10,D113,"——")</f>
        <v>——</v>
      </c>
      <c r="K22" s="1259"/>
      <c r="L22" s="2989"/>
      <c r="M22" s="2989"/>
      <c r="N22" s="2237" t="s">
        <v>2664</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2665</v>
      </c>
      <c r="B23" s="2239" t="s">
        <v>2666</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2667</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2668</v>
      </c>
      <c r="C24" s="863">
        <f>SUMIF(A45:A88,E2,B45:B88)</f>
        <v>1.0096000000000001</v>
      </c>
      <c r="D24" s="2218"/>
      <c r="E24" s="2245"/>
      <c r="F24" s="2245"/>
      <c r="G24" s="2245"/>
      <c r="H24" s="2245"/>
      <c r="I24" s="2245"/>
      <c r="J24" s="2246"/>
      <c r="K24" s="1259"/>
      <c r="L24" s="2989"/>
      <c r="M24" s="2989"/>
      <c r="N24" s="2247" t="s">
        <v>2669</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2670</v>
      </c>
      <c r="C25" s="869"/>
      <c r="D25" s="2182"/>
      <c r="E25" s="2182"/>
      <c r="F25" s="2249"/>
      <c r="G25" s="2182"/>
      <c r="H25" s="2182"/>
      <c r="I25" s="2182"/>
      <c r="J25" s="2183"/>
      <c r="K25" s="1252"/>
      <c r="L25" s="2153"/>
      <c r="M25" s="2153"/>
      <c r="N25" s="2984" t="s">
        <v>2671</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2672</v>
      </c>
      <c r="C26" s="2512">
        <f>IF(B21="容积率修正",E29+SUM(E33:E39),SUM(V2:V16)+SUM(E33:E39))</f>
        <v>2569</v>
      </c>
      <c r="D26" s="2251"/>
      <c r="E26" s="2207"/>
      <c r="F26" s="2252"/>
      <c r="G26" s="2207"/>
      <c r="H26" s="2207"/>
      <c r="I26" s="2207"/>
      <c r="J26" s="2253"/>
      <c r="K26" s="1252"/>
      <c r="L26" s="2987" t="s">
        <v>2571</v>
      </c>
      <c r="M26" s="2180" t="s">
        <v>2636</v>
      </c>
      <c r="N26" s="2180" t="s">
        <v>2637</v>
      </c>
      <c r="O26" s="2180" t="s">
        <v>2638</v>
      </c>
      <c r="P26" s="2988" t="s">
        <v>2639</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2673</v>
      </c>
      <c r="C27" s="870">
        <f>E30+SUM(I33:I39)</f>
        <v>0</v>
      </c>
      <c r="D27" s="2255"/>
      <c r="E27" s="2256"/>
      <c r="F27" s="2257"/>
      <c r="G27" s="2256"/>
      <c r="H27" s="2256"/>
      <c r="I27" s="2256"/>
      <c r="J27" s="2258"/>
      <c r="K27" s="1252"/>
      <c r="L27" s="2213" t="s">
        <v>2643</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2674</v>
      </c>
      <c r="C28" s="2261" t="s">
        <v>2675</v>
      </c>
      <c r="D28" s="2261" t="s">
        <v>2676</v>
      </c>
      <c r="E28" s="2262" t="s">
        <v>2677</v>
      </c>
      <c r="F28" s="2263"/>
      <c r="G28" s="2195"/>
      <c r="H28" s="2195"/>
      <c r="I28" s="2195"/>
      <c r="J28" s="2196"/>
      <c r="K28" s="1252"/>
      <c r="L28" s="2214" t="s">
        <v>2646</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2678</v>
      </c>
      <c r="C29" s="180">
        <f>ROUND(C5*C18*C19*C20*C21*C24,0)</f>
        <v>1106</v>
      </c>
      <c r="D29" s="2266">
        <f>'数据-基础表'!I5</f>
        <v>23225</v>
      </c>
      <c r="E29" s="879">
        <f>ROUND(C29*D29/10000,0)</f>
        <v>2569</v>
      </c>
      <c r="F29" s="2267" t="s">
        <v>2679</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2680</v>
      </c>
      <c r="C30" s="193">
        <f>ROUND(IF(E2="工业",C29*M39,C29*M38),0)</f>
        <v>166</v>
      </c>
      <c r="D30" s="2272"/>
      <c r="E30" s="879">
        <f>ROUND(C30*D30/10000,0)</f>
        <v>0</v>
      </c>
      <c r="F30" s="2273" t="s">
        <v>2681</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2682</v>
      </c>
      <c r="C31" s="2278" t="s">
        <v>2683</v>
      </c>
      <c r="D31" s="2195"/>
      <c r="E31" s="2278"/>
      <c r="F31" s="2278"/>
      <c r="G31" s="2193" t="s">
        <v>2684</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2675</v>
      </c>
      <c r="D32" s="455" t="s">
        <v>2676</v>
      </c>
      <c r="E32" s="455" t="s">
        <v>2677</v>
      </c>
      <c r="F32" s="348" t="s">
        <v>2685</v>
      </c>
      <c r="G32" s="2281" t="s">
        <v>2675</v>
      </c>
      <c r="H32" s="2281" t="s">
        <v>2676</v>
      </c>
      <c r="I32" s="2281" t="s">
        <v>2677</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6"/>
      <c r="B33" s="2282" t="s">
        <v>2686</v>
      </c>
      <c r="C33" s="180">
        <f>ROUND(D5*C19*C20*C24*F33,0)</f>
        <v>531</v>
      </c>
      <c r="D33" s="2266"/>
      <c r="E33" s="176">
        <f>ROUND(C33*D33/10000,0)</f>
        <v>0</v>
      </c>
      <c r="F33" s="176">
        <f>SUMIF(修正!A45:A56,G2,修正!B45:B56)</f>
        <v>0.6</v>
      </c>
      <c r="G33" s="176">
        <f t="shared" ref="G33" si="6">ROUND(IF(E2="工业",C33*$M$39,C33*$M$38),0)</f>
        <v>80</v>
      </c>
      <c r="H33" s="176">
        <f>D33</f>
        <v>0</v>
      </c>
      <c r="I33" s="176">
        <f>ROUND(G33*H33/10000,0)</f>
        <v>0</v>
      </c>
      <c r="J33" s="3521" t="s">
        <v>2992</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7"/>
      <c r="B34" s="2199" t="s">
        <v>2687</v>
      </c>
      <c r="C34" s="180">
        <f>ROUND(D5*C19*C20*C24*F34,0)</f>
        <v>265</v>
      </c>
      <c r="D34" s="2266"/>
      <c r="E34" s="176">
        <f t="shared" ref="E34:E39" si="7">ROUND(C34*D34/10000,0)</f>
        <v>0</v>
      </c>
      <c r="F34" s="176">
        <f>SUMIF(修正!A45:A56,G2,修正!C45:C56)</f>
        <v>0.3</v>
      </c>
      <c r="G34" s="176">
        <f>ROUND(IF(E2="工业",C34*$M$39,C34*$M$38),0)</f>
        <v>40</v>
      </c>
      <c r="H34" s="176">
        <f t="shared" ref="H34:H39" si="8">D34</f>
        <v>0</v>
      </c>
      <c r="I34" s="176">
        <f t="shared" ref="I34:I39" si="9">ROUND(G34*H34/10000,0)</f>
        <v>0</v>
      </c>
      <c r="J34" s="351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7"/>
      <c r="B35" s="2199" t="s">
        <v>2688</v>
      </c>
      <c r="C35" s="180">
        <f>ROUND(D5*C19*C20*C24*F35,0)</f>
        <v>177</v>
      </c>
      <c r="D35" s="2266"/>
      <c r="E35" s="176">
        <f t="shared" si="7"/>
        <v>0</v>
      </c>
      <c r="F35" s="176">
        <f>SUMIF(修正!A45:A56,G2,修正!D45:D56)</f>
        <v>0.2</v>
      </c>
      <c r="G35" s="176">
        <f>ROUND(IF(E2="工业",C35*$M$39,C35*$M$38),0)</f>
        <v>27</v>
      </c>
      <c r="H35" s="176">
        <f t="shared" si="8"/>
        <v>0</v>
      </c>
      <c r="I35" s="176">
        <f t="shared" si="9"/>
        <v>0</v>
      </c>
      <c r="J35" s="351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8"/>
      <c r="B36" s="2199" t="s">
        <v>2689</v>
      </c>
      <c r="C36" s="180">
        <f>ROUND(D5*C19*C20*C24*F36,0)</f>
        <v>177</v>
      </c>
      <c r="D36" s="2266"/>
      <c r="E36" s="176">
        <f t="shared" si="7"/>
        <v>0</v>
      </c>
      <c r="F36" s="176">
        <f>SUMIF(修正!A45:A56,G2,修正!E45:E56)</f>
        <v>0.2</v>
      </c>
      <c r="G36" s="176">
        <f>ROUND(IF(E2="工业",C36*$M$39,C36*$M$38),0)</f>
        <v>27</v>
      </c>
      <c r="H36" s="176">
        <f t="shared" si="8"/>
        <v>0</v>
      </c>
      <c r="I36" s="176">
        <f t="shared" si="9"/>
        <v>0</v>
      </c>
      <c r="J36" s="351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2690</v>
      </c>
      <c r="C37" s="176">
        <f>ROUND(D5*C19*C20*C24*F37,0)</f>
        <v>177</v>
      </c>
      <c r="D37" s="2266"/>
      <c r="E37" s="176">
        <f t="shared" si="7"/>
        <v>0</v>
      </c>
      <c r="F37" s="180">
        <f>SUMIF(修正!A45:A56,G2,修正!F45:F56)</f>
        <v>0.2</v>
      </c>
      <c r="G37" s="176">
        <f>ROUND(IF(E2="工业",C37*$M$39,C37*$M$38),0)</f>
        <v>27</v>
      </c>
      <c r="H37" s="176">
        <f t="shared" si="8"/>
        <v>0</v>
      </c>
      <c r="I37" s="176">
        <f t="shared" si="9"/>
        <v>0</v>
      </c>
      <c r="J37" s="2283"/>
      <c r="K37" s="1252"/>
      <c r="L37" s="2285" t="s">
        <v>2691</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2692</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2693</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2694</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2639</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2799</v>
      </c>
      <c r="C41" s="348">
        <f>ROUND(POWER(1+E41,H41-G41)*(POWER(1+E41,G41)-1)/(POWER(1+E41,H41)-1),4)</f>
        <v>0</v>
      </c>
      <c r="D41" s="176" t="s">
        <v>2646</v>
      </c>
      <c r="E41" s="2339">
        <f>G20</f>
        <v>4.8000000000000001E-2</v>
      </c>
      <c r="F41" s="176" t="s">
        <v>2655</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2695</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2696</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2697</v>
      </c>
      <c r="B47" s="1505" t="s">
        <v>2698</v>
      </c>
      <c r="C47" s="1505" t="s">
        <v>2699</v>
      </c>
      <c r="D47" s="1505" t="s">
        <v>2700</v>
      </c>
      <c r="E47" s="758" t="s">
        <v>2701</v>
      </c>
      <c r="F47" s="2300" t="s">
        <v>2702</v>
      </c>
      <c r="G47" s="1505" t="s">
        <v>754</v>
      </c>
      <c r="H47" s="2301" t="s">
        <v>2703</v>
      </c>
      <c r="I47" s="1505" t="s">
        <v>2704</v>
      </c>
      <c r="J47" s="560" t="s">
        <v>2355</v>
      </c>
      <c r="K47" s="560" t="s">
        <v>2356</v>
      </c>
      <c r="L47" s="560" t="s">
        <v>2357</v>
      </c>
      <c r="M47" s="560" t="s">
        <v>2358</v>
      </c>
      <c r="N47" s="560" t="s">
        <v>2359</v>
      </c>
      <c r="AA47" s="1253"/>
      <c r="AB47" s="1253"/>
      <c r="AC47" s="1253"/>
      <c r="AD47" s="1253"/>
      <c r="AE47" s="1253"/>
      <c r="AF47" s="1253"/>
      <c r="AG47" s="1253"/>
      <c r="AH47" s="1253"/>
      <c r="AI47" s="1253"/>
      <c r="AJ47" s="1253"/>
      <c r="AK47" s="1253"/>
    </row>
    <row r="48" spans="1:37" s="1252" customFormat="1" ht="38.25">
      <c r="A48" s="2299" t="s">
        <v>2705</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2706</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2707</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2708</v>
      </c>
      <c r="B51" s="2304" t="s">
        <v>2709</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2710</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2711</v>
      </c>
      <c r="B53" s="2305" t="s">
        <v>2712</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2713</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2714</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2715</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2716</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2697</v>
      </c>
      <c r="B58" s="1505"/>
      <c r="C58" s="1505" t="s">
        <v>2699</v>
      </c>
      <c r="D58" s="1505" t="s">
        <v>2700</v>
      </c>
      <c r="E58" s="758" t="s">
        <v>2701</v>
      </c>
      <c r="F58" s="2300" t="s">
        <v>2717</v>
      </c>
      <c r="G58" s="1505" t="s">
        <v>754</v>
      </c>
      <c r="H58" s="2301" t="s">
        <v>2703</v>
      </c>
      <c r="I58" s="1505" t="s">
        <v>2704</v>
      </c>
      <c r="J58" s="560" t="s">
        <v>2355</v>
      </c>
      <c r="K58" s="560" t="s">
        <v>2356</v>
      </c>
      <c r="L58" s="560" t="s">
        <v>2357</v>
      </c>
      <c r="M58" s="560" t="s">
        <v>2358</v>
      </c>
      <c r="N58" s="560" t="s">
        <v>2359</v>
      </c>
      <c r="AA58" s="1253"/>
      <c r="AB58" s="1253"/>
      <c r="AC58" s="1253"/>
      <c r="AD58" s="1253"/>
      <c r="AE58" s="1253"/>
      <c r="AF58" s="1253"/>
      <c r="AG58" s="1253"/>
      <c r="AH58" s="1253"/>
      <c r="AI58" s="1253"/>
      <c r="AJ58" s="1253"/>
      <c r="AK58" s="1253"/>
    </row>
    <row r="59" spans="1:37" s="1252" customFormat="1" ht="38.25">
      <c r="A59" s="2299" t="s">
        <v>2718</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2706</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2707</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2708</v>
      </c>
      <c r="B62" s="2304" t="s">
        <v>2709</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2710</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2711</v>
      </c>
      <c r="B64" s="2305" t="s">
        <v>2712</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2713</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2714</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2715</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2719</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2697</v>
      </c>
      <c r="B69" s="1505"/>
      <c r="C69" s="1505" t="s">
        <v>2699</v>
      </c>
      <c r="D69" s="1505" t="s">
        <v>2700</v>
      </c>
      <c r="E69" s="758" t="s">
        <v>2701</v>
      </c>
      <c r="F69" s="2300" t="s">
        <v>2717</v>
      </c>
      <c r="G69" s="1505" t="s">
        <v>754</v>
      </c>
      <c r="H69" s="2301" t="s">
        <v>2703</v>
      </c>
      <c r="I69" s="1505" t="s">
        <v>2704</v>
      </c>
      <c r="J69" s="560" t="s">
        <v>2355</v>
      </c>
      <c r="K69" s="560" t="s">
        <v>2356</v>
      </c>
      <c r="L69" s="560" t="s">
        <v>2357</v>
      </c>
      <c r="M69" s="560" t="s">
        <v>2358</v>
      </c>
      <c r="N69" s="560" t="s">
        <v>2359</v>
      </c>
      <c r="AA69" s="1253"/>
      <c r="AB69" s="1253"/>
      <c r="AC69" s="1253"/>
      <c r="AD69" s="1253"/>
      <c r="AE69" s="1253"/>
      <c r="AF69" s="1253"/>
      <c r="AG69" s="1253"/>
      <c r="AH69" s="1253"/>
      <c r="AI69" s="1253"/>
      <c r="AJ69" s="1253"/>
      <c r="AK69" s="1253"/>
    </row>
    <row r="70" spans="1:37" s="1252" customFormat="1" ht="51">
      <c r="A70" s="2299" t="s">
        <v>2720</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2706</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2707</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2721</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2713</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2714</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2711</v>
      </c>
      <c r="B76" s="2305" t="s">
        <v>2712</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2715</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2722</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2723</v>
      </c>
      <c r="B79" s="2296">
        <f>1+E81</f>
        <v>1.0096000000000001</v>
      </c>
      <c r="C79" s="753"/>
      <c r="D79" s="753"/>
      <c r="E79" s="754"/>
      <c r="F79" s="2298"/>
      <c r="G79" s="6"/>
      <c r="H79" s="6"/>
      <c r="I79" s="6"/>
      <c r="J79" s="7"/>
      <c r="K79" s="7"/>
      <c r="L79" s="7"/>
      <c r="M79" s="7"/>
      <c r="N79" s="7"/>
      <c r="Z79" s="2154"/>
      <c r="AA79" s="2220"/>
      <c r="AG79" s="1254"/>
      <c r="AK79" s="2220"/>
    </row>
    <row r="80" spans="1:37" ht="24.75">
      <c r="A80" s="2299" t="s">
        <v>2697</v>
      </c>
      <c r="B80" s="1505"/>
      <c r="C80" s="1505" t="s">
        <v>2699</v>
      </c>
      <c r="D80" s="1505" t="s">
        <v>2700</v>
      </c>
      <c r="E80" s="758" t="s">
        <v>2701</v>
      </c>
      <c r="F80" s="2300" t="s">
        <v>2717</v>
      </c>
      <c r="G80" s="1505" t="s">
        <v>754</v>
      </c>
      <c r="H80" s="2301" t="s">
        <v>2703</v>
      </c>
      <c r="I80" s="1505" t="s">
        <v>2704</v>
      </c>
      <c r="J80" s="560" t="s">
        <v>2355</v>
      </c>
      <c r="K80" s="560" t="s">
        <v>2356</v>
      </c>
      <c r="L80" s="560" t="s">
        <v>2357</v>
      </c>
      <c r="M80" s="560" t="s">
        <v>2358</v>
      </c>
      <c r="N80" s="560" t="s">
        <v>2359</v>
      </c>
      <c r="Z80" s="2154"/>
      <c r="AA80" s="2220"/>
      <c r="AG80" s="1254"/>
      <c r="AK80" s="2220"/>
    </row>
    <row r="81" spans="1:37" ht="38.25">
      <c r="A81" s="2299" t="s">
        <v>2724</v>
      </c>
      <c r="B81" s="2303" t="str">
        <f>估价对象房地状况!G15</f>
        <v>估价对象位于XX开发区，园区建设成熟度XX，产业集聚程度XX</v>
      </c>
      <c r="C81" s="2204" t="s">
        <v>3159</v>
      </c>
      <c r="D81" s="1196">
        <f t="shared" ref="D81:D88" si="25">SUMIF($J$80:$N$80,C81,J81:N81)</f>
        <v>1.9199999999999998E-2</v>
      </c>
      <c r="E81" s="760">
        <f>ROUND(SUM(D81:D88),4)</f>
        <v>9.5999999999999992E-3</v>
      </c>
      <c r="F81" s="1970">
        <f>IF(E2="工业",SUMIF(L1:L12,G2,N1:N12),"——")</f>
        <v>0.14799999999999999</v>
      </c>
      <c r="G81" s="1194">
        <v>1.9199999999999998E-2</v>
      </c>
      <c r="H81" s="1198">
        <f t="shared" ref="H81:H88" si="26">IFERROR(ROUNDDOWN($F$81*I81/2,4),"——")</f>
        <v>1.9199999999999998E-2</v>
      </c>
      <c r="I81" s="759">
        <v>0.26</v>
      </c>
      <c r="J81" s="1195">
        <f t="shared" ref="J81:J88" si="27">K81+$G81</f>
        <v>3.8399999999999997E-2</v>
      </c>
      <c r="K81" s="1195">
        <f t="shared" ref="K81:K88" si="28">$L81+$G81</f>
        <v>1.9199999999999998E-2</v>
      </c>
      <c r="L81" s="1195">
        <v>0</v>
      </c>
      <c r="M81" s="1195">
        <f t="shared" ref="M81:N88" si="29">L81-$G81</f>
        <v>-1.9199999999999998E-2</v>
      </c>
      <c r="N81" s="1195">
        <f t="shared" si="29"/>
        <v>-3.8399999999999997E-2</v>
      </c>
      <c r="Z81" s="2154"/>
      <c r="AA81" s="2220"/>
      <c r="AG81" s="1254"/>
      <c r="AK81" s="2220"/>
    </row>
    <row r="82" spans="1:37" ht="51">
      <c r="A82" s="2299" t="s">
        <v>2706</v>
      </c>
      <c r="B82" s="2303" t="str">
        <f>估价对象房地状况!G16</f>
        <v>估价对象周边道路状况、公共交通通达情况、停车便捷程度，综合评价交通便捷度较好</v>
      </c>
      <c r="C82" s="2204" t="s">
        <v>3157</v>
      </c>
      <c r="D82" s="1196">
        <f t="shared" si="25"/>
        <v>-2.4400000000000002E-2</v>
      </c>
      <c r="E82" s="765"/>
      <c r="F82" s="1970"/>
      <c r="G82" s="1194">
        <v>2.4400000000000002E-2</v>
      </c>
      <c r="H82" s="1198">
        <f t="shared" si="26"/>
        <v>2.4400000000000002E-2</v>
      </c>
      <c r="I82" s="759">
        <v>0.33</v>
      </c>
      <c r="J82" s="1195">
        <f t="shared" si="27"/>
        <v>4.8800000000000003E-2</v>
      </c>
      <c r="K82" s="1195">
        <f t="shared" si="28"/>
        <v>2.4400000000000002E-2</v>
      </c>
      <c r="L82" s="1195">
        <v>0</v>
      </c>
      <c r="M82" s="1195">
        <f t="shared" si="29"/>
        <v>-2.4400000000000002E-2</v>
      </c>
      <c r="N82" s="1195">
        <f t="shared" si="29"/>
        <v>-4.8800000000000003E-2</v>
      </c>
      <c r="Z82" s="2154"/>
      <c r="AA82" s="2220"/>
      <c r="AG82" s="1254"/>
      <c r="AK82" s="2220"/>
    </row>
    <row r="83" spans="1:37" ht="24">
      <c r="A83" s="2299" t="s">
        <v>2707</v>
      </c>
      <c r="B83" s="2303">
        <f>估价对象房地状况!G17</f>
        <v>0</v>
      </c>
      <c r="C83" s="2204"/>
      <c r="D83" s="1196">
        <f t="shared" si="25"/>
        <v>0</v>
      </c>
      <c r="E83" s="765"/>
      <c r="F83" s="1970"/>
      <c r="G83" s="1194">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54"/>
      <c r="AA83" s="2220"/>
      <c r="AG83" s="1254"/>
      <c r="AK83" s="2220"/>
    </row>
    <row r="84" spans="1:37" ht="14.25">
      <c r="A84" s="2299" t="s">
        <v>2721</v>
      </c>
      <c r="B84" s="2303">
        <f>估价对象房地状况!G22</f>
        <v>0</v>
      </c>
      <c r="C84" s="2204"/>
      <c r="D84" s="1196">
        <f t="shared" si="25"/>
        <v>0</v>
      </c>
      <c r="E84" s="765"/>
      <c r="F84" s="1970"/>
      <c r="G84" s="1194">
        <v>2.8999999999999998E-3</v>
      </c>
      <c r="H84" s="1198">
        <f t="shared" si="26"/>
        <v>2.8999999999999998E-3</v>
      </c>
      <c r="I84" s="759">
        <v>0.04</v>
      </c>
      <c r="J84" s="1195">
        <f t="shared" si="27"/>
        <v>5.7999999999999996E-3</v>
      </c>
      <c r="K84" s="1195">
        <f t="shared" si="28"/>
        <v>2.8999999999999998E-3</v>
      </c>
      <c r="L84" s="1195">
        <v>0</v>
      </c>
      <c r="M84" s="1195">
        <f t="shared" si="29"/>
        <v>-2.8999999999999998E-3</v>
      </c>
      <c r="N84" s="1195">
        <f t="shared" si="29"/>
        <v>-5.7999999999999996E-3</v>
      </c>
      <c r="Z84" s="2154"/>
      <c r="AA84" s="2220"/>
      <c r="AG84" s="1254"/>
      <c r="AK84" s="2220"/>
    </row>
    <row r="85" spans="1:37" ht="25.5">
      <c r="A85" s="2299" t="s">
        <v>2713</v>
      </c>
      <c r="B85" s="1466" t="str">
        <f>估价对象房地状况!G19</f>
        <v>估价对象所在区域公共配套设施齐备情况</v>
      </c>
      <c r="C85" s="2204" t="s">
        <v>3158</v>
      </c>
      <c r="D85" s="1196">
        <f t="shared" si="25"/>
        <v>0</v>
      </c>
      <c r="E85" s="765"/>
      <c r="F85" s="1970"/>
      <c r="G85" s="1194">
        <v>4.4000000000000003E-3</v>
      </c>
      <c r="H85" s="1198">
        <f t="shared" si="26"/>
        <v>4.4000000000000003E-3</v>
      </c>
      <c r="I85" s="759">
        <v>0.06</v>
      </c>
      <c r="J85" s="1195">
        <f t="shared" si="27"/>
        <v>8.8000000000000005E-3</v>
      </c>
      <c r="K85" s="1195">
        <f t="shared" si="28"/>
        <v>4.4000000000000003E-3</v>
      </c>
      <c r="L85" s="1195">
        <v>0</v>
      </c>
      <c r="M85" s="1195">
        <f t="shared" si="29"/>
        <v>-4.4000000000000003E-3</v>
      </c>
      <c r="N85" s="1195">
        <f t="shared" si="29"/>
        <v>-8.8000000000000005E-3</v>
      </c>
      <c r="Z85" s="2154"/>
      <c r="AA85" s="2220"/>
      <c r="AG85" s="1254"/>
      <c r="AK85" s="2220"/>
    </row>
    <row r="86" spans="1:37" ht="25.5">
      <c r="A86" s="2299" t="s">
        <v>2714</v>
      </c>
      <c r="B86" s="1466" t="str">
        <f>估价对象房地状况!G20</f>
        <v>估价对象所在区域基础设施水平</v>
      </c>
      <c r="C86" s="2204" t="s">
        <v>3159</v>
      </c>
      <c r="D86" s="1196">
        <f t="shared" si="25"/>
        <v>1.11E-2</v>
      </c>
      <c r="E86" s="765"/>
      <c r="F86" s="1970"/>
      <c r="G86" s="1194">
        <v>1.11E-2</v>
      </c>
      <c r="H86" s="1198">
        <f t="shared" si="26"/>
        <v>1.11E-2</v>
      </c>
      <c r="I86" s="759">
        <v>0.15</v>
      </c>
      <c r="J86" s="1195">
        <f t="shared" si="27"/>
        <v>2.2200000000000001E-2</v>
      </c>
      <c r="K86" s="1195">
        <f t="shared" si="28"/>
        <v>1.11E-2</v>
      </c>
      <c r="L86" s="1195">
        <v>0</v>
      </c>
      <c r="M86" s="1195">
        <f t="shared" si="29"/>
        <v>-1.11E-2</v>
      </c>
      <c r="N86" s="1195">
        <f t="shared" si="29"/>
        <v>-2.2200000000000001E-2</v>
      </c>
      <c r="Z86" s="2154"/>
      <c r="AA86" s="2220"/>
      <c r="AG86" s="1254"/>
      <c r="AK86" s="2220"/>
    </row>
    <row r="87" spans="1:37" ht="24">
      <c r="A87" s="2299" t="s">
        <v>2711</v>
      </c>
      <c r="B87" s="2305" t="s">
        <v>2725</v>
      </c>
      <c r="C87" s="2204" t="s">
        <v>3159</v>
      </c>
      <c r="D87" s="1196">
        <f t="shared" si="25"/>
        <v>3.7000000000000002E-3</v>
      </c>
      <c r="E87" s="765"/>
      <c r="F87" s="1970"/>
      <c r="G87" s="1194">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54"/>
      <c r="AA87" s="2220"/>
      <c r="AG87" s="1254"/>
      <c r="AK87" s="2220"/>
    </row>
    <row r="88" spans="1:37" ht="39" thickBot="1">
      <c r="A88" s="2307" t="s">
        <v>2726</v>
      </c>
      <c r="B88" s="2312" t="str">
        <f>估价对象房地状况!G18</f>
        <v>该园区内是否有污染型企业，绿化情况，卫生条件，整体环境状况判断</v>
      </c>
      <c r="C88" s="2204" t="s">
        <v>3158</v>
      </c>
      <c r="D88" s="1196">
        <f t="shared" si="25"/>
        <v>0</v>
      </c>
      <c r="E88" s="766"/>
      <c r="F88" s="1970"/>
      <c r="G88" s="1194">
        <v>4.4000000000000003E-3</v>
      </c>
      <c r="H88" s="1198">
        <f t="shared" si="26"/>
        <v>4.4000000000000003E-3</v>
      </c>
      <c r="I88" s="763">
        <v>0.06</v>
      </c>
      <c r="J88" s="1195">
        <f t="shared" si="27"/>
        <v>8.8000000000000005E-3</v>
      </c>
      <c r="K88" s="1195">
        <f t="shared" si="28"/>
        <v>4.4000000000000003E-3</v>
      </c>
      <c r="L88" s="1195">
        <v>0</v>
      </c>
      <c r="M88" s="1195">
        <f t="shared" si="29"/>
        <v>-4.4000000000000003E-3</v>
      </c>
      <c r="N88" s="1195">
        <f t="shared" si="29"/>
        <v>-8.8000000000000005E-3</v>
      </c>
      <c r="Z88" s="2154"/>
      <c r="AA88" s="2220"/>
      <c r="AG88" s="1254"/>
      <c r="AK88" s="2220"/>
    </row>
    <row r="90" spans="1:37">
      <c r="A90" s="3508" t="s">
        <v>2727</v>
      </c>
      <c r="B90" s="3508"/>
      <c r="C90" s="3508"/>
      <c r="D90" s="3508"/>
      <c r="E90" s="3508"/>
      <c r="F90" s="3508"/>
      <c r="G90" s="3508"/>
      <c r="H90" s="3508"/>
      <c r="I90" s="3508"/>
      <c r="J90" s="3508"/>
      <c r="K90" s="2313"/>
      <c r="L90" s="2313"/>
      <c r="M90" s="2313"/>
      <c r="N90" s="2313"/>
    </row>
    <row r="91" spans="1:37">
      <c r="A91" s="3510" t="s">
        <v>2728</v>
      </c>
      <c r="B91" s="3510" t="s">
        <v>2729</v>
      </c>
      <c r="C91" s="2267" t="s">
        <v>2730</v>
      </c>
      <c r="D91" s="2268"/>
      <c r="E91" s="2268"/>
      <c r="F91" s="2268"/>
      <c r="G91" s="2268"/>
      <c r="H91" s="2268"/>
      <c r="I91" s="2268"/>
      <c r="J91" s="2314"/>
      <c r="K91" s="2315"/>
      <c r="L91" s="2315"/>
      <c r="M91" s="2315"/>
      <c r="N91" s="2315"/>
    </row>
    <row r="92" spans="1:37">
      <c r="A92" s="3510"/>
      <c r="B92" s="3510"/>
      <c r="C92" s="879" t="s">
        <v>2598</v>
      </c>
      <c r="D92" s="879" t="s">
        <v>2599</v>
      </c>
      <c r="E92" s="879" t="s">
        <v>2600</v>
      </c>
      <c r="F92" s="879" t="s">
        <v>2601</v>
      </c>
      <c r="G92" s="879" t="s">
        <v>2602</v>
      </c>
      <c r="H92" s="879" t="s">
        <v>2603</v>
      </c>
      <c r="I92" s="879" t="s">
        <v>2604</v>
      </c>
      <c r="J92" s="879" t="s">
        <v>2605</v>
      </c>
      <c r="K92" s="879" t="s">
        <v>2606</v>
      </c>
      <c r="L92" s="879" t="s">
        <v>2607</v>
      </c>
      <c r="M92" s="879" t="s">
        <v>2608</v>
      </c>
      <c r="N92" s="879" t="s">
        <v>2609</v>
      </c>
    </row>
    <row r="93" spans="1:37">
      <c r="A93" s="3511" t="s">
        <v>2731</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2"/>
      <c r="B99" s="2316" t="s">
        <v>2614</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1" t="s">
        <v>2732</v>
      </c>
      <c r="B101" s="2320" t="s">
        <v>2733</v>
      </c>
      <c r="C101" s="2321">
        <f>$G$3</f>
        <v>0.8</v>
      </c>
      <c r="D101" s="2321">
        <f t="shared" ref="D101:N101" si="31">$G$3</f>
        <v>0.8</v>
      </c>
      <c r="E101" s="2321">
        <f t="shared" si="31"/>
        <v>0.8</v>
      </c>
      <c r="F101" s="2321">
        <f t="shared" si="31"/>
        <v>0.8</v>
      </c>
      <c r="G101" s="2321">
        <f t="shared" si="31"/>
        <v>0.8</v>
      </c>
      <c r="H101" s="2321">
        <f t="shared" si="31"/>
        <v>0.8</v>
      </c>
      <c r="I101" s="2321">
        <f t="shared" si="31"/>
        <v>0.8</v>
      </c>
      <c r="J101" s="2321">
        <f t="shared" si="31"/>
        <v>0.8</v>
      </c>
      <c r="K101" s="2321">
        <f t="shared" si="31"/>
        <v>0.8</v>
      </c>
      <c r="L101" s="2321">
        <f t="shared" si="31"/>
        <v>0.8</v>
      </c>
      <c r="M101" s="2321">
        <f t="shared" si="31"/>
        <v>0.8</v>
      </c>
      <c r="N101" s="2321">
        <f t="shared" si="31"/>
        <v>0.8</v>
      </c>
    </row>
    <row r="102" spans="1:14">
      <c r="A102" s="3512"/>
      <c r="B102" s="2316">
        <v>1</v>
      </c>
      <c r="C102" s="2317">
        <f>1.9362/C101</f>
        <v>2.4202499999999998</v>
      </c>
      <c r="D102" s="2317">
        <f>1.9362/D101</f>
        <v>2.4202499999999998</v>
      </c>
      <c r="E102" s="2317">
        <f>1.8629/E101</f>
        <v>2.3286249999999997</v>
      </c>
      <c r="F102" s="2317">
        <f>1.8629/F101</f>
        <v>2.3286249999999997</v>
      </c>
      <c r="G102" s="2317">
        <f>1.8629/G101</f>
        <v>2.3286249999999997</v>
      </c>
      <c r="H102" s="2317">
        <f>1.8629/H101</f>
        <v>2.3286249999999997</v>
      </c>
      <c r="I102" s="2317">
        <f>1.8629/I101</f>
        <v>2.3286249999999997</v>
      </c>
      <c r="J102" s="2317">
        <f>1.942/J101</f>
        <v>2.4274999999999998</v>
      </c>
      <c r="K102" s="2317">
        <f>1.942/K101</f>
        <v>2.4274999999999998</v>
      </c>
      <c r="L102" s="2317">
        <f>1.942/L101</f>
        <v>2.4274999999999998</v>
      </c>
      <c r="M102" s="2317">
        <f>1.942/M101</f>
        <v>2.4274999999999998</v>
      </c>
      <c r="N102" s="2317">
        <f>1.942/N101</f>
        <v>2.4274999999999998</v>
      </c>
    </row>
    <row r="103" spans="1:14">
      <c r="A103" s="3512"/>
      <c r="B103" s="2316">
        <v>2</v>
      </c>
      <c r="C103" s="2317">
        <f>1.4198/C101</f>
        <v>1.7747499999999998</v>
      </c>
      <c r="D103" s="2317">
        <f>1.4198/D101</f>
        <v>1.7747499999999998</v>
      </c>
      <c r="E103" s="2317">
        <f>1.3372/E101</f>
        <v>1.6714999999999998</v>
      </c>
      <c r="F103" s="2317">
        <f>1.3372/F101</f>
        <v>1.6714999999999998</v>
      </c>
      <c r="G103" s="2317">
        <f>1.3372/G101</f>
        <v>1.6714999999999998</v>
      </c>
      <c r="H103" s="2317">
        <f>1.3372/H101</f>
        <v>1.6714999999999998</v>
      </c>
      <c r="I103" s="2317">
        <f>1.3372/I101</f>
        <v>1.6714999999999998</v>
      </c>
      <c r="J103" s="2317">
        <f>1.2799/J101</f>
        <v>1.5998749999999999</v>
      </c>
      <c r="K103" s="2317">
        <f>1.2799/K101</f>
        <v>1.5998749999999999</v>
      </c>
      <c r="L103" s="2317">
        <f>1.2799/L101</f>
        <v>1.5998749999999999</v>
      </c>
      <c r="M103" s="2317">
        <f>1.2799/M101</f>
        <v>1.5998749999999999</v>
      </c>
      <c r="N103" s="2317">
        <f>1.2799/N101</f>
        <v>1.5998749999999999</v>
      </c>
    </row>
    <row r="104" spans="1:14">
      <c r="A104" s="3512"/>
      <c r="B104" s="2316">
        <v>3</v>
      </c>
      <c r="C104" s="2317">
        <f>1.1594/C101</f>
        <v>1.4492499999999999</v>
      </c>
      <c r="D104" s="2317">
        <f>1.1594/D101</f>
        <v>1.4492499999999999</v>
      </c>
      <c r="E104" s="2317">
        <f>1.0788/E101</f>
        <v>1.3484999999999998</v>
      </c>
      <c r="F104" s="2317">
        <f>1.0788/F101</f>
        <v>1.3484999999999998</v>
      </c>
      <c r="G104" s="2317">
        <f>1.0788/G101</f>
        <v>1.3484999999999998</v>
      </c>
      <c r="H104" s="2317">
        <f>1.0788/H101</f>
        <v>1.3484999999999998</v>
      </c>
      <c r="I104" s="2317">
        <f>1.0788/I101</f>
        <v>1.3484999999999998</v>
      </c>
      <c r="J104" s="2317">
        <f>1.0072/J101</f>
        <v>1.2590000000000001</v>
      </c>
      <c r="K104" s="2317">
        <f>1.0072/K101</f>
        <v>1.2590000000000001</v>
      </c>
      <c r="L104" s="2317">
        <f>1.0072/L101</f>
        <v>1.2590000000000001</v>
      </c>
      <c r="M104" s="2317">
        <f>1.0072/M101</f>
        <v>1.2590000000000001</v>
      </c>
      <c r="N104" s="2317">
        <f>1.0072/N101</f>
        <v>1.2590000000000001</v>
      </c>
    </row>
    <row r="105" spans="1:14">
      <c r="A105" s="3512"/>
      <c r="B105" s="2316">
        <v>4</v>
      </c>
      <c r="C105" s="2317">
        <f>0.9622/C101</f>
        <v>1.20275</v>
      </c>
      <c r="D105" s="2317">
        <f>0.9622/D101</f>
        <v>1.20275</v>
      </c>
      <c r="E105" s="2317">
        <f>0.8656/E101</f>
        <v>1.0820000000000001</v>
      </c>
      <c r="F105" s="2317">
        <f>0.8656/F101</f>
        <v>1.0820000000000001</v>
      </c>
      <c r="G105" s="2317">
        <f>0.8656/G101</f>
        <v>1.0820000000000001</v>
      </c>
      <c r="H105" s="2317">
        <f>0.8656/H101</f>
        <v>1.0820000000000001</v>
      </c>
      <c r="I105" s="2317">
        <f>0.8656/I101</f>
        <v>1.0820000000000001</v>
      </c>
      <c r="J105" s="2317">
        <f>0.7525/J101</f>
        <v>0.94062499999999993</v>
      </c>
      <c r="K105" s="2317">
        <f>0.7525/K101</f>
        <v>0.94062499999999993</v>
      </c>
      <c r="L105" s="2317">
        <f>0.7525/L101</f>
        <v>0.94062499999999993</v>
      </c>
      <c r="M105" s="2317">
        <f>0.7525/M101</f>
        <v>0.94062499999999993</v>
      </c>
      <c r="N105" s="2317">
        <f>0.7525/N101</f>
        <v>0.94062499999999993</v>
      </c>
    </row>
    <row r="106" spans="1:14">
      <c r="A106" s="3512"/>
      <c r="B106" s="2316">
        <v>5</v>
      </c>
      <c r="C106" s="2317">
        <f>0.8417/C101</f>
        <v>1.052125</v>
      </c>
      <c r="D106" s="2317">
        <f>0.8417/D101</f>
        <v>1.052125</v>
      </c>
      <c r="E106" s="2317">
        <f>0.7371/E101</f>
        <v>0.92137499999999994</v>
      </c>
      <c r="F106" s="2317">
        <f>0.7371/F101</f>
        <v>0.92137499999999994</v>
      </c>
      <c r="G106" s="2317">
        <f>0.7371/G101</f>
        <v>0.92137499999999994</v>
      </c>
      <c r="H106" s="2317">
        <f>0.7371/H101</f>
        <v>0.92137499999999994</v>
      </c>
      <c r="I106" s="2317">
        <f>0.7371/I101</f>
        <v>0.92137499999999994</v>
      </c>
      <c r="J106" s="2317">
        <f>0.5659/J101</f>
        <v>0.70737499999999986</v>
      </c>
      <c r="K106" s="2317">
        <f>0.5659/K101</f>
        <v>0.70737499999999986</v>
      </c>
      <c r="L106" s="2317">
        <f>0.5659/L101</f>
        <v>0.70737499999999986</v>
      </c>
      <c r="M106" s="2317">
        <f>0.5659/M101</f>
        <v>0.70737499999999986</v>
      </c>
      <c r="N106" s="2317">
        <f>0.5659/N101</f>
        <v>0.70737499999999986</v>
      </c>
    </row>
    <row r="107" spans="1:14">
      <c r="A107" s="3512"/>
      <c r="B107" s="2316">
        <v>6</v>
      </c>
      <c r="C107" s="2317">
        <f>0.7608/C101</f>
        <v>0.95099999999999996</v>
      </c>
      <c r="D107" s="2317">
        <f>0.7608/D101</f>
        <v>0.95099999999999996</v>
      </c>
      <c r="E107" s="2317">
        <f>0.6482/E101</f>
        <v>0.81024999999999991</v>
      </c>
      <c r="F107" s="2317">
        <f>0.6482/F101</f>
        <v>0.81024999999999991</v>
      </c>
      <c r="G107" s="2317">
        <f>0.6482/G101</f>
        <v>0.81024999999999991</v>
      </c>
      <c r="H107" s="2317">
        <f>0.6482/H101</f>
        <v>0.81024999999999991</v>
      </c>
      <c r="I107" s="2317">
        <f>0.6482/I101</f>
        <v>0.81024999999999991</v>
      </c>
      <c r="J107" s="2317">
        <f>0.4525/J101</f>
        <v>0.56562499999999993</v>
      </c>
      <c r="K107" s="2317">
        <f>0.4525/K101</f>
        <v>0.56562499999999993</v>
      </c>
      <c r="L107" s="2317">
        <f>0.4525/L101</f>
        <v>0.56562499999999993</v>
      </c>
      <c r="M107" s="2317">
        <f>0.4525/M101</f>
        <v>0.56562499999999993</v>
      </c>
      <c r="N107" s="2317">
        <f>0.4525/N101</f>
        <v>0.56562499999999993</v>
      </c>
    </row>
    <row r="108" spans="1:14">
      <c r="A108" s="3512"/>
      <c r="B108" s="3514" t="s">
        <v>2734</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3"/>
      <c r="B109" s="3515"/>
      <c r="C109" s="2319">
        <f>(-0.163*(C108^2)-0.59*C108+7617)*(10^(-4))/C101</f>
        <v>0.952125</v>
      </c>
      <c r="D109" s="2319">
        <f>(-0.163*(D108^2)-0.59*D108+7617)*(10^(-4))/D101</f>
        <v>0.952125</v>
      </c>
      <c r="E109" s="2319">
        <f>(-0.161*(E108^2)-7.509*E108+6533)*(10^(-4))/E101</f>
        <v>0.81662499999999993</v>
      </c>
      <c r="F109" s="2319">
        <f>(-0.161*(F108^2)-7.509*F108+6533)*(10^(-4))/F101</f>
        <v>0.81662499999999993</v>
      </c>
      <c r="G109" s="2319">
        <f>(-0.161*(G108^2)-7.509*G108+6533)*(10^(-4))/G101</f>
        <v>0.81662499999999993</v>
      </c>
      <c r="H109" s="2319">
        <f>(-0.161*(H108^2)-7.509*H108+6533)*(10^(-4))/H101</f>
        <v>0.81662499999999993</v>
      </c>
      <c r="I109" s="2319">
        <f>(-0.161*(I108^2)-7.509*I108+6533)*(10^(-4))/I101</f>
        <v>0.81662499999999993</v>
      </c>
      <c r="J109" s="2319">
        <f>(-0.214*(J108^2)-21.991*J108+4665)*(10^(-4))/J101</f>
        <v>0.583125</v>
      </c>
      <c r="K109" s="2319">
        <f>(-0.214*(K108^2)-21.991*K108+4665)*(10^(-4))/K101</f>
        <v>0.583125</v>
      </c>
      <c r="L109" s="2319">
        <f>(-0.214*(L108^2)-21.991*L108+4665)*(10^(-4))/L101</f>
        <v>0.583125</v>
      </c>
      <c r="M109" s="2319">
        <f>(-0.214*(M108^2)-21.991*M108+4665)*(10^(-4))/M101</f>
        <v>0.583125</v>
      </c>
      <c r="N109" s="2319">
        <f>(-0.214*(N108^2)-21.991*N108+4665)*(10^(-4))/N101</f>
        <v>0.583125</v>
      </c>
    </row>
    <row r="110" spans="1:14">
      <c r="A110" s="3509" t="s">
        <v>2735</v>
      </c>
      <c r="B110" s="3509"/>
      <c r="C110" s="3509"/>
      <c r="D110" s="3509"/>
      <c r="E110" s="3509"/>
      <c r="F110" s="3509"/>
      <c r="G110" s="3509"/>
      <c r="H110" s="3509"/>
      <c r="I110" s="3509"/>
      <c r="J110" s="3509"/>
      <c r="K110" s="2322"/>
      <c r="L110" s="2322"/>
      <c r="M110" s="2322"/>
      <c r="N110" s="2322"/>
    </row>
    <row r="112" spans="1:14" ht="13.5" thickBot="1"/>
    <row r="113" spans="1:13" ht="25.5" thickBot="1">
      <c r="A113" s="842" t="s">
        <v>2736</v>
      </c>
      <c r="B113" s="1197">
        <f>G3</f>
        <v>0.8</v>
      </c>
      <c r="C113" s="843" t="s">
        <v>2737</v>
      </c>
      <c r="D113" s="844">
        <f>SUMPRODUCT((A115:A118=F113)*(B114:M114=H113)*B115:M118)</f>
        <v>0.55579999999999996</v>
      </c>
      <c r="E113" s="2158" t="s">
        <v>2571</v>
      </c>
      <c r="F113" s="2324" t="str">
        <f>E2</f>
        <v>工业</v>
      </c>
      <c r="G113" s="2158" t="s">
        <v>2572</v>
      </c>
      <c r="H113" s="2324" t="str">
        <f>G2</f>
        <v>十级</v>
      </c>
      <c r="I113" s="2158"/>
      <c r="J113" s="2325"/>
      <c r="K113" s="2325"/>
      <c r="L113" s="2325"/>
      <c r="M113" s="2325"/>
    </row>
    <row r="114" spans="1:13">
      <c r="A114" s="847"/>
      <c r="B114" s="2326" t="s">
        <v>2738</v>
      </c>
      <c r="C114" s="2326" t="s">
        <v>2739</v>
      </c>
      <c r="D114" s="2326" t="s">
        <v>2740</v>
      </c>
      <c r="E114" s="2327" t="s">
        <v>2741</v>
      </c>
      <c r="F114" s="2327" t="s">
        <v>2742</v>
      </c>
      <c r="G114" s="2327" t="s">
        <v>2743</v>
      </c>
      <c r="H114" s="2328" t="s">
        <v>2744</v>
      </c>
      <c r="I114" s="2328" t="s">
        <v>2745</v>
      </c>
      <c r="J114" s="2329" t="s">
        <v>2746</v>
      </c>
      <c r="K114" s="2329" t="s">
        <v>2747</v>
      </c>
      <c r="L114" s="2329" t="s">
        <v>2748</v>
      </c>
      <c r="M114" s="2330" t="s">
        <v>2749</v>
      </c>
    </row>
    <row r="115" spans="1:13">
      <c r="A115" s="848" t="s">
        <v>2636</v>
      </c>
      <c r="B115" s="849">
        <f>ROUND(0.9335-0.0094*B113,4)</f>
        <v>0.92600000000000005</v>
      </c>
      <c r="C115" s="849">
        <f>B115</f>
        <v>0.92600000000000005</v>
      </c>
      <c r="D115" s="849">
        <f>ROUND(0.8331-0.0109*B113,4)</f>
        <v>0.82440000000000002</v>
      </c>
      <c r="E115" s="849">
        <f>D115</f>
        <v>0.82440000000000002</v>
      </c>
      <c r="F115" s="849">
        <f>E115</f>
        <v>0.82440000000000002</v>
      </c>
      <c r="G115" s="849">
        <f>F115</f>
        <v>0.82440000000000002</v>
      </c>
      <c r="H115" s="849">
        <f>G115</f>
        <v>0.82440000000000002</v>
      </c>
      <c r="I115" s="849">
        <f>ROUND(0.689-0.0155*B113,4)</f>
        <v>0.67659999999999998</v>
      </c>
      <c r="J115" s="849">
        <f t="shared" ref="J115:M118" si="33">I115</f>
        <v>0.67659999999999998</v>
      </c>
      <c r="K115" s="849">
        <f t="shared" si="33"/>
        <v>0.67659999999999998</v>
      </c>
      <c r="L115" s="849">
        <f t="shared" si="33"/>
        <v>0.67659999999999998</v>
      </c>
      <c r="M115" s="850">
        <f t="shared" si="33"/>
        <v>0.67659999999999998</v>
      </c>
    </row>
    <row r="116" spans="1:13">
      <c r="A116" s="848" t="s">
        <v>2637</v>
      </c>
      <c r="B116" s="849">
        <f>ROUND(0.949-0.012*B113,4)</f>
        <v>0.93940000000000001</v>
      </c>
      <c r="C116" s="849">
        <f>B116</f>
        <v>0.93940000000000001</v>
      </c>
      <c r="D116" s="849">
        <f>ROUND(0.8567-0.013*B113,4)</f>
        <v>0.84630000000000005</v>
      </c>
      <c r="E116" s="849">
        <f t="shared" ref="E116:H117" si="34">D116</f>
        <v>0.84630000000000005</v>
      </c>
      <c r="F116" s="849">
        <f t="shared" si="34"/>
        <v>0.84630000000000005</v>
      </c>
      <c r="G116" s="849">
        <f t="shared" si="34"/>
        <v>0.84630000000000005</v>
      </c>
      <c r="H116" s="849">
        <f t="shared" si="34"/>
        <v>0.84630000000000005</v>
      </c>
      <c r="I116" s="849">
        <f>ROUND(0.7694-0.014*B113,4)</f>
        <v>0.75819999999999999</v>
      </c>
      <c r="J116" s="849">
        <f t="shared" si="33"/>
        <v>0.75819999999999999</v>
      </c>
      <c r="K116" s="849">
        <f t="shared" si="33"/>
        <v>0.75819999999999999</v>
      </c>
      <c r="L116" s="849">
        <f t="shared" si="33"/>
        <v>0.75819999999999999</v>
      </c>
      <c r="M116" s="850">
        <f t="shared" si="33"/>
        <v>0.75819999999999999</v>
      </c>
    </row>
    <row r="117" spans="1:13">
      <c r="A117" s="848" t="s">
        <v>2638</v>
      </c>
      <c r="B117" s="849">
        <f>ROUND(0.8808-0.006*B113,4)</f>
        <v>0.876</v>
      </c>
      <c r="C117" s="849">
        <f>B117</f>
        <v>0.876</v>
      </c>
      <c r="D117" s="849">
        <f>ROUND(0.8748-0.008*B113,4)</f>
        <v>0.86839999999999995</v>
      </c>
      <c r="E117" s="849">
        <f t="shared" si="34"/>
        <v>0.86839999999999995</v>
      </c>
      <c r="F117" s="849">
        <f t="shared" si="34"/>
        <v>0.86839999999999995</v>
      </c>
      <c r="G117" s="849">
        <f t="shared" si="34"/>
        <v>0.86839999999999995</v>
      </c>
      <c r="H117" s="849">
        <f t="shared" si="34"/>
        <v>0.86839999999999995</v>
      </c>
      <c r="I117" s="849">
        <f>ROUND(0.7412-0.0095*B113,4)</f>
        <v>0.73360000000000003</v>
      </c>
      <c r="J117" s="849">
        <f t="shared" si="33"/>
        <v>0.73360000000000003</v>
      </c>
      <c r="K117" s="849">
        <f t="shared" si="33"/>
        <v>0.73360000000000003</v>
      </c>
      <c r="L117" s="849">
        <f t="shared" si="33"/>
        <v>0.73360000000000003</v>
      </c>
      <c r="M117" s="850">
        <f t="shared" si="33"/>
        <v>0.73360000000000003</v>
      </c>
    </row>
    <row r="118" spans="1:13" ht="13.5" thickBot="1">
      <c r="A118" s="670" t="s">
        <v>2639</v>
      </c>
      <c r="B118" s="851">
        <f>ROUND(0.7275-0.01*B113,4)</f>
        <v>0.71950000000000003</v>
      </c>
      <c r="C118" s="851">
        <f>B118</f>
        <v>0.71950000000000003</v>
      </c>
      <c r="D118" s="851">
        <f>ROUND(0.7043-0.012*B113,4)</f>
        <v>0.69469999999999998</v>
      </c>
      <c r="E118" s="851">
        <f>D118</f>
        <v>0.69469999999999998</v>
      </c>
      <c r="F118" s="851">
        <f>E118</f>
        <v>0.69469999999999998</v>
      </c>
      <c r="G118" s="851">
        <f>ROUND(0.6299-0.0122*B113,4)</f>
        <v>0.62009999999999998</v>
      </c>
      <c r="H118" s="851">
        <f>G118</f>
        <v>0.62009999999999998</v>
      </c>
      <c r="I118" s="851">
        <f>ROUND(0.5667-0.0136*B113,4)</f>
        <v>0.55579999999999996</v>
      </c>
      <c r="J118" s="851">
        <f t="shared" si="33"/>
        <v>0.55579999999999996</v>
      </c>
      <c r="K118" s="851">
        <f t="shared" si="33"/>
        <v>0.55579999999999996</v>
      </c>
      <c r="L118" s="851">
        <f t="shared" si="33"/>
        <v>0.55579999999999996</v>
      </c>
      <c r="M118" s="852">
        <f t="shared" si="33"/>
        <v>0.55579999999999996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6" sqref="K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6</v>
      </c>
      <c r="C1" s="204"/>
      <c r="D1" s="204"/>
      <c r="E1" s="204"/>
      <c r="F1" s="204"/>
      <c r="G1" s="1260">
        <f>MATCH(B1,'数据-取费表'!A6:A16,0)+5</f>
        <v>6</v>
      </c>
    </row>
    <row r="2" spans="1:9" s="206" customFormat="1" ht="18" customHeight="1">
      <c r="A2" s="207" t="s">
        <v>2088</v>
      </c>
      <c r="B2" s="208">
        <f ca="1">IF(D2="——",C52,C52-E2)</f>
        <v>7547</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3250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4188.4449999999997</v>
      </c>
      <c r="D5" s="217" t="s">
        <v>2095</v>
      </c>
      <c r="E5" s="218" t="s">
        <v>2096</v>
      </c>
      <c r="F5" s="218" t="s">
        <v>2097</v>
      </c>
      <c r="G5" s="219"/>
    </row>
    <row r="6" spans="1:9" s="220" customFormat="1" ht="13.5" customHeight="1">
      <c r="A6" s="886" t="s">
        <v>2098</v>
      </c>
      <c r="B6" s="221" t="s">
        <v>2099</v>
      </c>
      <c r="C6" s="222">
        <f>1400*'数据-基础表'!A3/10000</f>
        <v>4064.4450000000002</v>
      </c>
      <c r="D6" s="223"/>
      <c r="E6" s="224"/>
      <c r="F6" s="224"/>
      <c r="G6" s="225"/>
    </row>
    <row r="7" spans="1:9" s="220" customFormat="1" ht="13.5" customHeight="1">
      <c r="A7" s="886" t="s">
        <v>2100</v>
      </c>
      <c r="B7" s="221" t="s">
        <v>2101</v>
      </c>
      <c r="C7" s="226">
        <f>ROUND(C6*F7,0)</f>
        <v>124</v>
      </c>
      <c r="D7" s="226"/>
      <c r="E7" s="224"/>
      <c r="F7" s="227">
        <f>IF(项目基本情况!B8="出让",0,'数据-取费表'!B48+'数据-取费表'!B49)</f>
        <v>3.0499999999999999E-2</v>
      </c>
      <c r="G7" s="225"/>
    </row>
    <row r="8" spans="1:9" s="229" customFormat="1">
      <c r="A8" s="886" t="s">
        <v>2102</v>
      </c>
      <c r="B8" s="221" t="s">
        <v>2103</v>
      </c>
      <c r="C8" s="226" t="str">
        <f>IF(G8="已包含在土地购买价格中","0",IF(B1="",'数据-取费表'!B29,IF(G9="全部缴纳",C9+C10,H9)))</f>
        <v>0</v>
      </c>
      <c r="D8" s="228"/>
      <c r="E8" s="226"/>
      <c r="F8" s="227"/>
      <c r="G8" s="2012" t="s">
        <v>1057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3141</v>
      </c>
      <c r="H9" s="1271"/>
      <c r="I9" s="2014"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23225</v>
      </c>
      <c r="E10" s="231">
        <f>'数据-取费表'!B28</f>
        <v>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23225</v>
      </c>
      <c r="E19" s="217">
        <f>'数据-取费表'!B31</f>
        <v>200</v>
      </c>
      <c r="F19" s="237"/>
      <c r="G19" s="2012" t="s">
        <v>3140</v>
      </c>
    </row>
    <row r="20" spans="1:7" s="220" customFormat="1" ht="13.5" customHeight="1">
      <c r="A20" s="261" t="s">
        <v>2119</v>
      </c>
      <c r="B20" s="216" t="s">
        <v>2120</v>
      </c>
      <c r="C20" s="238">
        <f>ROUND((C5+C19)*F20,0)</f>
        <v>84</v>
      </c>
      <c r="D20" s="238"/>
      <c r="E20" s="238"/>
      <c r="F20" s="239">
        <f>'数据-取费表'!B37</f>
        <v>0.02</v>
      </c>
      <c r="G20" s="240" t="s">
        <v>2121</v>
      </c>
    </row>
    <row r="21" spans="1:7" s="220" customFormat="1" ht="13.5" customHeight="1">
      <c r="A21" s="261" t="s">
        <v>2122</v>
      </c>
      <c r="B21" s="216" t="s">
        <v>2123</v>
      </c>
      <c r="C21" s="241">
        <f>F21</f>
        <v>0.01</v>
      </c>
      <c r="D21" s="242" t="s">
        <v>2124</v>
      </c>
      <c r="E21" s="238"/>
      <c r="F21" s="239">
        <f>'数据-取费表'!B38</f>
        <v>0.01</v>
      </c>
      <c r="G21" s="240" t="s">
        <v>2125</v>
      </c>
    </row>
    <row r="22" spans="1:7" s="220" customFormat="1" ht="13.5" customHeight="1">
      <c r="A22" s="261" t="s">
        <v>2126</v>
      </c>
      <c r="B22" s="216" t="s">
        <v>2127</v>
      </c>
      <c r="C22" s="1236">
        <f ca="1">ROUND(SUM(C23:C25),0)</f>
        <v>98</v>
      </c>
      <c r="D22" s="241">
        <f ca="1">C26</f>
        <v>1E-4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97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1E-4</v>
      </c>
      <c r="D26" s="244"/>
      <c r="E26" s="247"/>
      <c r="F26" s="245"/>
      <c r="G26" s="249"/>
    </row>
    <row r="27" spans="1:7" s="220" customFormat="1" ht="24.75">
      <c r="A27" s="261" t="s">
        <v>2138</v>
      </c>
      <c r="B27" s="250" t="s">
        <v>2139</v>
      </c>
      <c r="C27" s="251">
        <f ca="1">C28</f>
        <v>188</v>
      </c>
      <c r="D27" s="241">
        <f ca="1">C29</f>
        <v>4.0000000000000002E-4</v>
      </c>
      <c r="E27" s="242" t="s">
        <v>2140</v>
      </c>
      <c r="F27" s="252">
        <f ca="1">IF(B1="",'数据-取费表'!Q16,INDIRECT("'数据-取费表'!q"&amp;$G$1))</f>
        <v>0.08</v>
      </c>
      <c r="G27" s="253" t="s">
        <v>2141</v>
      </c>
    </row>
    <row r="28" spans="1:7" s="220" customFormat="1" ht="13.5" customHeight="1">
      <c r="A28" s="888" t="s">
        <v>791</v>
      </c>
      <c r="B28" s="254" t="s">
        <v>2142</v>
      </c>
      <c r="C28" s="255">
        <f ca="1">ROUND((C5+C19+C20)*F27*'数据-取费表'!B21/'数据-取费表'!B20,0)</f>
        <v>188</v>
      </c>
      <c r="D28" s="241"/>
      <c r="E28" s="242"/>
      <c r="F28" s="252"/>
      <c r="G28" s="253"/>
    </row>
    <row r="29" spans="1:7" s="220" customFormat="1" ht="13.5" customHeight="1">
      <c r="A29" s="888" t="s">
        <v>792</v>
      </c>
      <c r="B29" s="254" t="s">
        <v>2143</v>
      </c>
      <c r="C29" s="244">
        <f ca="1">ROUND(C21*F27*'数据-取费表'!B21/'数据-取费表'!B20,4)</f>
        <v>4.0000000000000002E-4</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4864</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2257</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1916</v>
      </c>
      <c r="D34" s="223"/>
      <c r="E34" s="226"/>
      <c r="F34" s="263">
        <f ca="1">IF('数据-取费表'!B24=0,1,IF(B1="",'数据-取费表'!N16,INDIRECT("'数据-取费表'!n"&amp;$G$1)))</f>
        <v>0.55000000000000004</v>
      </c>
      <c r="G34" s="225" t="s">
        <v>2152</v>
      </c>
    </row>
    <row r="35" spans="1:7" ht="13.5" customHeight="1">
      <c r="A35" s="888" t="s">
        <v>796</v>
      </c>
      <c r="B35" s="221" t="s">
        <v>2153</v>
      </c>
      <c r="C35" s="226">
        <f ca="1">ROUND(C34*F35,0)</f>
        <v>57</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255</v>
      </c>
      <c r="D37" s="223">
        <f ca="1">D19</f>
        <v>23225</v>
      </c>
      <c r="E37" s="255">
        <f>'数据-取费表'!B35</f>
        <v>200</v>
      </c>
      <c r="F37" s="265"/>
      <c r="G37" s="267" t="s">
        <v>2158</v>
      </c>
    </row>
    <row r="38" spans="1:7" ht="13.5" customHeight="1">
      <c r="A38" s="888" t="s">
        <v>799</v>
      </c>
      <c r="B38" s="221" t="s">
        <v>2159</v>
      </c>
      <c r="C38" s="226">
        <f ca="1">ROUND(C34*F38,0)</f>
        <v>29</v>
      </c>
      <c r="D38" s="226"/>
      <c r="E38" s="226"/>
      <c r="F38" s="265">
        <f>'数据-取费表'!B36</f>
        <v>1.4999999999999999E-2</v>
      </c>
      <c r="G38" s="225" t="s">
        <v>2154</v>
      </c>
    </row>
    <row r="39" spans="1:7" s="220" customFormat="1" ht="13.5" customHeight="1">
      <c r="A39" s="261" t="s">
        <v>2160</v>
      </c>
      <c r="B39" s="216" t="s">
        <v>2161</v>
      </c>
      <c r="C39" s="238">
        <f ca="1">ROUND(C33*F20,0)</f>
        <v>45</v>
      </c>
      <c r="D39" s="238"/>
      <c r="E39" s="238"/>
      <c r="F39" s="2505">
        <f>F20</f>
        <v>0.02</v>
      </c>
      <c r="G39" s="240" t="s">
        <v>2162</v>
      </c>
    </row>
    <row r="40" spans="1:7" s="220" customFormat="1" ht="13.5" customHeight="1">
      <c r="A40" s="261" t="s">
        <v>2163</v>
      </c>
      <c r="B40" s="216" t="s">
        <v>2164</v>
      </c>
      <c r="C40" s="1467">
        <f>F21</f>
        <v>0.01</v>
      </c>
      <c r="D40" s="242" t="s">
        <v>2165</v>
      </c>
      <c r="E40" s="238"/>
      <c r="F40" s="2505">
        <f>F21</f>
        <v>0.01</v>
      </c>
      <c r="G40" s="240" t="s">
        <v>2166</v>
      </c>
    </row>
    <row r="41" spans="1:7" s="220" customFormat="1" ht="13.5" customHeight="1">
      <c r="A41" s="261" t="s">
        <v>2167</v>
      </c>
      <c r="B41" s="216" t="s">
        <v>2168</v>
      </c>
      <c r="C41" s="238">
        <f ca="1">ROUND(SUM(C42:C43),0)</f>
        <v>27</v>
      </c>
      <c r="D41" s="241">
        <f ca="1">C44</f>
        <v>1E-4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26</v>
      </c>
      <c r="D42" s="244"/>
      <c r="E42" s="244"/>
      <c r="F42" s="245"/>
      <c r="G42" s="3522" t="s">
        <v>2170</v>
      </c>
    </row>
    <row r="43" spans="1:7" ht="13.5" customHeight="1">
      <c r="A43" s="888" t="s">
        <v>792</v>
      </c>
      <c r="B43" s="221" t="s">
        <v>2171</v>
      </c>
      <c r="C43" s="244">
        <f ca="1">ROUND(IF('数据-取费表'!B22&lt;=1,C39*F22*'数据-取费表'!B21/2,C39*(POWER((1+F22),'数据-取费表'!B21/2)-1)),0)</f>
        <v>1</v>
      </c>
      <c r="D43" s="244"/>
      <c r="E43" s="244"/>
      <c r="F43" s="245"/>
      <c r="G43" s="3523"/>
    </row>
    <row r="44" spans="1:7" ht="13.5" customHeight="1">
      <c r="A44" s="888" t="s">
        <v>793</v>
      </c>
      <c r="B44" s="221" t="s">
        <v>2172</v>
      </c>
      <c r="C44" s="244">
        <f ca="1">ROUND(IF('数据-取费表'!B22&lt;=1,C40*F22*'数据-取费表'!B21/2,C40*(POWER((1+F22),'数据-取费表'!B21/2)-1)),4)</f>
        <v>1E-4</v>
      </c>
      <c r="D44" s="244"/>
      <c r="E44" s="244"/>
      <c r="F44" s="245"/>
      <c r="G44" s="3524"/>
    </row>
    <row r="45" spans="1:7" s="220" customFormat="1" ht="13.5" customHeight="1">
      <c r="A45" s="261" t="s">
        <v>2173</v>
      </c>
      <c r="B45" s="250" t="s">
        <v>2139</v>
      </c>
      <c r="C45" s="251">
        <f ca="1">C46</f>
        <v>184</v>
      </c>
      <c r="D45" s="241">
        <f ca="1">C47</f>
        <v>8.0000000000000004E-4</v>
      </c>
      <c r="E45" s="242" t="s">
        <v>2165</v>
      </c>
      <c r="F45" s="2507">
        <f ca="1">F27</f>
        <v>0.08</v>
      </c>
      <c r="G45" s="253" t="s">
        <v>2174</v>
      </c>
    </row>
    <row r="46" spans="1:7" s="220" customFormat="1" ht="13.5" customHeight="1">
      <c r="A46" s="888" t="s">
        <v>791</v>
      </c>
      <c r="B46" s="254" t="s">
        <v>2175</v>
      </c>
      <c r="C46" s="255">
        <f ca="1">ROUND((C33+C39)*F27,0)</f>
        <v>184</v>
      </c>
      <c r="D46" s="269"/>
      <c r="E46" s="242"/>
      <c r="F46" s="252"/>
      <c r="G46" s="253"/>
    </row>
    <row r="47" spans="1:7" s="220" customFormat="1" ht="13.5" customHeight="1">
      <c r="A47" s="888" t="s">
        <v>792</v>
      </c>
      <c r="B47" s="254" t="s">
        <v>2176</v>
      </c>
      <c r="C47" s="244">
        <f ca="1">ROUND(C40*F27,4)</f>
        <v>8.0000000000000004E-4</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2683</v>
      </c>
      <c r="D49" s="238"/>
      <c r="E49" s="238"/>
      <c r="F49" s="270"/>
      <c r="G49" s="240" t="s">
        <v>2180</v>
      </c>
    </row>
    <row r="50" spans="1:7" s="264" customFormat="1" ht="24">
      <c r="A50" s="261" t="s">
        <v>2181</v>
      </c>
      <c r="B50" s="216" t="s">
        <v>2182</v>
      </c>
      <c r="C50" s="238"/>
      <c r="D50" s="238"/>
      <c r="E50" s="238"/>
      <c r="F50" s="270">
        <f>IF('数据-取费表'!B24=0,'数据-取费表'!N16,1)</f>
        <v>1</v>
      </c>
      <c r="G50" s="253" t="s">
        <v>2183</v>
      </c>
    </row>
    <row r="51" spans="1:7" ht="16.5" customHeight="1">
      <c r="A51" s="261" t="s">
        <v>2184</v>
      </c>
      <c r="B51" s="216" t="s">
        <v>2185</v>
      </c>
      <c r="C51" s="238">
        <f ca="1">ROUND(C49*F50,0)</f>
        <v>2683</v>
      </c>
      <c r="D51" s="238"/>
      <c r="E51" s="238"/>
      <c r="F51" s="270"/>
      <c r="G51" s="240" t="s">
        <v>2186</v>
      </c>
    </row>
    <row r="52" spans="1:7" s="214" customFormat="1" ht="16.5" thickBot="1">
      <c r="A52" s="271" t="s">
        <v>2187</v>
      </c>
      <c r="B52" s="272"/>
      <c r="C52" s="273">
        <f ca="1">C31+C51</f>
        <v>7547</v>
      </c>
      <c r="D52" s="272"/>
      <c r="E52" s="272"/>
      <c r="F52" s="272"/>
      <c r="G52" s="274"/>
    </row>
    <row r="55" spans="1:7" ht="15">
      <c r="B55" s="276" t="s">
        <v>2188</v>
      </c>
      <c r="C55" s="277"/>
    </row>
    <row r="56" spans="1:7">
      <c r="B56" s="279" t="s">
        <v>1418</v>
      </c>
      <c r="C56" s="281">
        <f ca="1">1-C57</f>
        <v>0.64400000000000002</v>
      </c>
    </row>
    <row r="57" spans="1:7">
      <c r="B57" s="279" t="s">
        <v>1419</v>
      </c>
      <c r="C57" s="280">
        <f ca="1">ROUND(C51/C52,3)</f>
        <v>0.35599999999999998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5489</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2363</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23225</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4645000</v>
      </c>
      <c r="D19" s="958">
        <f ca="1">D9+D10</f>
        <v>23225</v>
      </c>
      <c r="E19" s="217">
        <f>'数据-取费表'!B31</f>
        <v>200</v>
      </c>
      <c r="F19" s="237"/>
      <c r="G19" s="2012"/>
    </row>
    <row r="20" spans="1:7" s="220" customFormat="1" ht="13.5" customHeight="1">
      <c r="A20" s="261" t="s">
        <v>2200</v>
      </c>
      <c r="B20" s="216" t="s">
        <v>2201</v>
      </c>
      <c r="C20" s="238">
        <f ca="1">ROUND((C5+C19)*F20,0)</f>
        <v>92900</v>
      </c>
      <c r="D20" s="238"/>
      <c r="E20" s="238"/>
      <c r="F20" s="239">
        <f>'数据-取费表'!B37</f>
        <v>0.02</v>
      </c>
      <c r="G20" s="240" t="s">
        <v>2202</v>
      </c>
    </row>
    <row r="21" spans="1:7" s="220" customFormat="1" ht="13.5" customHeight="1">
      <c r="A21" s="261" t="s">
        <v>2203</v>
      </c>
      <c r="B21" s="216" t="s">
        <v>2204</v>
      </c>
      <c r="C21" s="241">
        <f>F21</f>
        <v>0.01</v>
      </c>
      <c r="D21" s="242" t="s">
        <v>2205</v>
      </c>
      <c r="E21" s="238"/>
      <c r="F21" s="239">
        <f>'数据-取费表'!B38</f>
        <v>0.01</v>
      </c>
      <c r="G21" s="240" t="s">
        <v>2206</v>
      </c>
    </row>
    <row r="22" spans="1:7" s="220" customFormat="1" ht="13.5" customHeight="1">
      <c r="A22" s="261" t="s">
        <v>2207</v>
      </c>
      <c r="B22" s="216" t="s">
        <v>2208</v>
      </c>
      <c r="C22" s="1261">
        <f ca="1">ROUND(SUM(C23:C25),0)</f>
        <v>197041</v>
      </c>
      <c r="D22" s="241">
        <f ca="1">C26</f>
        <v>2.0000000000000001E-4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195090</v>
      </c>
      <c r="D24" s="244"/>
      <c r="E24" s="244"/>
      <c r="F24" s="245"/>
      <c r="G24" s="246" t="s">
        <v>2212</v>
      </c>
    </row>
    <row r="25" spans="1:7" s="220" customFormat="1" ht="24">
      <c r="A25" s="888" t="s">
        <v>2102</v>
      </c>
      <c r="B25" s="221" t="s">
        <v>2213</v>
      </c>
      <c r="C25" s="1262">
        <f ca="1">ROUND(IF('数据-取费表'!B22&lt;=1,C20*F22*'数据-取费表'!B22/2,C20*(POWER((1+F22),'数据-取费表'!B22/2)-1)),0)</f>
        <v>1951</v>
      </c>
      <c r="D25" s="244"/>
      <c r="E25" s="247"/>
      <c r="F25" s="245"/>
      <c r="G25" s="248" t="s">
        <v>2214</v>
      </c>
    </row>
    <row r="26" spans="1:7" s="220" customFormat="1">
      <c r="A26" s="888" t="s">
        <v>795</v>
      </c>
      <c r="B26" s="221" t="s">
        <v>2137</v>
      </c>
      <c r="C26" s="244">
        <f ca="1">ROUND(IF('数据-取费表'!B22&lt;=1,F21*F22*'数据-取费表'!B22/2,F21*(POWER((1+F22),'数据-取费表'!B22/2)-1)),4)</f>
        <v>2.0000000000000001E-4</v>
      </c>
      <c r="D26" s="244"/>
      <c r="E26" s="247"/>
      <c r="F26" s="245"/>
      <c r="G26" s="249"/>
    </row>
    <row r="27" spans="1:7" s="220" customFormat="1" ht="24.75">
      <c r="A27" s="261" t="s">
        <v>2138</v>
      </c>
      <c r="B27" s="250" t="s">
        <v>2139</v>
      </c>
      <c r="C27" s="251">
        <f ca="1">C28</f>
        <v>379032</v>
      </c>
      <c r="D27" s="241">
        <f ca="1">C29</f>
        <v>8.0000000000000004E-4</v>
      </c>
      <c r="E27" s="242" t="s">
        <v>2140</v>
      </c>
      <c r="F27" s="252">
        <f ca="1">IF(B1="",'数据-取费表'!Q16,INDIRECT("'数据-取费表'!q"&amp;$G$1))</f>
        <v>0.08</v>
      </c>
      <c r="G27" s="253" t="s">
        <v>2141</v>
      </c>
    </row>
    <row r="28" spans="1:7" s="220" customFormat="1" ht="13.5" customHeight="1">
      <c r="A28" s="888" t="s">
        <v>791</v>
      </c>
      <c r="B28" s="254" t="s">
        <v>2142</v>
      </c>
      <c r="C28" s="255">
        <f ca="1">ROUND((C5+C19+C20)*F27,0)</f>
        <v>379032</v>
      </c>
      <c r="D28" s="241"/>
      <c r="E28" s="242"/>
      <c r="F28" s="252"/>
      <c r="G28" s="253"/>
    </row>
    <row r="29" spans="1:7" s="220" customFormat="1" ht="13.5" customHeight="1">
      <c r="A29" s="888" t="s">
        <v>792</v>
      </c>
      <c r="B29" s="254" t="s">
        <v>2143</v>
      </c>
      <c r="C29" s="244">
        <f ca="1">ROUND(C21*F27,4)</f>
        <v>8.0000000000000004E-4</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5673685</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41050188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34837500</v>
      </c>
      <c r="D34" s="223"/>
      <c r="E34" s="226"/>
      <c r="F34" s="263"/>
      <c r="G34" s="225"/>
    </row>
    <row r="35" spans="1:7" ht="13.5" customHeight="1">
      <c r="A35" s="888" t="s">
        <v>796</v>
      </c>
      <c r="B35" s="221" t="s">
        <v>2153</v>
      </c>
      <c r="C35" s="226">
        <f ca="1">ROUND(C34*F35,0)</f>
        <v>1045125</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4645000</v>
      </c>
      <c r="D37" s="223">
        <f ca="1">D19</f>
        <v>23225</v>
      </c>
      <c r="E37" s="255">
        <f>'数据-取费表'!B35</f>
        <v>200</v>
      </c>
      <c r="F37" s="265"/>
      <c r="G37" s="267"/>
    </row>
    <row r="38" spans="1:7" ht="13.5" customHeight="1">
      <c r="A38" s="888" t="s">
        <v>799</v>
      </c>
      <c r="B38" s="221" t="s">
        <v>2159</v>
      </c>
      <c r="C38" s="226">
        <f ca="1">ROUND(C34*F38,0)</f>
        <v>522563</v>
      </c>
      <c r="D38" s="226"/>
      <c r="E38" s="226"/>
      <c r="F38" s="265">
        <f>'数据-取费表'!B36</f>
        <v>1.4999999999999999E-2</v>
      </c>
      <c r="G38" s="225" t="s">
        <v>2154</v>
      </c>
    </row>
    <row r="39" spans="1:7" s="220" customFormat="1" ht="13.5" customHeight="1">
      <c r="A39" s="261" t="s">
        <v>2160</v>
      </c>
      <c r="B39" s="216" t="s">
        <v>2161</v>
      </c>
      <c r="C39" s="238">
        <f ca="1">ROUND(C33*F20,0)</f>
        <v>821004</v>
      </c>
      <c r="D39" s="238"/>
      <c r="E39" s="238"/>
      <c r="F39" s="2505">
        <f>F20</f>
        <v>0.02</v>
      </c>
      <c r="G39" s="240" t="s">
        <v>2162</v>
      </c>
    </row>
    <row r="40" spans="1:7" s="220" customFormat="1" ht="13.5" customHeight="1">
      <c r="A40" s="261" t="s">
        <v>2163</v>
      </c>
      <c r="B40" s="216" t="s">
        <v>2164</v>
      </c>
      <c r="C40" s="1467">
        <f>F21</f>
        <v>0.01</v>
      </c>
      <c r="D40" s="242" t="s">
        <v>2165</v>
      </c>
      <c r="E40" s="238"/>
      <c r="F40" s="2505">
        <f>F21</f>
        <v>0.01</v>
      </c>
      <c r="G40" s="240" t="s">
        <v>2166</v>
      </c>
    </row>
    <row r="41" spans="1:7" s="220" customFormat="1" ht="13.5" customHeight="1">
      <c r="A41" s="261" t="s">
        <v>2167</v>
      </c>
      <c r="B41" s="216" t="s">
        <v>2168</v>
      </c>
      <c r="C41" s="238">
        <f ca="1">ROUND(SUM(C42:C43),0)</f>
        <v>879295</v>
      </c>
      <c r="D41" s="241">
        <f ca="1">C44</f>
        <v>2.0000000000000001E-4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862054</v>
      </c>
      <c r="D42" s="244"/>
      <c r="E42" s="244"/>
      <c r="F42" s="245"/>
      <c r="G42" s="3522" t="s">
        <v>2217</v>
      </c>
    </row>
    <row r="43" spans="1:7" ht="13.5" customHeight="1">
      <c r="A43" s="888" t="s">
        <v>792</v>
      </c>
      <c r="B43" s="221" t="s">
        <v>2171</v>
      </c>
      <c r="C43" s="244">
        <f ca="1">ROUND(IF('数据-取费表'!B22&lt;=1,C39*F22*'数据-取费表'!B20/2,C39*(POWER((1+F22),'数据-取费表'!B20/2)-1)),0)</f>
        <v>17241</v>
      </c>
      <c r="D43" s="244"/>
      <c r="E43" s="244"/>
      <c r="F43" s="245"/>
      <c r="G43" s="3523"/>
    </row>
    <row r="44" spans="1:7" ht="13.5" customHeight="1">
      <c r="A44" s="888" t="s">
        <v>793</v>
      </c>
      <c r="B44" s="221" t="s">
        <v>2172</v>
      </c>
      <c r="C44" s="244">
        <f ca="1">ROUND(IF('数据-取费表'!B22&lt;=1,C40*F22*'数据-取费表'!B20/2,C40*(POWER((1+F22),'数据-取费表'!B20/2)-1)),4)</f>
        <v>2.0000000000000001E-4</v>
      </c>
      <c r="D44" s="244"/>
      <c r="E44" s="244"/>
      <c r="F44" s="245"/>
      <c r="G44" s="3524"/>
    </row>
    <row r="45" spans="1:7" s="220" customFormat="1" ht="13.5" customHeight="1">
      <c r="A45" s="261" t="s">
        <v>2173</v>
      </c>
      <c r="B45" s="250" t="s">
        <v>2139</v>
      </c>
      <c r="C45" s="251">
        <f ca="1">C46</f>
        <v>3349695</v>
      </c>
      <c r="D45" s="241">
        <f ca="1">C47</f>
        <v>8.0000000000000004E-4</v>
      </c>
      <c r="E45" s="242" t="s">
        <v>2165</v>
      </c>
      <c r="F45" s="2507">
        <f ca="1">F27</f>
        <v>0.08</v>
      </c>
      <c r="G45" s="253" t="s">
        <v>2174</v>
      </c>
    </row>
    <row r="46" spans="1:7" s="220" customFormat="1" ht="13.5" customHeight="1">
      <c r="A46" s="888" t="s">
        <v>791</v>
      </c>
      <c r="B46" s="254" t="s">
        <v>2175</v>
      </c>
      <c r="C46" s="255">
        <f ca="1">ROUND((C33+C39)*F27,0)</f>
        <v>3349695</v>
      </c>
      <c r="D46" s="269"/>
      <c r="E46" s="242"/>
      <c r="F46" s="252"/>
      <c r="G46" s="253"/>
    </row>
    <row r="47" spans="1:7" s="220" customFormat="1" ht="13.5" customHeight="1">
      <c r="A47" s="888" t="s">
        <v>792</v>
      </c>
      <c r="B47" s="254" t="s">
        <v>2176</v>
      </c>
      <c r="C47" s="244">
        <f ca="1">ROUND(C40*F27,4)</f>
        <v>8.0000000000000004E-4</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49220779</v>
      </c>
      <c r="D49" s="238"/>
      <c r="E49" s="238"/>
      <c r="F49" s="270"/>
      <c r="G49" s="240" t="s">
        <v>2180</v>
      </c>
    </row>
    <row r="50" spans="1:7" s="264" customFormat="1">
      <c r="A50" s="261" t="s">
        <v>2181</v>
      </c>
      <c r="B50" s="216" t="s">
        <v>2182</v>
      </c>
      <c r="C50" s="238"/>
      <c r="D50" s="238"/>
      <c r="E50" s="238"/>
      <c r="F50" s="270">
        <f>IF('数据-取费表'!B24=0,'数据-取费表'!N16,1)</f>
        <v>1</v>
      </c>
      <c r="G50" s="253"/>
    </row>
    <row r="51" spans="1:7" ht="16.5" customHeight="1">
      <c r="A51" s="261" t="s">
        <v>2184</v>
      </c>
      <c r="B51" s="216" t="s">
        <v>2219</v>
      </c>
      <c r="C51" s="238">
        <f ca="1">ROUND(C49*F50,0)</f>
        <v>49220779</v>
      </c>
      <c r="D51" s="238"/>
      <c r="E51" s="238"/>
      <c r="F51" s="270"/>
      <c r="G51" s="240" t="s">
        <v>2186</v>
      </c>
    </row>
    <row r="52" spans="1:7" s="214" customFormat="1" ht="16.5" thickBot="1">
      <c r="A52" s="271" t="s">
        <v>2187</v>
      </c>
      <c r="B52" s="272"/>
      <c r="C52" s="273">
        <f ca="1">C31+C51</f>
        <v>54894464</v>
      </c>
      <c r="D52" s="272"/>
      <c r="E52" s="272"/>
      <c r="F52" s="272"/>
      <c r="G52" s="274"/>
    </row>
    <row r="55" spans="1:7" ht="15">
      <c r="B55" s="276" t="s">
        <v>2188</v>
      </c>
      <c r="C55" s="277"/>
    </row>
    <row r="56" spans="1:7">
      <c r="B56" s="279" t="s">
        <v>1418</v>
      </c>
      <c r="C56" s="281">
        <f ca="1">1-C57</f>
        <v>0.10299999999999998</v>
      </c>
    </row>
    <row r="57" spans="1:7">
      <c r="B57" s="279" t="s">
        <v>1419</v>
      </c>
      <c r="C57" s="280">
        <f ca="1">ROUND(C51/C52,3)</f>
        <v>0.89700000000000002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28" sqref="N2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t="s">
        <v>6</v>
      </c>
      <c r="D1" s="1324"/>
      <c r="E1" s="3007"/>
      <c r="F1" s="3007"/>
      <c r="G1" s="2870"/>
      <c r="H1" s="3007"/>
      <c r="I1" s="3007"/>
      <c r="J1" s="3007"/>
      <c r="K1" s="3008">
        <f>MATCH(C1,'数据-取费表'!A6:A16,0)+5</f>
        <v>6</v>
      </c>
    </row>
    <row r="2" spans="1:33" ht="18" customHeight="1">
      <c r="A2" s="207" t="s">
        <v>2088</v>
      </c>
      <c r="B2" s="210">
        <f ca="1">C32</f>
        <v>10625</v>
      </c>
      <c r="C2" s="282" t="s">
        <v>2221</v>
      </c>
      <c r="D2" s="282"/>
      <c r="E2" s="3007"/>
      <c r="F2" s="3007"/>
      <c r="G2" s="3007"/>
      <c r="H2" s="3007"/>
      <c r="I2" s="3007"/>
      <c r="J2" s="3007"/>
      <c r="K2" s="3007"/>
    </row>
    <row r="3" spans="1:33" ht="18" customHeight="1" thickBot="1">
      <c r="A3" s="209" t="s">
        <v>2090</v>
      </c>
      <c r="B3" s="210">
        <f ca="1">ROUND(B2*10000/IF(C1="",'数据-汇总表'!E3,INDIRECT("'数据-取费表'!K"&amp;$K$1)),0)</f>
        <v>4575</v>
      </c>
      <c r="C3" s="282" t="s">
        <v>2222</v>
      </c>
      <c r="D3" s="282"/>
      <c r="E3" s="3007"/>
      <c r="F3" s="3007"/>
      <c r="G3" s="3007"/>
      <c r="H3" s="3007"/>
      <c r="I3" s="3007"/>
      <c r="J3" s="3007"/>
      <c r="K3" s="3007"/>
    </row>
    <row r="4" spans="1:33" s="893" customFormat="1" ht="16.5" customHeight="1">
      <c r="A4" s="890" t="s">
        <v>2223</v>
      </c>
      <c r="B4" s="891"/>
      <c r="C4" s="933">
        <f ca="1">SUM(C8:K8)</f>
        <v>14411</v>
      </c>
      <c r="D4" s="891"/>
      <c r="E4" s="891"/>
      <c r="F4" s="891"/>
      <c r="G4" s="891"/>
      <c r="H4" s="891"/>
      <c r="I4" s="891"/>
      <c r="J4" s="891"/>
      <c r="K4" s="892"/>
    </row>
    <row r="5" spans="1:33" s="897" customFormat="1" ht="15">
      <c r="A5" s="894" t="s">
        <v>2224</v>
      </c>
      <c r="B5" s="895" t="s">
        <v>2225</v>
      </c>
      <c r="C5" s="2016" t="s">
        <v>6</v>
      </c>
      <c r="D5" s="2016"/>
      <c r="E5" s="2016"/>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2226</v>
      </c>
      <c r="C6" s="899">
        <f ca="1">收益法!B3</f>
        <v>6205</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2227</v>
      </c>
      <c r="B7" s="136" t="s">
        <v>2228</v>
      </c>
      <c r="C7" s="283">
        <f>SUMIF('数据-汇总表'!$C19:$C33,假设开发法!C5,'数据-汇总表'!$E19:$E33)</f>
        <v>23225</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2229</v>
      </c>
      <c r="B8" s="169" t="s">
        <v>2230</v>
      </c>
      <c r="C8" s="934">
        <f ca="1">收益法!B2</f>
        <v>14411</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2231</v>
      </c>
      <c r="B9" s="891"/>
      <c r="C9" s="891"/>
      <c r="D9" s="891"/>
      <c r="E9" s="891"/>
      <c r="F9" s="891"/>
      <c r="G9" s="891"/>
      <c r="H9" s="891"/>
      <c r="I9" s="891"/>
      <c r="J9" s="891"/>
      <c r="K9" s="892"/>
    </row>
    <row r="10" spans="1:33" s="907" customFormat="1" ht="13.5" customHeight="1">
      <c r="A10" s="894" t="s">
        <v>2232</v>
      </c>
      <c r="B10" s="8" t="s">
        <v>2233</v>
      </c>
      <c r="C10" s="903" t="s">
        <v>2234</v>
      </c>
      <c r="D10" s="904" t="s">
        <v>2235</v>
      </c>
      <c r="E10" s="904" t="s">
        <v>2236</v>
      </c>
      <c r="F10" s="904" t="s">
        <v>2237</v>
      </c>
      <c r="G10" s="8"/>
      <c r="H10" s="905"/>
      <c r="I10" s="905"/>
      <c r="J10" s="905"/>
      <c r="K10" s="906"/>
    </row>
    <row r="11" spans="1:33" s="912" customFormat="1" ht="13.5" customHeight="1">
      <c r="A11" s="908" t="s">
        <v>1241</v>
      </c>
      <c r="B11" s="909" t="s">
        <v>2238</v>
      </c>
      <c r="C11" s="285">
        <f ca="1">IF(C1="",'数据-取费表'!P16,INDIRECT("'数据-取费表'!p"&amp;$K$1)+INDIRECT("'数据-取费表'!ar"&amp;$K$1))</f>
        <v>1568</v>
      </c>
      <c r="D11" s="910"/>
      <c r="E11" s="335"/>
      <c r="F11" s="911">
        <f ca="1">1-IF('数据-取费表'!B24=0,1,IF(C1="",'数据-取费表'!N16,INDIRECT("'数据-取费表'!n"&amp;$K$1)))</f>
        <v>0.44999999999999996</v>
      </c>
      <c r="G11" s="8"/>
      <c r="H11" s="905"/>
      <c r="I11" s="905"/>
      <c r="J11" s="905"/>
      <c r="K11" s="906"/>
    </row>
    <row r="12" spans="1:33" s="912" customFormat="1" ht="13.5" customHeight="1">
      <c r="A12" s="908" t="s">
        <v>1242</v>
      </c>
      <c r="B12" s="909" t="s">
        <v>2239</v>
      </c>
      <c r="C12" s="24">
        <f ca="1">ROUND(C11*F12,0)</f>
        <v>47</v>
      </c>
      <c r="D12" s="910"/>
      <c r="E12" s="335"/>
      <c r="F12" s="913">
        <f>'数据-取费表'!B33</f>
        <v>0.03</v>
      </c>
      <c r="G12" s="8" t="s">
        <v>2240</v>
      </c>
      <c r="H12" s="905"/>
      <c r="I12" s="905"/>
      <c r="J12" s="905"/>
      <c r="K12" s="906"/>
    </row>
    <row r="13" spans="1:33" s="912" customFormat="1" ht="13.5" customHeight="1">
      <c r="A13" s="908" t="s">
        <v>1243</v>
      </c>
      <c r="B13" s="909" t="s">
        <v>2241</v>
      </c>
      <c r="C13" s="24">
        <f ca="1">ROUND(IF(C1="",SUMIF('数据-取费表'!C:C,"住宅",'数据-取费表'!P:P)*F13,IF(INDIRECT("'数据-取费表'!c"&amp;$K$1)="住宅",INDIRECT("'数据-取费表'!P"&amp;$K$1)*F13,0)),0)</f>
        <v>0</v>
      </c>
      <c r="D13" s="955"/>
      <c r="E13" s="335"/>
      <c r="F13" s="913">
        <f>'数据-取费表'!B34</f>
        <v>0</v>
      </c>
      <c r="G13" s="8" t="s">
        <v>2242</v>
      </c>
      <c r="H13" s="905"/>
      <c r="I13" s="905"/>
      <c r="J13" s="905"/>
      <c r="K13" s="906"/>
    </row>
    <row r="14" spans="1:33" s="914" customFormat="1" ht="13.5" customHeight="1">
      <c r="A14" s="908" t="s">
        <v>1244</v>
      </c>
      <c r="B14" s="909" t="s">
        <v>2243</v>
      </c>
      <c r="C14" s="24">
        <f ca="1">ROUND(D14*E14*F11/10000,0)</f>
        <v>209</v>
      </c>
      <c r="D14" s="955">
        <f ca="1">IF(C1="",'数据-汇总表'!E3,INDIRECT("'数据-取费表'!K"&amp;$K$1)+INDIRECT("'数据-取费表'!S"&amp;$K$1))</f>
        <v>23225</v>
      </c>
      <c r="E14" s="24">
        <f>'数据-取费表'!B35</f>
        <v>200</v>
      </c>
      <c r="F14" s="913"/>
      <c r="G14" s="8" t="s">
        <v>2244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2245</v>
      </c>
      <c r="C15" s="920">
        <f ca="1">ROUND(C11*F15,0)</f>
        <v>24</v>
      </c>
      <c r="D15" s="915"/>
      <c r="E15" s="920"/>
      <c r="F15" s="921">
        <f>'数据-取费表'!B36</f>
        <v>1.4999999999999999E-2</v>
      </c>
      <c r="G15" s="136" t="s">
        <v>2246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2247</v>
      </c>
      <c r="C16" s="920">
        <f ca="1">SUM(C11:C15)</f>
        <v>1848</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2248</v>
      </c>
      <c r="C17" s="24">
        <f ca="1">ROUND(D17*E17/10000,0)</f>
        <v>0</v>
      </c>
      <c r="D17" s="955">
        <f ca="1">D14</f>
        <v>23225</v>
      </c>
      <c r="E17" s="24">
        <f>'数据-取费表'!B32</f>
        <v>0</v>
      </c>
      <c r="F17" s="915"/>
      <c r="G17" s="136" t="s">
        <v>2249</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2250</v>
      </c>
      <c r="C18" s="24">
        <f ca="1">C19+C20-IF(C1="",'数据-取费表'!B29,IF(G18="已全部缴纳",C19+C20,H18))</f>
        <v>0</v>
      </c>
      <c r="D18" s="955"/>
      <c r="E18" s="24"/>
      <c r="F18" s="913"/>
      <c r="G18" s="2018"/>
      <c r="H18" s="1321"/>
      <c r="I18" s="2019" t="s">
        <v>2251</v>
      </c>
      <c r="J18" s="916"/>
      <c r="K18" s="917"/>
    </row>
    <row r="19" spans="1:33" s="912" customFormat="1" ht="13.5" customHeight="1">
      <c r="A19" s="908" t="s">
        <v>805</v>
      </c>
      <c r="B19" s="909" t="s">
        <v>2252</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2253</v>
      </c>
      <c r="C20" s="24">
        <f ca="1">ROUND(D20*E20/10000,0)</f>
        <v>0</v>
      </c>
      <c r="D20" s="955">
        <f ca="1">IF(C1="",'数据-汇总表'!E6,IF(INDIRECT("'数据-取费表'!c"&amp;$K$1)="住宅",INDIRECT("'数据-取费表'!s"&amp;$K$1),INDIRECT("'数据-取费表'!k"&amp;$K$1)+INDIRECT("'数据-取费表'!s"&amp;$K$1)))</f>
        <v>23225</v>
      </c>
      <c r="E20" s="24">
        <f>'数据-取费表'!B28</f>
        <v>0</v>
      </c>
      <c r="F20" s="913"/>
      <c r="G20" s="15"/>
      <c r="H20" s="918"/>
      <c r="I20" s="918"/>
      <c r="J20" s="918"/>
      <c r="K20" s="919"/>
    </row>
    <row r="21" spans="1:33" s="912" customFormat="1" ht="13.5" customHeight="1">
      <c r="A21" s="898" t="s">
        <v>802</v>
      </c>
      <c r="B21" s="922" t="s">
        <v>2254</v>
      </c>
      <c r="C21" s="923">
        <f ca="1">C16+C17+C18</f>
        <v>1848</v>
      </c>
      <c r="D21" s="924"/>
      <c r="E21" s="287"/>
      <c r="F21" s="287"/>
      <c r="G21" s="136" t="s">
        <v>2255</v>
      </c>
      <c r="H21" s="916"/>
      <c r="I21" s="916"/>
      <c r="J21" s="916"/>
      <c r="K21" s="917"/>
    </row>
    <row r="22" spans="1:33" s="912" customFormat="1" ht="13.5" customHeight="1">
      <c r="A22" s="898" t="s">
        <v>2227</v>
      </c>
      <c r="B22" s="922" t="s">
        <v>2256</v>
      </c>
      <c r="C22" s="923">
        <f ca="1">ROUND(C21*F22,0)</f>
        <v>37</v>
      </c>
      <c r="D22" s="287"/>
      <c r="E22" s="287"/>
      <c r="F22" s="925">
        <f>'数据-取费表'!B37</f>
        <v>0.02</v>
      </c>
      <c r="G22" s="8" t="s">
        <v>2257</v>
      </c>
      <c r="H22" s="905"/>
      <c r="I22" s="905"/>
      <c r="J22" s="905"/>
      <c r="K22" s="906"/>
    </row>
    <row r="23" spans="1:33" s="912" customFormat="1" ht="13.5" customHeight="1">
      <c r="A23" s="898" t="s">
        <v>2229</v>
      </c>
      <c r="B23" s="922" t="s">
        <v>2258</v>
      </c>
      <c r="C23" s="923">
        <f ca="1">ROUND(C4*F23*F11,0)</f>
        <v>65</v>
      </c>
      <c r="D23" s="287"/>
      <c r="E23" s="287"/>
      <c r="F23" s="925">
        <f>'数据-取费表'!B38</f>
        <v>0.01</v>
      </c>
      <c r="G23" s="8" t="s">
        <v>2259</v>
      </c>
      <c r="H23" s="905"/>
      <c r="I23" s="905"/>
      <c r="J23" s="905"/>
      <c r="K23" s="906"/>
    </row>
    <row r="24" spans="1:33" s="912" customFormat="1" ht="13.5" customHeight="1">
      <c r="A24" s="898" t="s">
        <v>2260</v>
      </c>
      <c r="B24" s="922" t="s">
        <v>2261</v>
      </c>
      <c r="C24" s="286">
        <f>ROUND(F24/(1+'数据-取费表'!C42),4)</f>
        <v>2.9000000000000001E-2</v>
      </c>
      <c r="D24" s="287" t="s">
        <v>15</v>
      </c>
      <c r="E24" s="287"/>
      <c r="F24" s="925">
        <f>IF(项目基本情况!B8="出让",0,'数据-取费表'!B48+'数据-取费表'!B49)</f>
        <v>3.0499999999999999E-2</v>
      </c>
      <c r="G24" s="8" t="s">
        <v>2262</v>
      </c>
      <c r="H24" s="927"/>
      <c r="I24" s="927"/>
      <c r="J24" s="927"/>
      <c r="K24" s="928"/>
    </row>
    <row r="25" spans="1:33" s="912" customFormat="1" ht="13.5" customHeight="1">
      <c r="A25" s="898" t="s">
        <v>2263</v>
      </c>
      <c r="B25" s="924" t="s">
        <v>2264</v>
      </c>
      <c r="C25" s="1238">
        <f ca="1">C27</f>
        <v>18</v>
      </c>
      <c r="D25" s="286">
        <f ca="1">C26</f>
        <v>1.9400000000000001E-2</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2265</v>
      </c>
      <c r="C26" s="1239">
        <f ca="1">ROUND(IF('数据-取费表'!B22&lt;=1,(1+C24)*F25*'数据-取费表'!B24,(1+C24)*(POWER((1+F25),'数据-取费表'!B24)-1)),4)</f>
        <v>1.9400000000000001E-2</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2266</v>
      </c>
      <c r="C27" s="1240">
        <f ca="1">ROUND(IF('数据-取费表'!B22&lt;=1,(C21+C22+C23)*F25*'数据-取费表'!B24/2,(C21+C22+C23)*(POWER((1+F25),'数据-取费表'!B24/2)-1)),0)</f>
        <v>18</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2267</v>
      </c>
      <c r="B28" s="2021" t="s">
        <v>2268</v>
      </c>
      <c r="C28" s="293">
        <f ca="1">C30</f>
        <v>156</v>
      </c>
      <c r="D28" s="286">
        <f ca="1">C29</f>
        <v>3.6999999999999998E-2</v>
      </c>
      <c r="E28" s="288" t="s">
        <v>15</v>
      </c>
      <c r="F28" s="294">
        <f ca="1">IF(C1="",'数据-取费表'!Q16,INDIRECT("'数据-取费表'!q"&amp;$K$1))</f>
        <v>0.08</v>
      </c>
      <c r="G28" s="926"/>
      <c r="H28" s="927"/>
      <c r="I28" s="927"/>
      <c r="J28" s="927"/>
      <c r="K28" s="928"/>
    </row>
    <row r="29" spans="1:33" s="297" customFormat="1" ht="13.5" customHeight="1">
      <c r="A29" s="908" t="s">
        <v>803</v>
      </c>
      <c r="B29" s="931" t="s">
        <v>2269</v>
      </c>
      <c r="C29" s="290">
        <f ca="1">ROUND((1+C24)*F28*'数据-取费表'!B24/'数据-取费表'!B20,4)</f>
        <v>3.6999999999999998E-2</v>
      </c>
      <c r="D29" s="290"/>
      <c r="E29" s="291"/>
      <c r="F29" s="296"/>
      <c r="G29" s="136" t="s">
        <v>2270</v>
      </c>
      <c r="H29" s="916"/>
      <c r="I29" s="916"/>
      <c r="J29" s="916"/>
      <c r="K29" s="917"/>
    </row>
    <row r="30" spans="1:33" s="297" customFormat="1" ht="13.5" customHeight="1">
      <c r="A30" s="908" t="s">
        <v>804</v>
      </c>
      <c r="B30" s="931" t="s">
        <v>2271</v>
      </c>
      <c r="C30" s="298">
        <f ca="1">ROUND((C21+C22+C23)*F28,0)</f>
        <v>156</v>
      </c>
      <c r="D30" s="290"/>
      <c r="E30" s="291"/>
      <c r="F30" s="296"/>
      <c r="G30" s="136"/>
      <c r="H30" s="916"/>
      <c r="I30" s="916"/>
      <c r="J30" s="916"/>
      <c r="K30" s="917"/>
    </row>
    <row r="31" spans="1:33" s="912" customFormat="1" ht="13.5" customHeight="1" thickBot="1">
      <c r="A31" s="2022" t="s">
        <v>2272</v>
      </c>
      <c r="B31" s="942" t="s">
        <v>2273</v>
      </c>
      <c r="C31" s="943">
        <f ca="1">ROUND(C4*F31/(1+'数据-取费表'!C42),0)</f>
        <v>755</v>
      </c>
      <c r="D31" s="944"/>
      <c r="E31" s="945"/>
      <c r="F31" s="946">
        <f>'数据-取费表'!B41</f>
        <v>5.5000000000000007E-2</v>
      </c>
      <c r="G31" s="947" t="s">
        <v>2274</v>
      </c>
      <c r="H31" s="948"/>
      <c r="I31" s="948"/>
      <c r="J31" s="948"/>
      <c r="K31" s="949"/>
    </row>
    <row r="32" spans="1:33" s="907" customFormat="1" ht="13.5" customHeight="1" thickBot="1">
      <c r="A32" s="937" t="s">
        <v>2275</v>
      </c>
      <c r="B32" s="938"/>
      <c r="C32" s="939">
        <f ca="1">ROUND((C4-C21-C22-C23-C25-C28-C31)/(1+C24+D25+D28),0)</f>
        <v>10625</v>
      </c>
      <c r="D32" s="938"/>
      <c r="E32" s="938"/>
      <c r="F32" s="938"/>
      <c r="G32" s="940" t="s">
        <v>2276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40.74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14411</v>
      </c>
      <c r="C2" s="1541" t="s">
        <v>1421</v>
      </c>
      <c r="D2" s="1541"/>
      <c r="E2" s="1542"/>
      <c r="F2" s="1543"/>
      <c r="G2" s="2905"/>
      <c r="H2" s="2894"/>
      <c r="I2" s="2894"/>
      <c r="J2" s="2894"/>
      <c r="K2" s="2895"/>
      <c r="L2" s="2894"/>
      <c r="M2" s="2894"/>
    </row>
    <row r="3" spans="1:37" ht="18" customHeight="1" thickBot="1">
      <c r="A3" s="1544" t="s">
        <v>1422</v>
      </c>
      <c r="B3" s="1545">
        <f ca="1">IF(ISERROR(B2*10000/F43),0,ROUND(B2*10000/F43,0))</f>
        <v>6205</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764</v>
      </c>
      <c r="D5" s="1518" t="s">
        <v>1307</v>
      </c>
      <c r="E5" s="1203"/>
      <c r="F5" s="1204"/>
      <c r="G5" s="1538"/>
      <c r="H5" s="305">
        <v>1</v>
      </c>
      <c r="I5" s="306" t="s">
        <v>1306</v>
      </c>
      <c r="J5" s="1202">
        <f ca="1">J6+J10+J12</f>
        <v>0</v>
      </c>
      <c r="K5" s="1518" t="s">
        <v>1307</v>
      </c>
      <c r="L5" s="1203"/>
      <c r="M5" s="1204"/>
    </row>
    <row r="6" spans="1:37" ht="18" customHeight="1">
      <c r="A6" s="1201" t="s">
        <v>1003</v>
      </c>
      <c r="B6" s="3527" t="s">
        <v>1308</v>
      </c>
      <c r="C6" s="1206">
        <f ca="1">ROUND(F6*F8*F7*(1-F9)/10000,0)</f>
        <v>763</v>
      </c>
      <c r="D6" s="160" t="s">
        <v>2786</v>
      </c>
      <c r="E6" s="308" t="s">
        <v>1310</v>
      </c>
      <c r="F6" s="309">
        <f ca="1">INDIRECT("'数据-取费表'!u"&amp;$G$1)</f>
        <v>1</v>
      </c>
      <c r="G6" s="1538"/>
      <c r="H6" s="1201" t="s">
        <v>1003</v>
      </c>
      <c r="I6" s="3527" t="s">
        <v>1308</v>
      </c>
      <c r="J6" s="307">
        <f ca="1">ROUND(M6*M8*M7*(1-M9)/10000,0)</f>
        <v>0</v>
      </c>
      <c r="K6" s="160" t="s">
        <v>2785</v>
      </c>
      <c r="L6" s="308" t="s">
        <v>1310</v>
      </c>
      <c r="M6" s="309">
        <f ca="1">INDIRECT("'数据-取费表'!z"&amp;$G$1)</f>
        <v>0</v>
      </c>
    </row>
    <row r="7" spans="1:37" ht="18" customHeight="1">
      <c r="A7" s="1205"/>
      <c r="B7" s="3528"/>
      <c r="C7" s="1207"/>
      <c r="D7" s="313"/>
      <c r="E7" s="1208" t="s">
        <v>1311</v>
      </c>
      <c r="F7" s="309">
        <f ca="1">IF(INDIRECT("'数据-取费表'!ah"&amp;$G$1)="",INDIRECT("'数据-取费表'!k"&amp;$G$1),INDIRECT("'数据-取费表'!ah"&amp;$G$1))</f>
        <v>23225</v>
      </c>
      <c r="G7" s="1538"/>
      <c r="H7" s="310"/>
      <c r="I7" s="3528"/>
      <c r="J7" s="312"/>
      <c r="K7" s="313"/>
      <c r="L7" s="308" t="s">
        <v>1311</v>
      </c>
      <c r="M7" s="309">
        <f ca="1">F7</f>
        <v>23225</v>
      </c>
    </row>
    <row r="8" spans="1:37" ht="18" customHeight="1">
      <c r="A8" s="310"/>
      <c r="B8" s="3528"/>
      <c r="C8" s="312"/>
      <c r="D8" s="313"/>
      <c r="E8" s="308" t="s">
        <v>1312</v>
      </c>
      <c r="F8" s="309">
        <f ca="1">INDIRECT("'数据-取费表'!ai"&amp;$G$1)</f>
        <v>365</v>
      </c>
      <c r="G8" s="1538"/>
      <c r="H8" s="310"/>
      <c r="I8" s="3528"/>
      <c r="J8" s="312"/>
      <c r="K8" s="313"/>
      <c r="L8" s="308" t="s">
        <v>1312</v>
      </c>
      <c r="M8" s="309">
        <f ca="1">INDIRECT("'数据-取费表'!ai"&amp;$G$1)</f>
        <v>365</v>
      </c>
    </row>
    <row r="9" spans="1:37" ht="18" customHeight="1">
      <c r="A9" s="310"/>
      <c r="B9" s="3529"/>
      <c r="C9" s="312"/>
      <c r="D9" s="313"/>
      <c r="E9" s="308" t="s">
        <v>1313</v>
      </c>
      <c r="F9" s="318">
        <f ca="1">INDIRECT("'数据-取费表'!w"&amp;$G$1)</f>
        <v>0.1</v>
      </c>
      <c r="G9" s="1538"/>
      <c r="H9" s="310"/>
      <c r="I9" s="352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2794</v>
      </c>
      <c r="E10" s="319" t="s">
        <v>1315</v>
      </c>
      <c r="F10" s="1248" t="s">
        <v>3135</v>
      </c>
      <c r="G10" s="1538"/>
      <c r="H10" s="1201" t="s">
        <v>1007</v>
      </c>
      <c r="I10" s="1519" t="s">
        <v>1314</v>
      </c>
      <c r="J10" s="307">
        <f ca="1">ROUND(IF(M10="押一",J6/12*M11,IF(M10="押二",J6/12*2*M11,IF(M10="押三",J6/12*3*M11,J11*M11))),0)</f>
        <v>0</v>
      </c>
      <c r="K10" s="1520" t="s">
        <v>2793</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2708</v>
      </c>
      <c r="D13" s="1213" t="s">
        <v>1320</v>
      </c>
      <c r="E13" s="1213" t="s">
        <v>1321</v>
      </c>
      <c r="F13" s="1214">
        <f ca="1">INDIRECT("'数据-取费表'!y"&amp;$G$1)</f>
        <v>0.55000000000000004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3484</v>
      </c>
      <c r="D14" s="1499" t="s">
        <v>1323</v>
      </c>
      <c r="E14" s="1496"/>
      <c r="F14" s="325"/>
      <c r="G14" s="1538"/>
      <c r="H14" s="1113" t="s">
        <v>1003</v>
      </c>
      <c r="I14" s="308" t="s">
        <v>1324</v>
      </c>
      <c r="J14" s="24">
        <f ca="1">C29</f>
        <v>4923</v>
      </c>
      <c r="K14" s="15"/>
      <c r="L14" s="916"/>
      <c r="M14" s="917"/>
    </row>
    <row r="15" spans="1:37" s="1551" customFormat="1" ht="18" customHeight="1" thickBot="1">
      <c r="A15" s="1113" t="s">
        <v>1004</v>
      </c>
      <c r="B15" s="308" t="s">
        <v>1325</v>
      </c>
      <c r="C15" s="24">
        <f ca="1">ROUND(C14*F15,0)</f>
        <v>105</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95</v>
      </c>
      <c r="K16" s="1219" t="s">
        <v>1330</v>
      </c>
      <c r="L16" s="1220"/>
      <c r="M16" s="1204"/>
    </row>
    <row r="17" spans="1:37" s="1551" customFormat="1" ht="18" customHeight="1">
      <c r="A17" s="1113" t="s">
        <v>1295</v>
      </c>
      <c r="B17" s="308" t="s">
        <v>1331</v>
      </c>
      <c r="C17" s="24">
        <f ca="1">ROUND(F17*(F43+INDIRECT("'数据-取费表'!S"&amp;$G$1))/10000,0)</f>
        <v>465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4106</v>
      </c>
      <c r="D19" s="136" t="s">
        <v>1341</v>
      </c>
      <c r="E19" s="1514"/>
      <c r="F19" s="26"/>
      <c r="G19" s="1538"/>
      <c r="H19" s="1113" t="s">
        <v>1004</v>
      </c>
      <c r="I19" s="308" t="s">
        <v>1342</v>
      </c>
      <c r="J19" s="24">
        <f ca="1">IF(K19="按租金收入计税",ROUND(J6*M19/(1+'数据-取费表'!C42),2),ROUND(C29*M19*0.7,2))</f>
        <v>41.35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82</v>
      </c>
      <c r="D20" s="329" t="s">
        <v>1345</v>
      </c>
      <c r="E20" s="308" t="s">
        <v>1327</v>
      </c>
      <c r="F20" s="328">
        <f>'数据-取费表'!B37</f>
        <v>0.02</v>
      </c>
      <c r="G20" s="1550"/>
      <c r="H20" s="1113" t="s">
        <v>1294</v>
      </c>
      <c r="I20" s="160" t="s">
        <v>1346</v>
      </c>
      <c r="J20" s="25">
        <f ca="1">ROUND(M20*M21/10000,2)</f>
        <v>4.3499999999999996</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0.01</v>
      </c>
      <c r="G21" s="1550"/>
      <c r="H21" s="332"/>
      <c r="I21" s="317"/>
      <c r="J21" s="29"/>
      <c r="K21" s="333"/>
      <c r="L21" s="308" t="s">
        <v>1352</v>
      </c>
      <c r="M21" s="309">
        <f ca="1">INDIRECT("'数据-取费表'!r"&amp;$G$1)</f>
        <v>29031.75</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49.2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88</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-95</v>
      </c>
      <c r="K25" s="1227" t="s">
        <v>1369</v>
      </c>
      <c r="L25" s="1228"/>
      <c r="M25" s="1229"/>
    </row>
    <row r="26" spans="1:37">
      <c r="A26" s="1113" t="s">
        <v>1002</v>
      </c>
      <c r="B26" s="308" t="s">
        <v>1370</v>
      </c>
      <c r="C26" s="24">
        <f ca="1">ROUND((C19+C20)*F26,0)</f>
        <v>335</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8.0000000000000004E-4</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4923</v>
      </c>
      <c r="D29" s="1224"/>
      <c r="E29" s="1222"/>
      <c r="F29" s="1225"/>
      <c r="G29" s="1550"/>
      <c r="H29" s="340" t="s">
        <v>1001</v>
      </c>
      <c r="I29" s="341" t="s">
        <v>1384</v>
      </c>
      <c r="J29" s="342">
        <f ca="1">ROUND(J26/(1+F40)^F41,0)</f>
        <v>0</v>
      </c>
      <c r="K29" s="343" t="s">
        <v>1385</v>
      </c>
      <c r="L29" s="344"/>
      <c r="M29" s="345">
        <f ca="1">INDIRECT("'数据-取费表'!k"&amp;$G$1)</f>
        <v>23225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192</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132</v>
      </c>
      <c r="D31" s="1499" t="s">
        <v>1335</v>
      </c>
      <c r="E31" s="1498" t="s">
        <v>1386</v>
      </c>
      <c r="F31" s="2503" t="str">
        <f>IF(项目基本情况!B11="企业","——",IF('数据-取费表'!B10="住宅",IF(F6*F7*F8/12/(1+'数据-取费表'!F30)&gt;100000,4%,2.5%),IF(F6*F7*F8/12/(1+'数据-取费表'!F30)&gt;100000,12%,7%)))</f>
        <v>——</v>
      </c>
      <c r="G31" s="1538"/>
      <c r="H31" s="3009" t="s">
        <v>2993</v>
      </c>
      <c r="I31" s="1552"/>
      <c r="J31" s="1553"/>
      <c r="K31" s="2671"/>
      <c r="L31" s="2897"/>
      <c r="M31" s="2898"/>
    </row>
    <row r="32" spans="1:37" ht="18" customHeight="1">
      <c r="A32" s="1113" t="s">
        <v>1002</v>
      </c>
      <c r="B32" s="308" t="s">
        <v>1338</v>
      </c>
      <c r="C32" s="24">
        <f ca="1">IF(项目基本情况!B11="自然人","——",ROUND(C6*F32/(1+'数据-取费表'!C42),2))</f>
        <v>39.97</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87.2</v>
      </c>
      <c r="D33" s="1524" t="s">
        <v>3136</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4.3499999999999996</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29031.75</v>
      </c>
      <c r="G35" s="1538"/>
      <c r="H35" s="2896"/>
      <c r="I35" s="1552"/>
      <c r="J35" s="1553"/>
      <c r="K35" s="2900"/>
      <c r="L35" s="2899"/>
      <c r="M35" s="2899"/>
    </row>
    <row r="36" spans="1:18" ht="18" customHeight="1">
      <c r="A36" s="1234" t="s">
        <v>1007</v>
      </c>
      <c r="B36" s="308" t="s">
        <v>1354</v>
      </c>
      <c r="C36" s="24">
        <f ca="1">ROUND(C29*F36,1)</f>
        <v>49.2</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2.7</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7.6</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572</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14308</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40.74</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6161</v>
      </c>
      <c r="D43" s="343" t="s">
        <v>1393</v>
      </c>
      <c r="E43" s="344" t="s">
        <v>1394</v>
      </c>
      <c r="F43" s="345">
        <f ca="1">INDIRECT("'数据-取费表'!k"&amp;$G$1)</f>
        <v>23225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-22420</v>
      </c>
      <c r="D46" s="1560" t="str">
        <f>C2</f>
        <v>万元</v>
      </c>
      <c r="E46" s="1554"/>
      <c r="F46" s="1554"/>
      <c r="I46" s="1561" t="s">
        <v>1426</v>
      </c>
      <c r="J46" s="1562"/>
      <c r="K46" s="1563"/>
      <c r="L46" s="1564">
        <f ca="1">IF(M47="住宅",0,IF(L48&gt;J51,L60,J60))</f>
        <v>103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3137</v>
      </c>
      <c r="K47" s="1570" t="s">
        <v>1432</v>
      </c>
      <c r="L47" s="1571">
        <f ca="1">INDIRECT("'数据-取费表'!d"&amp;$G$1)</f>
        <v>50</v>
      </c>
      <c r="M47" s="1534" t="str">
        <f>IF(ISNUMBER(FIND("住宅",C1)),"住宅","非住宅")</f>
        <v>非住宅</v>
      </c>
      <c r="O47" s="1572" t="s">
        <v>1008</v>
      </c>
      <c r="P47" s="1573" t="s">
        <v>1433</v>
      </c>
      <c r="Q47" s="1574">
        <f ca="1">C40+J29</f>
        <v>14308</v>
      </c>
      <c r="R47" s="1574" t="s">
        <v>1434</v>
      </c>
    </row>
    <row r="48" spans="1:18" s="1538" customFormat="1" ht="28.5" thickBot="1">
      <c r="A48" s="1242" t="s">
        <v>1044</v>
      </c>
      <c r="B48" s="306" t="s">
        <v>1306</v>
      </c>
      <c r="C48" s="1513">
        <f ca="1">C49+C53+C55</f>
        <v>0</v>
      </c>
      <c r="D48" s="1244"/>
      <c r="E48" s="1245"/>
      <c r="F48" s="1093"/>
      <c r="G48" s="731"/>
      <c r="H48" s="732"/>
      <c r="I48" s="1575" t="s">
        <v>1435</v>
      </c>
      <c r="J48" s="1576" t="s">
        <v>3138</v>
      </c>
      <c r="K48" s="1577" t="s">
        <v>1436</v>
      </c>
      <c r="L48" s="1578">
        <f ca="1">INDIRECT("'数据-取费表'!f"&amp;$G$1)</f>
        <v>40.74</v>
      </c>
      <c r="O48" s="1572" t="s">
        <v>1009</v>
      </c>
      <c r="P48" s="1573" t="s">
        <v>1437</v>
      </c>
      <c r="Q48" s="1574">
        <f ca="1">J60</f>
        <v>103</v>
      </c>
      <c r="R48" s="1574" t="s">
        <v>1438</v>
      </c>
    </row>
    <row r="49" spans="1:18" s="1538" customFormat="1" ht="13.5" thickBot="1">
      <c r="A49" s="1106" t="s">
        <v>1045</v>
      </c>
      <c r="B49" s="1525" t="s">
        <v>1395</v>
      </c>
      <c r="C49" s="1246">
        <f ca="1">ROUND(F49*F51*F50*(1-F52)/10000,0)</f>
        <v>0</v>
      </c>
      <c r="D49" s="1186" t="s">
        <v>2787</v>
      </c>
      <c r="E49" s="1526" t="s">
        <v>1396</v>
      </c>
      <c r="F49" s="1191"/>
      <c r="G49" s="1579"/>
      <c r="H49" s="732"/>
      <c r="I49" s="1575" t="s">
        <v>1439</v>
      </c>
      <c r="J49" s="1580">
        <v>2018</v>
      </c>
      <c r="K49" s="1577" t="s">
        <v>1440</v>
      </c>
      <c r="L49" s="1581"/>
      <c r="O49" s="1582" t="s">
        <v>1010</v>
      </c>
      <c r="P49" s="1573" t="s">
        <v>1441</v>
      </c>
      <c r="Q49" s="1574">
        <f ca="1">C29</f>
        <v>4923</v>
      </c>
      <c r="R49" s="1574" t="s">
        <v>1434</v>
      </c>
    </row>
    <row r="50" spans="1:18" s="1538" customFormat="1" ht="13.5" thickBot="1">
      <c r="A50" s="1107"/>
      <c r="B50" s="1110"/>
      <c r="C50" s="1250"/>
      <c r="D50" s="1084"/>
      <c r="E50" s="1187" t="s">
        <v>1311</v>
      </c>
      <c r="F50" s="1188">
        <f ca="1">F7</f>
        <v>23225</v>
      </c>
      <c r="H50" s="732"/>
      <c r="I50" s="1575" t="s">
        <v>1442</v>
      </c>
      <c r="J50" s="1583">
        <f>SUMPRODUCT((I63:I65=J47)*(J62:L62=J48)*(J63:L65))</f>
        <v>60</v>
      </c>
      <c r="K50" s="1577" t="s">
        <v>1443</v>
      </c>
      <c r="L50" s="1581"/>
      <c r="M50" s="1584"/>
      <c r="O50" s="1582" t="s">
        <v>1011</v>
      </c>
      <c r="P50" s="1573" t="s">
        <v>1444</v>
      </c>
      <c r="Q50" s="1585">
        <f ca="1">J58</f>
        <v>0.4</v>
      </c>
      <c r="R50" s="1574"/>
    </row>
    <row r="51" spans="1:18" s="1538" customFormat="1" ht="13.5" thickBot="1">
      <c r="A51" s="1108"/>
      <c r="B51" s="1110"/>
      <c r="C51" s="1111"/>
      <c r="D51" s="1084"/>
      <c r="E51" s="1112" t="s">
        <v>1312</v>
      </c>
      <c r="F51" s="309">
        <f ca="1">F8</f>
        <v>365</v>
      </c>
      <c r="I51" s="1586" t="s">
        <v>1445</v>
      </c>
      <c r="J51" s="1587">
        <f>IF(J49="",J50,J49+J50-YEAR('数据-取费表'!B2))</f>
        <v>56</v>
      </c>
      <c r="K51" s="1588" t="s">
        <v>1446</v>
      </c>
      <c r="L51" s="1589">
        <f ca="1">ROUND(-PV(INDIRECT("'数据-取费表'!h"&amp;$G$1),J51,(C39-C13*C76),0),0)</f>
        <v>7776</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40.74</v>
      </c>
      <c r="R52" s="1574" t="s">
        <v>1451</v>
      </c>
    </row>
    <row r="53" spans="1:18" s="1538" customFormat="1" ht="24.75" thickBot="1">
      <c r="A53" s="1286" t="s">
        <v>1046</v>
      </c>
      <c r="B53" s="1527" t="s">
        <v>1314</v>
      </c>
      <c r="C53" s="322">
        <f ca="1">ROUND(IF(F53="押一",C49/12*F11,IF(F53="押二",C49/12*2*F11,IF(F53="押三",C49/12*3*F11,C54*F11))),0)</f>
        <v>0</v>
      </c>
      <c r="D53" s="1520" t="s">
        <v>2793</v>
      </c>
      <c r="E53" s="319" t="s">
        <v>1315</v>
      </c>
      <c r="F53" s="1248"/>
      <c r="I53" s="1593" t="s">
        <v>1452</v>
      </c>
      <c r="J53" s="2356">
        <f ca="1">IF(M47="住宅",IF(D1="——",MAX(J51,L48),MAX(J51,L48-'数据-取费表'!B24)),IF(D1="——",MIN(J51,L48),MIN(J51,L48-'数据-取费表'!B24)))</f>
        <v>40.74</v>
      </c>
      <c r="K53" s="3525" t="s">
        <v>1453</v>
      </c>
      <c r="L53" s="3526"/>
      <c r="O53" s="1572" t="s">
        <v>1014</v>
      </c>
      <c r="P53" s="1573" t="s">
        <v>1454</v>
      </c>
      <c r="Q53" s="1574">
        <f ca="1">Q47+Q48</f>
        <v>14411</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f ca="1">ROUND(IF(J47="钢混",J57/J50,1-(1-2%)*(J50-J57)/J50),3)</f>
        <v>0.254</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2708</v>
      </c>
      <c r="D56" s="1601"/>
      <c r="E56" s="1602"/>
      <c r="F56" s="1594"/>
      <c r="I56" s="1603" t="s">
        <v>1459</v>
      </c>
      <c r="J56" s="1604" t="s">
        <v>3139</v>
      </c>
      <c r="K56" s="1575" t="s">
        <v>1460</v>
      </c>
      <c r="L56" s="1578" t="str">
        <f ca="1">IF(L48&lt;J51,"——",L48-J53)</f>
        <v>——</v>
      </c>
      <c r="O56" s="1572" t="s">
        <v>1008</v>
      </c>
      <c r="P56" s="1573" t="s">
        <v>1433</v>
      </c>
      <c r="Q56" s="1574">
        <f ca="1">C40+J29</f>
        <v>14308</v>
      </c>
      <c r="R56" s="1574" t="s">
        <v>1434</v>
      </c>
    </row>
    <row r="57" spans="1:18" s="1538" customFormat="1" ht="24.75" thickBot="1">
      <c r="A57" s="1605"/>
      <c r="B57" s="1081" t="s">
        <v>1383</v>
      </c>
      <c r="C57" s="244">
        <f ca="1">C29</f>
        <v>4923</v>
      </c>
      <c r="D57" s="1606"/>
      <c r="E57" s="1607"/>
      <c r="F57" s="1608"/>
      <c r="I57" s="1609" t="s">
        <v>1461</v>
      </c>
      <c r="J57" s="1610">
        <f ca="1">IF(OR(M47="住宅",J51&lt;L48,J56="是"),"——",J51-L48)</f>
        <v>15.259999999999998</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470</v>
      </c>
      <c r="D58" s="1091" t="s">
        <v>1330</v>
      </c>
      <c r="E58" s="1092"/>
      <c r="F58" s="1093"/>
      <c r="I58" s="1609" t="s">
        <v>1465</v>
      </c>
      <c r="J58" s="1611">
        <f ca="1">IF(J55&lt;0.4,0.4,J55)</f>
        <v>0.4</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418</v>
      </c>
      <c r="D59" s="1094" t="s">
        <v>1335</v>
      </c>
      <c r="E59" s="1095" t="s">
        <v>1336</v>
      </c>
      <c r="F59" s="2503" t="str">
        <f>IF(项目基本情况!B11="企业","——",IF('数据-取费表'!B10="住宅",IF(F49*F50*F51/12/(1+'数据-取费表'!F30)&gt;100000,4%,2.5%),IF(F49*F50*F51/12/(1+'数据-取费表'!F30)&gt;100000,12%,7%)))</f>
        <v>——</v>
      </c>
      <c r="I59" s="1609" t="s">
        <v>1468</v>
      </c>
      <c r="J59" s="1610">
        <f ca="1">IF(OR(M47="住宅",J51&lt;L48,J56="是"),"——",ROUND(C29*J58,0))</f>
        <v>1969</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f ca="1">IF(OR(M47="住宅",J51&lt;L48,J56="是"),"0",ROUND(J59/(1+J52)^J53,0))</f>
        <v>103</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413.53</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4.3499999999999996</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14308</v>
      </c>
      <c r="R62" s="1574" t="s">
        <v>1015</v>
      </c>
    </row>
    <row r="63" spans="1:18" s="1538" customFormat="1" ht="13.5" thickBot="1">
      <c r="A63" s="332"/>
      <c r="B63" s="1087"/>
      <c r="C63" s="29"/>
      <c r="D63" s="1097"/>
      <c r="E63" s="1081" t="s">
        <v>1404</v>
      </c>
      <c r="F63" s="309">
        <f t="shared" ca="1" si="0"/>
        <v>29031.75</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49.2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2.7</v>
      </c>
      <c r="D65" s="1095" t="s">
        <v>1359</v>
      </c>
      <c r="E65" s="1081" t="s">
        <v>1360</v>
      </c>
      <c r="F65" s="336">
        <f t="shared" ca="1" si="0"/>
        <v>1E-3</v>
      </c>
      <c r="I65" s="1616" t="s">
        <v>1484</v>
      </c>
      <c r="J65" s="1617">
        <v>40</v>
      </c>
      <c r="K65" s="1617">
        <v>30</v>
      </c>
      <c r="L65" s="1617">
        <v>50</v>
      </c>
      <c r="M65" s="1619">
        <v>0.02</v>
      </c>
      <c r="O65" s="1572" t="s">
        <v>1008</v>
      </c>
      <c r="P65" s="1573" t="s">
        <v>1485</v>
      </c>
      <c r="Q65" s="1574">
        <f ca="1">C40+J29</f>
        <v>14308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-470</v>
      </c>
      <c r="D67" s="1094" t="s">
        <v>1369</v>
      </c>
      <c r="E67" s="1099"/>
      <c r="F67" s="1100"/>
      <c r="O67" s="1582" t="s">
        <v>1010</v>
      </c>
      <c r="P67" s="1573" t="s">
        <v>1467</v>
      </c>
      <c r="Q67" s="1620">
        <f ca="1">L51</f>
        <v>7776</v>
      </c>
      <c r="R67" s="1574" t="s">
        <v>1487</v>
      </c>
    </row>
    <row r="68" spans="1:18" s="1538" customFormat="1" ht="16.5" thickBot="1">
      <c r="A68" s="1078" t="s">
        <v>1000</v>
      </c>
      <c r="B68" s="1079" t="s">
        <v>1390</v>
      </c>
      <c r="C68" s="307">
        <f ca="1">ROUND(C67*(1-((1+F70)/(1+F68))^F69)/(F68-F70),0)</f>
        <v>-8112</v>
      </c>
      <c r="D68" s="1096" t="s">
        <v>1374</v>
      </c>
      <c r="E68" s="1081" t="s">
        <v>1375</v>
      </c>
      <c r="F68" s="318">
        <f ca="1">F40</f>
        <v>0.05</v>
      </c>
      <c r="O68" s="1582" t="s">
        <v>1011</v>
      </c>
      <c r="P68" s="1621" t="s">
        <v>1488</v>
      </c>
      <c r="Q68" s="1574">
        <f ca="1">ROUND(Q69-Q70*Q71,0)</f>
        <v>382</v>
      </c>
      <c r="R68" s="1574" t="s">
        <v>1019</v>
      </c>
    </row>
    <row r="69" spans="1:18" s="1538" customFormat="1" ht="13.5" thickBot="1">
      <c r="A69" s="1082"/>
      <c r="B69" s="1083"/>
      <c r="C69" s="312"/>
      <c r="D69" s="1101" t="s">
        <v>1378</v>
      </c>
      <c r="E69" s="1081" t="s">
        <v>1379</v>
      </c>
      <c r="F69" s="339">
        <f ca="1">F41</f>
        <v>40.74</v>
      </c>
      <c r="O69" s="1582" t="s">
        <v>1016</v>
      </c>
      <c r="P69" s="1621" t="s">
        <v>1489</v>
      </c>
      <c r="Q69" s="1574">
        <f ca="1">C39</f>
        <v>572</v>
      </c>
      <c r="R69" s="1574" t="s">
        <v>1434</v>
      </c>
    </row>
    <row r="70" spans="1:18" s="1538" customFormat="1" ht="13.5" thickBot="1">
      <c r="A70" s="1085"/>
      <c r="B70" s="1086"/>
      <c r="C70" s="316"/>
      <c r="D70" s="1097"/>
      <c r="E70" s="1081" t="s">
        <v>1382</v>
      </c>
      <c r="F70" s="1185"/>
      <c r="O70" s="1582" t="s">
        <v>1017</v>
      </c>
      <c r="P70" s="1621" t="s">
        <v>1490</v>
      </c>
      <c r="Q70" s="1574">
        <f ca="1">C13</f>
        <v>2708</v>
      </c>
      <c r="R70" s="1574" t="s">
        <v>1434</v>
      </c>
    </row>
    <row r="71" spans="1:18" s="1538" customFormat="1" ht="13.5" thickBot="1">
      <c r="A71" s="1102" t="s">
        <v>1001</v>
      </c>
      <c r="B71" s="1103" t="s">
        <v>1392</v>
      </c>
      <c r="C71" s="342">
        <f ca="1">ROUND(C68*10000/F71,0)</f>
        <v>-3493</v>
      </c>
      <c r="D71" s="1104" t="s">
        <v>1393</v>
      </c>
      <c r="E71" s="1105" t="s">
        <v>1394</v>
      </c>
      <c r="F71" s="345">
        <f ca="1">F43</f>
        <v>23225</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190</v>
      </c>
      <c r="D75" s="1538"/>
      <c r="E75" s="1538"/>
      <c r="F75" s="1538"/>
      <c r="K75" s="1556"/>
      <c r="L75" s="1538"/>
      <c r="O75" s="1572" t="s">
        <v>1014</v>
      </c>
      <c r="P75" s="1573" t="s">
        <v>1454</v>
      </c>
      <c r="Q75" s="1574">
        <f ca="1">Q65+Q66</f>
        <v>14308</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0.66799999999999993</v>
      </c>
    </row>
    <row r="80" spans="1:18">
      <c r="B80" s="346" t="s">
        <v>1416</v>
      </c>
      <c r="C80" s="280">
        <f ca="1">ROUND(C75/C39,3)</f>
        <v>0.33200000000000002</v>
      </c>
    </row>
    <row r="81" spans="2:3">
      <c r="B81" s="276" t="s">
        <v>1417</v>
      </c>
      <c r="C81" s="244"/>
    </row>
    <row r="82" spans="2:3">
      <c r="B82" s="279" t="s">
        <v>1418</v>
      </c>
      <c r="C82" s="281">
        <f ca="1">1-C83</f>
        <v>0.81099999999999994</v>
      </c>
    </row>
    <row r="83" spans="2:3">
      <c r="B83" s="279" t="s">
        <v>1419</v>
      </c>
      <c r="C83" s="280">
        <f ca="1">ROUND(C13/C40,3)</f>
        <v>0.189</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-0.44999999999999996</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527" t="s">
        <v>1308</v>
      </c>
      <c r="C6" s="1206">
        <f ca="1">ROUND(F6*F8*F7*(1-F9),0)</f>
        <v>0</v>
      </c>
      <c r="D6" s="160" t="s">
        <v>2783</v>
      </c>
      <c r="E6" s="308" t="s">
        <v>1310</v>
      </c>
      <c r="F6" s="309">
        <f ca="1">INDIRECT("'数据-取费表'!u"&amp;$G$1)</f>
        <v>0</v>
      </c>
      <c r="G6" s="1538"/>
      <c r="H6" s="1201" t="s">
        <v>1003</v>
      </c>
      <c r="I6" s="3527" t="s">
        <v>1308</v>
      </c>
      <c r="J6" s="307">
        <f ca="1">ROUND(M6*M8*M7*(1-M9),0)</f>
        <v>0</v>
      </c>
      <c r="K6" s="1530" t="s">
        <v>2784</v>
      </c>
      <c r="L6" s="308" t="s">
        <v>1310</v>
      </c>
      <c r="M6" s="309">
        <f ca="1">INDIRECT("'数据-取费表'!z"&amp;$G$1)</f>
        <v>0</v>
      </c>
    </row>
    <row r="7" spans="1:37" ht="18" customHeight="1">
      <c r="A7" s="1205"/>
      <c r="B7" s="3528"/>
      <c r="C7" s="1207"/>
      <c r="D7" s="313"/>
      <c r="E7" s="1208" t="s">
        <v>1311</v>
      </c>
      <c r="F7" s="309">
        <f ca="1">IF(INDIRECT("'数据-取费表'!ah"&amp;$G$1)="",INDIRECT("'数据-取费表'!k"&amp;$G$1),INDIRECT("'数据-取费表'!ah"&amp;$G$1))</f>
        <v>0</v>
      </c>
      <c r="G7" s="1538"/>
      <c r="H7" s="310"/>
      <c r="I7" s="3528"/>
      <c r="J7" s="312"/>
      <c r="K7" s="313"/>
      <c r="L7" s="308" t="s">
        <v>1311</v>
      </c>
      <c r="M7" s="309">
        <f ca="1">F7</f>
        <v>0</v>
      </c>
    </row>
    <row r="8" spans="1:37" ht="18" customHeight="1">
      <c r="A8" s="310"/>
      <c r="B8" s="3528"/>
      <c r="C8" s="312"/>
      <c r="D8" s="313"/>
      <c r="E8" s="308" t="s">
        <v>1312</v>
      </c>
      <c r="F8" s="309">
        <f ca="1">INDIRECT("'数据-取费表'!ai"&amp;$G$1)</f>
        <v>0</v>
      </c>
      <c r="G8" s="1538"/>
      <c r="H8" s="310"/>
      <c r="I8" s="3528"/>
      <c r="J8" s="312"/>
      <c r="K8" s="313"/>
      <c r="L8" s="308" t="s">
        <v>1312</v>
      </c>
      <c r="M8" s="309">
        <f ca="1">INDIRECT("'数据-取费表'!ai"&amp;$G$1)</f>
        <v>0</v>
      </c>
    </row>
    <row r="9" spans="1:37" ht="18" customHeight="1">
      <c r="A9" s="310"/>
      <c r="B9" s="3529"/>
      <c r="C9" s="312"/>
      <c r="D9" s="313"/>
      <c r="E9" s="308" t="s">
        <v>1313</v>
      </c>
      <c r="F9" s="318">
        <f ca="1">INDIRECT("'数据-取费表'!w"&amp;$G$1)</f>
        <v>0</v>
      </c>
      <c r="G9" s="1538"/>
      <c r="H9" s="310"/>
      <c r="I9" s="352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2793</v>
      </c>
      <c r="E10" s="319" t="s">
        <v>1315</v>
      </c>
      <c r="F10" s="1248"/>
      <c r="G10" s="1538"/>
      <c r="H10" s="1201" t="s">
        <v>1007</v>
      </c>
      <c r="I10" s="1519" t="s">
        <v>1314</v>
      </c>
      <c r="J10" s="307">
        <f ca="1">ROUND(IF(M10="押一",J6/12*M11,IF(M10="押二",J6/12*2*M11,IF(M10="押三",J6/12*3*M11,J11*M11))),0)</f>
        <v>0</v>
      </c>
      <c r="K10" s="1531" t="s">
        <v>2795</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0.01</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2993</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-0.44999999999999996</v>
      </c>
      <c r="R52" s="1574" t="s">
        <v>1451</v>
      </c>
    </row>
    <row r="53" spans="1:18" s="1538" customFormat="1" ht="30.75" customHeight="1" thickBot="1">
      <c r="A53" s="1243" t="s">
        <v>1046</v>
      </c>
      <c r="B53" s="329"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-0.44999999999999996</v>
      </c>
      <c r="K53" s="3525" t="s">
        <v>1453</v>
      </c>
      <c r="L53" s="352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3121</v>
      </c>
      <c r="B1" s="3033"/>
      <c r="C1" s="3045"/>
      <c r="D1" s="3045"/>
      <c r="E1" s="3034"/>
      <c r="F1" s="3035"/>
      <c r="G1" s="3036"/>
      <c r="J1" s="3039" t="s">
        <v>3000</v>
      </c>
      <c r="K1" s="3040"/>
      <c r="L1" s="3040"/>
      <c r="M1" s="3040"/>
      <c r="N1" s="3040"/>
      <c r="O1" s="3040"/>
      <c r="P1" s="3040"/>
      <c r="Q1" s="3040"/>
      <c r="R1" s="3041"/>
      <c r="S1" s="3042"/>
      <c r="T1" s="3042"/>
      <c r="U1" s="3042"/>
    </row>
    <row r="2" spans="1:22" s="3054" customFormat="1" ht="13.15" customHeight="1">
      <c r="A2" s="1539" t="s">
        <v>3001</v>
      </c>
      <c r="B2" s="3044" t="e">
        <f>C40</f>
        <v>#DIV/0!</v>
      </c>
      <c r="C2" s="3045" t="s">
        <v>3002</v>
      </c>
      <c r="D2" s="3045"/>
      <c r="E2" s="3046"/>
      <c r="F2" s="3047"/>
      <c r="G2" s="3048"/>
      <c r="H2" s="3049"/>
      <c r="I2" s="3050"/>
      <c r="J2" s="3536" t="s">
        <v>3003</v>
      </c>
      <c r="K2" s="3537"/>
      <c r="L2" s="3051" t="s">
        <v>3004</v>
      </c>
      <c r="M2" s="3051" t="s">
        <v>3005</v>
      </c>
      <c r="N2" s="3051" t="s">
        <v>3006</v>
      </c>
      <c r="O2" s="3051" t="s">
        <v>3007</v>
      </c>
      <c r="P2" s="3051" t="s">
        <v>3008</v>
      </c>
      <c r="Q2" s="3052" t="s">
        <v>3009</v>
      </c>
      <c r="R2" s="3053" t="s">
        <v>3010</v>
      </c>
      <c r="S2" s="3042"/>
      <c r="T2" s="3042"/>
      <c r="U2" s="3042"/>
      <c r="V2" s="3050"/>
    </row>
    <row r="3" spans="1:22" s="3054" customFormat="1" ht="13.15" customHeight="1">
      <c r="A3" s="3055" t="s">
        <v>3011</v>
      </c>
      <c r="B3" s="3056" t="e">
        <f>ROUND(B2*10000/B4,0)</f>
        <v>#DIV/0!</v>
      </c>
      <c r="C3" s="3045" t="s">
        <v>3012</v>
      </c>
      <c r="D3" s="3045"/>
      <c r="E3" s="3046"/>
      <c r="F3" s="3047"/>
      <c r="G3" s="3048"/>
      <c r="H3" s="3049"/>
      <c r="I3" s="3050"/>
      <c r="J3" s="3538" t="s">
        <v>3013</v>
      </c>
      <c r="K3" s="3539"/>
      <c r="L3" s="3057"/>
      <c r="M3" s="3057"/>
      <c r="N3" s="3057"/>
      <c r="O3" s="3057"/>
      <c r="P3" s="3057"/>
      <c r="Q3" s="3058"/>
      <c r="R3" s="3059">
        <f>SUM(L3:Q3)</f>
        <v>0</v>
      </c>
      <c r="S3" s="3042"/>
      <c r="T3" s="3042"/>
      <c r="U3" s="3042"/>
      <c r="V3" s="3050"/>
    </row>
    <row r="4" spans="1:22" s="3054" customFormat="1" ht="13.15" customHeight="1">
      <c r="A4" s="3060" t="s">
        <v>3014</v>
      </c>
      <c r="B4" s="3061"/>
      <c r="C4" s="3045"/>
      <c r="D4" s="3045"/>
      <c r="E4" s="3046"/>
      <c r="F4" s="3047"/>
      <c r="G4" s="3048"/>
      <c r="H4" s="3049"/>
      <c r="I4" s="3050"/>
      <c r="J4" s="3538" t="s">
        <v>3015</v>
      </c>
      <c r="K4" s="3539"/>
      <c r="L4" s="3062"/>
      <c r="M4" s="3062"/>
      <c r="N4" s="3062"/>
      <c r="O4" s="3062"/>
      <c r="P4" s="3062"/>
      <c r="Q4" s="3063"/>
      <c r="R4" s="3064">
        <f>SUM(L4:Q4)</f>
        <v>0</v>
      </c>
      <c r="S4" s="3042"/>
      <c r="T4" s="3042"/>
      <c r="U4" s="3042"/>
      <c r="V4" s="3050"/>
    </row>
    <row r="5" spans="1:22" s="3054" customFormat="1" ht="13.15" customHeight="1" thickBot="1">
      <c r="A5" s="3065" t="s">
        <v>3016</v>
      </c>
      <c r="B5" s="3066"/>
      <c r="C5" s="3045"/>
      <c r="D5" s="3067"/>
      <c r="E5" s="3047"/>
      <c r="F5" s="3047"/>
      <c r="G5" s="3048"/>
      <c r="H5" s="3049"/>
      <c r="I5" s="3050"/>
      <c r="J5" s="3068" t="s">
        <v>3017</v>
      </c>
      <c r="K5" s="3069"/>
      <c r="L5" s="3069"/>
      <c r="M5" s="3070"/>
      <c r="N5" s="3070"/>
      <c r="O5" s="3070"/>
      <c r="P5" s="3070"/>
      <c r="Q5" s="3070"/>
      <c r="R5" s="3053">
        <f>SUM(R14,R19,R24,R25,R27,R28)</f>
        <v>0</v>
      </c>
      <c r="S5" s="3042"/>
      <c r="T5" s="3042" t="s">
        <v>3018</v>
      </c>
      <c r="U5" s="3042" t="e">
        <f>ROUND(R5*10000/365/R3,1)</f>
        <v>#DIV/0!</v>
      </c>
      <c r="V5" s="3050"/>
    </row>
    <row r="6" spans="1:22" s="3054" customFormat="1" ht="13.15" customHeight="1" thickBot="1">
      <c r="A6" s="3544" t="s">
        <v>3019</v>
      </c>
      <c r="B6" s="3545"/>
      <c r="C6" s="3546"/>
      <c r="D6" s="3071"/>
      <c r="E6" s="3072"/>
      <c r="F6" s="3073"/>
      <c r="G6" s="3074"/>
      <c r="H6" s="3049"/>
      <c r="I6" s="3050"/>
      <c r="J6" s="3530">
        <v>1</v>
      </c>
      <c r="K6" s="3531" t="s">
        <v>3020</v>
      </c>
      <c r="L6" s="3075" t="s">
        <v>3021</v>
      </c>
      <c r="M6" s="3076" t="s">
        <v>3022</v>
      </c>
      <c r="N6" s="3076" t="s">
        <v>3023</v>
      </c>
      <c r="O6" s="3076" t="s">
        <v>3024</v>
      </c>
      <c r="P6" s="3076" t="s">
        <v>3025</v>
      </c>
      <c r="Q6" s="3076" t="s">
        <v>3026</v>
      </c>
      <c r="R6" s="3059" t="s">
        <v>3027</v>
      </c>
      <c r="S6" s="3042"/>
      <c r="T6" s="3042" t="s">
        <v>3028</v>
      </c>
      <c r="U6" s="3042"/>
      <c r="V6" s="3050"/>
    </row>
    <row r="7" spans="1:22" s="3054" customFormat="1" ht="13.15" customHeight="1">
      <c r="A7" s="3077" t="s">
        <v>3029</v>
      </c>
      <c r="B7" s="3078"/>
      <c r="C7" s="3079"/>
      <c r="D7" s="3080">
        <f>SUM(D9,D10,D11,D17,0)</f>
        <v>0</v>
      </c>
      <c r="E7" s="3081" t="e">
        <f>E9+E10+E11+E17</f>
        <v>#DIV/0!</v>
      </c>
      <c r="F7" s="3082"/>
      <c r="G7" s="3083"/>
      <c r="H7" s="3049"/>
      <c r="I7" s="3050"/>
      <c r="J7" s="3530"/>
      <c r="K7" s="3532"/>
      <c r="L7" s="3084" t="s">
        <v>3030</v>
      </c>
      <c r="M7" s="3085"/>
      <c r="N7" s="3061"/>
      <c r="O7" s="3086"/>
      <c r="P7" s="3086"/>
      <c r="Q7" s="3087">
        <v>365</v>
      </c>
      <c r="R7" s="3088">
        <f>ROUND(M7*N7*O7*P7*Q7/10000,0)</f>
        <v>0</v>
      </c>
      <c r="S7" s="3042"/>
      <c r="T7" s="3042" t="s">
        <v>3031</v>
      </c>
      <c r="U7" s="3042"/>
      <c r="V7" s="3050"/>
    </row>
    <row r="8" spans="1:22" s="3054" customFormat="1" ht="13.15" customHeight="1">
      <c r="A8" s="3089" t="s">
        <v>3032</v>
      </c>
      <c r="B8" s="3547" t="s">
        <v>3033</v>
      </c>
      <c r="C8" s="3548"/>
      <c r="D8" s="3090" t="s">
        <v>3034</v>
      </c>
      <c r="E8" s="3091" t="s">
        <v>3035</v>
      </c>
      <c r="F8" s="3092" t="s">
        <v>3036</v>
      </c>
      <c r="G8" s="3093"/>
      <c r="H8" s="3049"/>
      <c r="I8" s="3050"/>
      <c r="J8" s="3530"/>
      <c r="K8" s="3532"/>
      <c r="L8" s="3084" t="s">
        <v>3037</v>
      </c>
      <c r="M8" s="3085"/>
      <c r="N8" s="3061"/>
      <c r="O8" s="3086"/>
      <c r="P8" s="3086"/>
      <c r="Q8" s="3087">
        <v>365</v>
      </c>
      <c r="R8" s="3088">
        <f t="shared" ref="R8:R13" si="0">ROUND(M8*N8*O8*P8*Q8/10000,0)</f>
        <v>0</v>
      </c>
      <c r="S8" s="3042"/>
      <c r="T8" s="3042" t="s">
        <v>3038</v>
      </c>
      <c r="U8" s="3042"/>
      <c r="V8" s="3050"/>
    </row>
    <row r="9" spans="1:22" s="3054" customFormat="1" ht="13.15" customHeight="1">
      <c r="A9" s="3089">
        <v>1</v>
      </c>
      <c r="B9" s="3547" t="s">
        <v>3039</v>
      </c>
      <c r="C9" s="3548"/>
      <c r="D9" s="3090">
        <f>ROUND(D6*E9,0)</f>
        <v>0</v>
      </c>
      <c r="E9" s="3094"/>
      <c r="F9" s="3095" t="s">
        <v>3040</v>
      </c>
      <c r="G9" s="3074"/>
      <c r="H9" s="3049"/>
      <c r="I9" s="3050"/>
      <c r="J9" s="3530"/>
      <c r="K9" s="3532"/>
      <c r="L9" s="3084" t="s">
        <v>3041</v>
      </c>
      <c r="M9" s="3085"/>
      <c r="N9" s="3061"/>
      <c r="O9" s="3086"/>
      <c r="P9" s="3086"/>
      <c r="Q9" s="3087">
        <v>365</v>
      </c>
      <c r="R9" s="3088">
        <f t="shared" si="0"/>
        <v>0</v>
      </c>
      <c r="S9" s="3042"/>
      <c r="T9" s="3042"/>
      <c r="U9" s="3042"/>
      <c r="V9" s="3050"/>
    </row>
    <row r="10" spans="1:22" s="3054" customFormat="1" ht="13.15" customHeight="1">
      <c r="A10" s="3089">
        <v>2</v>
      </c>
      <c r="B10" s="3547" t="s">
        <v>3042</v>
      </c>
      <c r="C10" s="3548"/>
      <c r="D10" s="3090">
        <f>ROUND(D6*E10,0)</f>
        <v>0</v>
      </c>
      <c r="E10" s="3094"/>
      <c r="F10" s="3095" t="s">
        <v>3043</v>
      </c>
      <c r="G10" s="3074"/>
      <c r="H10" s="3049"/>
      <c r="I10" s="3050"/>
      <c r="J10" s="3530"/>
      <c r="K10" s="3532"/>
      <c r="L10" s="3084" t="s">
        <v>3044</v>
      </c>
      <c r="M10" s="3085"/>
      <c r="N10" s="3061"/>
      <c r="O10" s="3086"/>
      <c r="P10" s="3086"/>
      <c r="Q10" s="3087">
        <v>365</v>
      </c>
      <c r="R10" s="3088">
        <f t="shared" si="0"/>
        <v>0</v>
      </c>
      <c r="S10" s="3042"/>
      <c r="T10" s="3042"/>
      <c r="U10" s="3042"/>
      <c r="V10" s="3050"/>
    </row>
    <row r="11" spans="1:22" s="3054" customFormat="1" ht="13.15" customHeight="1">
      <c r="A11" s="3089">
        <v>3</v>
      </c>
      <c r="B11" s="3547" t="s">
        <v>3045</v>
      </c>
      <c r="C11" s="3548"/>
      <c r="D11" s="3090">
        <f>D12+D14+D15+D16</f>
        <v>0</v>
      </c>
      <c r="E11" s="3096" t="e">
        <f>D11/D6</f>
        <v>#DIV/0!</v>
      </c>
      <c r="F11" s="3092"/>
      <c r="G11" s="3093"/>
      <c r="H11" s="3049"/>
      <c r="I11" s="3050"/>
      <c r="J11" s="3530"/>
      <c r="K11" s="3532"/>
      <c r="L11" s="3084" t="s">
        <v>3046</v>
      </c>
      <c r="M11" s="3085"/>
      <c r="N11" s="3061"/>
      <c r="O11" s="3086"/>
      <c r="P11" s="3086"/>
      <c r="Q11" s="3087">
        <v>365</v>
      </c>
      <c r="R11" s="3088">
        <f t="shared" si="0"/>
        <v>0</v>
      </c>
      <c r="S11" s="3042"/>
      <c r="T11" s="3042"/>
      <c r="U11" s="3042"/>
      <c r="V11" s="3050"/>
    </row>
    <row r="12" spans="1:22" s="3054" customFormat="1" ht="13.15" customHeight="1">
      <c r="A12" s="3097" t="s">
        <v>3047</v>
      </c>
      <c r="B12" s="3540" t="s">
        <v>3048</v>
      </c>
      <c r="C12" s="3541"/>
      <c r="D12" s="3098">
        <f>ROUND(D13*1.2%*(1-30%),0)</f>
        <v>0</v>
      </c>
      <c r="E12" s="3099">
        <v>1.2E-2</v>
      </c>
      <c r="F12" s="3092" t="s">
        <v>3049</v>
      </c>
      <c r="G12" s="3093"/>
      <c r="H12" s="3049"/>
      <c r="I12" s="3050"/>
      <c r="J12" s="3530"/>
      <c r="K12" s="3532"/>
      <c r="L12" s="3084" t="s">
        <v>3050</v>
      </c>
      <c r="M12" s="3085"/>
      <c r="N12" s="3061"/>
      <c r="O12" s="3086"/>
      <c r="P12" s="3086"/>
      <c r="Q12" s="3087">
        <v>365</v>
      </c>
      <c r="R12" s="3088">
        <f t="shared" si="0"/>
        <v>0</v>
      </c>
      <c r="S12" s="3042"/>
      <c r="T12" s="3042"/>
      <c r="U12" s="3042"/>
      <c r="V12" s="3050"/>
    </row>
    <row r="13" spans="1:22" s="3054" customFormat="1" ht="13.15" customHeight="1">
      <c r="A13" s="3097"/>
      <c r="B13" s="3100"/>
      <c r="C13" s="3101" t="s">
        <v>3051</v>
      </c>
      <c r="D13" s="3102"/>
      <c r="E13" s="3103"/>
      <c r="F13" s="3092"/>
      <c r="G13" s="3093"/>
      <c r="H13" s="3049"/>
      <c r="I13" s="3050"/>
      <c r="J13" s="3530"/>
      <c r="K13" s="3532"/>
      <c r="L13" s="3084" t="s">
        <v>3052</v>
      </c>
      <c r="M13" s="3085"/>
      <c r="N13" s="3061"/>
      <c r="O13" s="3086"/>
      <c r="P13" s="3086"/>
      <c r="Q13" s="3087">
        <v>365</v>
      </c>
      <c r="R13" s="3088">
        <f t="shared" si="0"/>
        <v>0</v>
      </c>
      <c r="S13" s="3042"/>
      <c r="T13" s="3042"/>
      <c r="U13" s="3042"/>
      <c r="V13" s="3050"/>
    </row>
    <row r="14" spans="1:22" s="3054" customFormat="1" ht="13.15" customHeight="1">
      <c r="A14" s="3097" t="s">
        <v>3053</v>
      </c>
      <c r="B14" s="3540" t="s">
        <v>3054</v>
      </c>
      <c r="C14" s="3541"/>
      <c r="D14" s="3098">
        <f>ROUND(E14*B5/10000,0)</f>
        <v>0</v>
      </c>
      <c r="E14" s="3087"/>
      <c r="F14" s="3092" t="s">
        <v>3055</v>
      </c>
      <c r="G14" s="3093"/>
      <c r="H14" s="3049"/>
      <c r="I14" s="3050"/>
      <c r="J14" s="3530"/>
      <c r="K14" s="3533"/>
      <c r="L14" s="3104" t="s">
        <v>3056</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3057</v>
      </c>
      <c r="B15" s="3540" t="s">
        <v>3058</v>
      </c>
      <c r="C15" s="3541"/>
      <c r="D15" s="3098">
        <f>ROUND(D6*E15,0)</f>
        <v>0</v>
      </c>
      <c r="E15" s="3099">
        <v>5.5E-2</v>
      </c>
      <c r="F15" s="3092" t="s">
        <v>3059</v>
      </c>
      <c r="G15" s="3074"/>
      <c r="H15" s="3049"/>
      <c r="I15" s="3050"/>
      <c r="J15" s="3530">
        <v>2</v>
      </c>
      <c r="K15" s="3531" t="s">
        <v>3060</v>
      </c>
      <c r="L15" s="3084" t="s">
        <v>3061</v>
      </c>
      <c r="M15" s="3085" t="s">
        <v>3062</v>
      </c>
      <c r="N15" s="3085" t="s">
        <v>3063</v>
      </c>
      <c r="O15" s="3086" t="s">
        <v>3064</v>
      </c>
      <c r="P15" s="3086" t="s">
        <v>3026</v>
      </c>
      <c r="Q15" s="3061" t="s">
        <v>3065</v>
      </c>
      <c r="R15" s="3108" t="s">
        <v>3027</v>
      </c>
      <c r="S15" s="3042"/>
      <c r="T15" s="3042"/>
      <c r="U15" s="3042"/>
      <c r="V15" s="3050"/>
    </row>
    <row r="16" spans="1:22" s="3054" customFormat="1" ht="13.15" customHeight="1">
      <c r="A16" s="3097" t="s">
        <v>3066</v>
      </c>
      <c r="B16" s="3540" t="s">
        <v>3067</v>
      </c>
      <c r="C16" s="3541"/>
      <c r="D16" s="3109">
        <f>D6*E16</f>
        <v>0</v>
      </c>
      <c r="E16" s="3110"/>
      <c r="F16" s="3095" t="s">
        <v>3068</v>
      </c>
      <c r="G16" s="3074"/>
      <c r="H16" s="3049"/>
      <c r="I16" s="3050"/>
      <c r="J16" s="3530"/>
      <c r="K16" s="3532"/>
      <c r="L16" s="3084" t="s">
        <v>3069</v>
      </c>
      <c r="M16" s="3085"/>
      <c r="N16" s="3085"/>
      <c r="O16" s="3086"/>
      <c r="P16" s="3087">
        <v>365</v>
      </c>
      <c r="Q16" s="3061"/>
      <c r="R16" s="3108">
        <f>ROUND(M16*N16*O16*P16/10000,0)</f>
        <v>0</v>
      </c>
      <c r="S16" s="3042"/>
      <c r="T16" s="3042"/>
      <c r="U16" s="3042"/>
      <c r="V16" s="3050"/>
    </row>
    <row r="17" spans="1:22" s="3054" customFormat="1" ht="13.15" customHeight="1" thickBot="1">
      <c r="A17" s="3111">
        <v>4</v>
      </c>
      <c r="B17" s="3542" t="s">
        <v>3070</v>
      </c>
      <c r="C17" s="3543"/>
      <c r="D17" s="3112">
        <f>ROUND(D6*E17,0)</f>
        <v>0</v>
      </c>
      <c r="E17" s="3113"/>
      <c r="F17" s="3114" t="s">
        <v>3071</v>
      </c>
      <c r="G17" s="3074"/>
      <c r="H17" s="3049"/>
      <c r="I17" s="3050"/>
      <c r="J17" s="3530"/>
      <c r="K17" s="3532"/>
      <c r="L17" s="3084" t="s">
        <v>3072</v>
      </c>
      <c r="M17" s="3085"/>
      <c r="N17" s="3085"/>
      <c r="O17" s="3086"/>
      <c r="P17" s="3087">
        <v>365</v>
      </c>
      <c r="Q17" s="3061"/>
      <c r="R17" s="3108">
        <f>ROUND(M17*N17*O17*P17/10000,0)</f>
        <v>0</v>
      </c>
      <c r="S17" s="3042"/>
      <c r="T17" s="3042"/>
      <c r="U17" s="3042"/>
      <c r="V17" s="3050"/>
    </row>
    <row r="18" spans="1:22" s="3054" customFormat="1" ht="13.15" customHeight="1" thickBot="1">
      <c r="A18" s="3077" t="s">
        <v>3073</v>
      </c>
      <c r="B18" s="3078"/>
      <c r="C18" s="3078"/>
      <c r="D18" s="3115">
        <f>ROUND(D6*E18,0)</f>
        <v>0</v>
      </c>
      <c r="E18" s="3116"/>
      <c r="F18" s="3117" t="s">
        <v>3074</v>
      </c>
      <c r="G18" s="3074"/>
      <c r="H18" s="3049"/>
      <c r="I18" s="3050"/>
      <c r="J18" s="3530"/>
      <c r="K18" s="3532"/>
      <c r="L18" s="3084" t="s">
        <v>3075</v>
      </c>
      <c r="M18" s="3085"/>
      <c r="N18" s="3085"/>
      <c r="O18" s="3086"/>
      <c r="P18" s="3087">
        <v>365</v>
      </c>
      <c r="Q18" s="3061"/>
      <c r="R18" s="3108">
        <f>ROUND(M18*N18*O18*P18/10000,0)</f>
        <v>0</v>
      </c>
      <c r="S18" s="3042"/>
      <c r="T18" s="3042"/>
      <c r="U18" s="3042"/>
      <c r="V18" s="3050"/>
    </row>
    <row r="19" spans="1:22" s="3054" customFormat="1" ht="13.15" customHeight="1" thickBot="1">
      <c r="A19" s="3118" t="s">
        <v>3076</v>
      </c>
      <c r="B19" s="3072"/>
      <c r="C19" s="3072"/>
      <c r="D19" s="3072"/>
      <c r="E19" s="3072"/>
      <c r="F19" s="3073"/>
      <c r="G19" s="3093"/>
      <c r="H19" s="3049"/>
      <c r="I19" s="3050"/>
      <c r="J19" s="3530"/>
      <c r="K19" s="3533"/>
      <c r="L19" s="3104" t="s">
        <v>3056</v>
      </c>
      <c r="M19" s="3105"/>
      <c r="N19" s="3105">
        <f>SUM(N16:N18)</f>
        <v>0</v>
      </c>
      <c r="O19" s="3106"/>
      <c r="P19" s="3119" t="s">
        <v>3120</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530">
        <v>3</v>
      </c>
      <c r="K20" s="3531" t="s">
        <v>3077</v>
      </c>
      <c r="L20" s="3084" t="s">
        <v>3078</v>
      </c>
      <c r="M20" s="3085" t="s">
        <v>3079</v>
      </c>
      <c r="N20" s="3122" t="s">
        <v>3080</v>
      </c>
      <c r="O20" s="3086" t="s">
        <v>3081</v>
      </c>
      <c r="P20" s="3087" t="s">
        <v>3082</v>
      </c>
      <c r="Q20" s="3061" t="s">
        <v>3083</v>
      </c>
      <c r="R20" s="3108" t="s">
        <v>3084</v>
      </c>
      <c r="S20" s="3123"/>
      <c r="T20" s="3123"/>
      <c r="U20" s="3123"/>
      <c r="V20" s="3050"/>
    </row>
    <row r="21" spans="1:22" s="3054" customFormat="1" ht="13.15" customHeight="1">
      <c r="A21" s="3077"/>
      <c r="B21" s="3078"/>
      <c r="C21" s="3124" t="s">
        <v>3085</v>
      </c>
      <c r="D21" s="3125" t="s">
        <v>3086</v>
      </c>
      <c r="E21" s="3126" t="s">
        <v>3087</v>
      </c>
      <c r="F21" s="3121"/>
      <c r="G21" s="3093"/>
      <c r="H21" s="3049"/>
      <c r="I21" s="3050"/>
      <c r="J21" s="3530"/>
      <c r="K21" s="3532"/>
      <c r="L21" s="3084" t="s">
        <v>3088</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3089</v>
      </c>
      <c r="D22" s="3129" t="s">
        <v>3090</v>
      </c>
      <c r="E22" s="3130" t="s">
        <v>3091</v>
      </c>
      <c r="F22" s="3121"/>
      <c r="G22" s="3131"/>
      <c r="H22" s="3049"/>
      <c r="I22" s="3050"/>
      <c r="J22" s="3530"/>
      <c r="K22" s="3532"/>
      <c r="L22" s="3084" t="s">
        <v>3092</v>
      </c>
      <c r="M22" s="3085"/>
      <c r="N22" s="3085"/>
      <c r="O22" s="3086"/>
      <c r="P22" s="3087">
        <v>365</v>
      </c>
      <c r="Q22" s="3061"/>
      <c r="R22" s="3127">
        <f>ROUND(M22*N22*O22*P22/10000,0)</f>
        <v>0</v>
      </c>
      <c r="S22" s="3123"/>
      <c r="T22" s="3123"/>
      <c r="U22" s="3123"/>
      <c r="V22" s="3050"/>
    </row>
    <row r="23" spans="1:22" s="3054" customFormat="1" ht="13.15" customHeight="1">
      <c r="A23" s="3132">
        <v>1</v>
      </c>
      <c r="B23" s="3133" t="s">
        <v>3093</v>
      </c>
      <c r="C23" s="3134">
        <f>D6</f>
        <v>0</v>
      </c>
      <c r="D23" s="3135">
        <f>C23*(1+D24)</f>
        <v>0</v>
      </c>
      <c r="E23" s="3136">
        <f>D23*(1+E24)</f>
        <v>0</v>
      </c>
      <c r="F23" s="3137"/>
      <c r="G23" s="3138"/>
      <c r="H23" s="3049"/>
      <c r="I23" s="3050"/>
      <c r="J23" s="3530"/>
      <c r="K23" s="3532"/>
      <c r="L23" s="3084" t="s">
        <v>3094</v>
      </c>
      <c r="M23" s="3085"/>
      <c r="N23" s="3085"/>
      <c r="O23" s="3086"/>
      <c r="P23" s="3087">
        <v>365</v>
      </c>
      <c r="Q23" s="3061"/>
      <c r="R23" s="3127">
        <f>ROUND(M23*N23*O23*P23/10000,0)</f>
        <v>0</v>
      </c>
      <c r="S23" s="3042"/>
      <c r="T23" s="3042"/>
      <c r="U23" s="3042"/>
      <c r="V23" s="3050"/>
    </row>
    <row r="24" spans="1:22" s="3054" customFormat="1" ht="13.15" customHeight="1">
      <c r="A24" s="3139"/>
      <c r="B24" s="3140" t="s">
        <v>3095</v>
      </c>
      <c r="C24" s="3141"/>
      <c r="D24" s="3142"/>
      <c r="E24" s="3143"/>
      <c r="F24" s="3144"/>
      <c r="G24" s="3138"/>
      <c r="H24" s="3049"/>
      <c r="I24" s="3050"/>
      <c r="J24" s="3530"/>
      <c r="K24" s="3533"/>
      <c r="L24" s="3104" t="s">
        <v>3056</v>
      </c>
      <c r="M24" s="3105">
        <f>SUM(M21:M23)</f>
        <v>0</v>
      </c>
      <c r="N24" s="3105"/>
      <c r="O24" s="3106"/>
      <c r="P24" s="3119" t="s">
        <v>3120</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3096</v>
      </c>
      <c r="L25" s="3147"/>
      <c r="M25" s="3147"/>
      <c r="N25" s="3147"/>
      <c r="O25" s="3147"/>
      <c r="P25" s="3148"/>
      <c r="Q25" s="3149">
        <v>0</v>
      </c>
      <c r="R25" s="3120">
        <f>ROUND(R14*Q25,0)</f>
        <v>0</v>
      </c>
      <c r="S25" s="3042"/>
      <c r="T25" s="3042"/>
      <c r="U25" s="3042"/>
      <c r="V25" s="3150"/>
    </row>
    <row r="26" spans="1:22" s="3151" customFormat="1" ht="13.15" customHeight="1">
      <c r="A26" s="3132">
        <v>2</v>
      </c>
      <c r="B26" s="3133" t="s">
        <v>3097</v>
      </c>
      <c r="C26" s="3134">
        <f>D7</f>
        <v>0</v>
      </c>
      <c r="D26" s="3135">
        <f>D23*D27</f>
        <v>0</v>
      </c>
      <c r="E26" s="3136">
        <f>E23*E27</f>
        <v>0</v>
      </c>
      <c r="F26" s="3137"/>
      <c r="G26" s="3138"/>
      <c r="H26" s="3049"/>
      <c r="I26" s="3050"/>
      <c r="J26" s="3534">
        <v>5</v>
      </c>
      <c r="K26" s="3152" t="s">
        <v>3098</v>
      </c>
      <c r="L26" s="3153"/>
      <c r="M26" s="3154"/>
      <c r="N26" s="3155" t="s">
        <v>3099</v>
      </c>
      <c r="O26" s="3155" t="s">
        <v>3100</v>
      </c>
      <c r="P26" s="3156" t="s">
        <v>3101</v>
      </c>
      <c r="Q26" s="3156" t="s">
        <v>3102</v>
      </c>
      <c r="R26" s="3059" t="s">
        <v>3027</v>
      </c>
      <c r="S26" s="3157"/>
      <c r="T26" s="3157"/>
      <c r="U26" s="3157"/>
      <c r="V26" s="3150"/>
    </row>
    <row r="27" spans="1:22" s="3054" customFormat="1" ht="13.15" customHeight="1">
      <c r="A27" s="3139"/>
      <c r="B27" s="3140" t="s">
        <v>3103</v>
      </c>
      <c r="C27" s="3158" t="e">
        <f>E7</f>
        <v>#DIV/0!</v>
      </c>
      <c r="D27" s="3142"/>
      <c r="E27" s="3143"/>
      <c r="F27" s="3144"/>
      <c r="G27" s="3138"/>
      <c r="H27" s="3159"/>
      <c r="I27" s="3150"/>
      <c r="J27" s="3535"/>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3104</v>
      </c>
      <c r="F28" s="3144"/>
      <c r="G28" s="3131"/>
      <c r="H28" s="3159"/>
      <c r="I28" s="3150"/>
      <c r="J28" s="3165">
        <v>6</v>
      </c>
      <c r="K28" s="3166" t="s">
        <v>3105</v>
      </c>
      <c r="L28" s="3167" t="s">
        <v>3106</v>
      </c>
      <c r="M28" s="3168"/>
      <c r="N28" s="3167" t="s">
        <v>3107</v>
      </c>
      <c r="O28" s="3169"/>
      <c r="P28" s="3167" t="s">
        <v>3108</v>
      </c>
      <c r="Q28" s="3170">
        <v>1.4999999999999999E-2</v>
      </c>
      <c r="R28" s="3171"/>
      <c r="S28" s="3123"/>
      <c r="T28" s="3123"/>
      <c r="U28" s="3123"/>
      <c r="V28" s="3150"/>
    </row>
    <row r="29" spans="1:22" s="3151" customFormat="1" ht="13.15" customHeight="1">
      <c r="A29" s="3132">
        <v>3</v>
      </c>
      <c r="B29" s="3133" t="s">
        <v>3109</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3103</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3110</v>
      </c>
      <c r="K31" s="3040"/>
      <c r="L31" s="3040"/>
      <c r="M31" s="3040"/>
      <c r="N31" s="3040"/>
      <c r="O31" s="3040"/>
      <c r="P31" s="3040"/>
      <c r="Q31" s="3040"/>
      <c r="R31" s="3041"/>
      <c r="S31" s="3123"/>
      <c r="T31" s="3042"/>
      <c r="U31" s="3042"/>
      <c r="V31" s="3150"/>
    </row>
    <row r="32" spans="1:22" s="3151" customFormat="1" ht="13.15" customHeight="1">
      <c r="A32" s="3132">
        <v>4</v>
      </c>
      <c r="B32" s="3133" t="s">
        <v>3111</v>
      </c>
      <c r="C32" s="3134">
        <f>C23-C26-C29</f>
        <v>0</v>
      </c>
      <c r="D32" s="3135">
        <f>D23-D26-D29</f>
        <v>0</v>
      </c>
      <c r="E32" s="3136">
        <f>E23-E26-E29</f>
        <v>0</v>
      </c>
      <c r="F32" s="3137"/>
      <c r="G32" s="3131"/>
      <c r="H32" s="3049"/>
      <c r="I32" s="3050"/>
      <c r="J32" s="3536" t="s">
        <v>3003</v>
      </c>
      <c r="K32" s="3537"/>
      <c r="L32" s="3051" t="s">
        <v>3004</v>
      </c>
      <c r="M32" s="3051" t="s">
        <v>3005</v>
      </c>
      <c r="N32" s="3051" t="s">
        <v>3006</v>
      </c>
      <c r="O32" s="3051" t="s">
        <v>3007</v>
      </c>
      <c r="P32" s="3051" t="s">
        <v>3008</v>
      </c>
      <c r="Q32" s="3052" t="s">
        <v>3009</v>
      </c>
      <c r="R32" s="3174" t="s">
        <v>3010</v>
      </c>
      <c r="S32" s="3123"/>
      <c r="T32" s="3042"/>
      <c r="U32" s="3042"/>
      <c r="V32" s="3150"/>
    </row>
    <row r="33" spans="1:23" s="3054" customFormat="1" ht="13.15" customHeight="1">
      <c r="A33" s="3132"/>
      <c r="B33" s="3133"/>
      <c r="C33" s="3134"/>
      <c r="D33" s="3175"/>
      <c r="E33" s="3176"/>
      <c r="F33" s="3137"/>
      <c r="G33" s="3131"/>
      <c r="H33" s="3159"/>
      <c r="I33" s="3150"/>
      <c r="J33" s="3538" t="s">
        <v>3013</v>
      </c>
      <c r="K33" s="3539"/>
      <c r="L33" s="3057"/>
      <c r="M33" s="3057"/>
      <c r="N33" s="3057"/>
      <c r="O33" s="3057"/>
      <c r="P33" s="3057"/>
      <c r="Q33" s="3058"/>
      <c r="R33" s="3177">
        <f>SUM(L33:Q33)</f>
        <v>0</v>
      </c>
      <c r="S33" s="3123"/>
      <c r="T33" s="3042"/>
      <c r="U33" s="3042"/>
      <c r="V33" s="3050"/>
    </row>
    <row r="34" spans="1:23" s="3054" customFormat="1" ht="13.15" customHeight="1">
      <c r="A34" s="3132">
        <v>5</v>
      </c>
      <c r="B34" s="3133" t="s">
        <v>3112</v>
      </c>
      <c r="C34" s="3178"/>
      <c r="D34" s="3179"/>
      <c r="E34" s="3180"/>
      <c r="F34" s="3137"/>
      <c r="G34" s="3131"/>
      <c r="H34" s="3159"/>
      <c r="I34" s="3150"/>
      <c r="J34" s="3538" t="s">
        <v>3015</v>
      </c>
      <c r="K34" s="3539"/>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3113</v>
      </c>
      <c r="C35" s="3182"/>
      <c r="D35" s="3183"/>
      <c r="E35" s="3184"/>
      <c r="F35" s="3137"/>
      <c r="G35" s="3185"/>
      <c r="H35" s="3049"/>
      <c r="I35" s="3150"/>
      <c r="J35" s="3068" t="s">
        <v>3017</v>
      </c>
      <c r="K35" s="3069"/>
      <c r="L35" s="3069"/>
      <c r="M35" s="3070"/>
      <c r="N35" s="3070"/>
      <c r="O35" s="3070"/>
      <c r="P35" s="3070"/>
      <c r="Q35" s="3070"/>
      <c r="R35" s="3186">
        <f>R40+R41+R43</f>
        <v>0</v>
      </c>
      <c r="S35" s="3123"/>
      <c r="T35" s="3042" t="s">
        <v>3018</v>
      </c>
      <c r="U35" s="3042"/>
      <c r="V35" s="3050"/>
    </row>
    <row r="36" spans="1:23" s="3054" customFormat="1" ht="13.15" customHeight="1" thickBot="1">
      <c r="A36" s="3132">
        <v>7</v>
      </c>
      <c r="B36" s="3187" t="s">
        <v>3114</v>
      </c>
      <c r="C36" s="3188"/>
      <c r="D36" s="3189"/>
      <c r="E36" s="3190"/>
      <c r="F36" s="3191">
        <f>C36+D36+E36</f>
        <v>0</v>
      </c>
      <c r="G36" s="3131"/>
      <c r="H36" s="3049"/>
      <c r="I36" s="3050"/>
      <c r="J36" s="3530">
        <v>1</v>
      </c>
      <c r="K36" s="3531" t="s">
        <v>3115</v>
      </c>
      <c r="L36" s="3075"/>
      <c r="M36" s="3076"/>
      <c r="N36" s="3076"/>
      <c r="O36" s="3076"/>
      <c r="P36" s="3076"/>
      <c r="Q36" s="3076"/>
      <c r="R36" s="3059" t="s">
        <v>3027</v>
      </c>
      <c r="S36" s="3123"/>
      <c r="T36" s="3042" t="s">
        <v>3028</v>
      </c>
      <c r="U36" s="3042"/>
      <c r="V36" s="3050"/>
    </row>
    <row r="37" spans="1:23" s="3054" customFormat="1" ht="13.15" customHeight="1">
      <c r="A37" s="3132"/>
      <c r="B37" s="3133"/>
      <c r="C37" s="3133"/>
      <c r="D37" s="3133"/>
      <c r="E37" s="3133"/>
      <c r="F37" s="3137"/>
      <c r="G37" s="3131"/>
      <c r="H37" s="3049"/>
      <c r="I37" s="3050"/>
      <c r="J37" s="3530"/>
      <c r="K37" s="3532"/>
      <c r="L37" s="3084"/>
      <c r="M37" s="3085"/>
      <c r="N37" s="3061"/>
      <c r="O37" s="3086"/>
      <c r="P37" s="3086"/>
      <c r="Q37" s="3087"/>
      <c r="R37" s="3088"/>
      <c r="S37" s="3123"/>
      <c r="T37" s="3042" t="s">
        <v>3031</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530"/>
      <c r="K38" s="3532"/>
      <c r="L38" s="3084"/>
      <c r="M38" s="3085"/>
      <c r="N38" s="3061"/>
      <c r="O38" s="3086"/>
      <c r="P38" s="3086"/>
      <c r="Q38" s="3087"/>
      <c r="R38" s="3088"/>
      <c r="S38" s="3123"/>
      <c r="T38" s="3042" t="s">
        <v>3038</v>
      </c>
      <c r="U38" s="3042"/>
      <c r="V38" s="3050"/>
    </row>
    <row r="39" spans="1:23" s="3054" customFormat="1" ht="13.15" customHeight="1">
      <c r="A39" s="3132">
        <v>9</v>
      </c>
      <c r="B39" s="3133" t="s">
        <v>3116</v>
      </c>
      <c r="C39" s="3098" t="e">
        <f>C38</f>
        <v>#DIV/0!</v>
      </c>
      <c r="D39" s="3133">
        <f>D38/(1+D34)^C36</f>
        <v>0</v>
      </c>
      <c r="E39" s="3133">
        <f>E38/(1+E34)^(C36+D36)</f>
        <v>0</v>
      </c>
      <c r="F39" s="3137"/>
      <c r="G39" s="3192"/>
      <c r="H39" s="3049"/>
      <c r="I39" s="3050"/>
      <c r="J39" s="3530"/>
      <c r="K39" s="3532"/>
      <c r="L39" s="3084"/>
      <c r="M39" s="3085"/>
      <c r="N39" s="3061"/>
      <c r="O39" s="3086"/>
      <c r="P39" s="3086"/>
      <c r="Q39" s="3087"/>
      <c r="R39" s="3088"/>
      <c r="S39" s="3123"/>
      <c r="T39" s="3042"/>
      <c r="U39" s="3042"/>
      <c r="V39" s="3050"/>
    </row>
    <row r="40" spans="1:23" s="3054" customFormat="1" ht="13.15" customHeight="1">
      <c r="A40" s="3193">
        <v>10</v>
      </c>
      <c r="B40" s="3133" t="s">
        <v>3117</v>
      </c>
      <c r="C40" s="3194" t="e">
        <f>C39+D39+E39</f>
        <v>#DIV/0!</v>
      </c>
      <c r="D40" s="3195"/>
      <c r="E40" s="3195"/>
      <c r="F40" s="3196"/>
      <c r="G40" s="3131"/>
      <c r="H40" s="3049"/>
      <c r="I40" s="3050"/>
      <c r="J40" s="3530"/>
      <c r="K40" s="3533"/>
      <c r="L40" s="3104" t="s">
        <v>3056</v>
      </c>
      <c r="M40" s="3105"/>
      <c r="N40" s="3105"/>
      <c r="O40" s="3106"/>
      <c r="P40" s="3106"/>
      <c r="Q40" s="3107"/>
      <c r="R40" s="3053">
        <f>SUM(R37:R39)</f>
        <v>0</v>
      </c>
      <c r="S40" s="3123"/>
      <c r="T40" s="3042"/>
      <c r="U40" s="3042"/>
      <c r="V40" s="3050"/>
    </row>
    <row r="41" spans="1:23" s="3054" customFormat="1" ht="13.15" customHeight="1" thickBot="1">
      <c r="A41" s="3197">
        <v>11</v>
      </c>
      <c r="B41" s="3198" t="s">
        <v>3118</v>
      </c>
      <c r="C41" s="3198" t="e">
        <f>ROUND(C40*10000/B4,0)</f>
        <v>#DIV/0!</v>
      </c>
      <c r="D41" s="3199"/>
      <c r="E41" s="3199"/>
      <c r="F41" s="3200"/>
      <c r="G41" s="3201"/>
      <c r="H41" s="3049"/>
      <c r="I41" s="3050"/>
      <c r="J41" s="3145">
        <v>2</v>
      </c>
      <c r="K41" s="3146" t="s">
        <v>3096</v>
      </c>
      <c r="L41" s="3147"/>
      <c r="M41" s="3147"/>
      <c r="N41" s="3147"/>
      <c r="O41" s="3147"/>
      <c r="P41" s="3148"/>
      <c r="Q41" s="3149"/>
      <c r="R41" s="3120">
        <f>ROUND(R40*Q41,0)</f>
        <v>0</v>
      </c>
      <c r="S41" s="3123"/>
      <c r="T41" s="3042"/>
      <c r="U41" s="3157"/>
      <c r="V41" s="3050"/>
    </row>
    <row r="42" spans="1:23" s="3054" customFormat="1" ht="13.15" customHeight="1">
      <c r="G42" s="3201"/>
      <c r="H42" s="3049"/>
      <c r="I42" s="3050"/>
      <c r="J42" s="3534">
        <v>3</v>
      </c>
      <c r="K42" s="3152" t="s">
        <v>3098</v>
      </c>
      <c r="L42" s="3153"/>
      <c r="M42" s="3154"/>
      <c r="N42" s="3155" t="s">
        <v>3099</v>
      </c>
      <c r="O42" s="3155" t="s">
        <v>3100</v>
      </c>
      <c r="P42" s="3156" t="s">
        <v>3101</v>
      </c>
      <c r="Q42" s="3156" t="s">
        <v>3102</v>
      </c>
      <c r="R42" s="3059" t="s">
        <v>3027</v>
      </c>
      <c r="S42" s="3157"/>
      <c r="T42" s="3157"/>
      <c r="U42" s="3042"/>
      <c r="V42" s="3050"/>
    </row>
    <row r="43" spans="1:23" ht="13.15" customHeight="1">
      <c r="A43" s="3054"/>
      <c r="B43" s="3054"/>
      <c r="C43" s="3054"/>
      <c r="D43" s="3054"/>
      <c r="E43" s="3054"/>
      <c r="F43" s="3054"/>
      <c r="I43" s="3037"/>
      <c r="J43" s="3535"/>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3105</v>
      </c>
      <c r="L44" s="3205" t="s">
        <v>3106</v>
      </c>
      <c r="M44" s="3168"/>
      <c r="N44" s="3205" t="s">
        <v>3107</v>
      </c>
      <c r="O44" s="3168"/>
      <c r="P44" s="3205" t="s">
        <v>3108</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2284</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14411</v>
      </c>
      <c r="C2" s="2028" t="s">
        <v>2277</v>
      </c>
      <c r="D2" s="2029" t="s">
        <v>2278</v>
      </c>
      <c r="E2" s="2803">
        <f>SUM(E6:E13)</f>
        <v>23225</v>
      </c>
      <c r="F2" s="2906"/>
      <c r="G2" s="1644"/>
      <c r="H2" s="1644"/>
      <c r="I2" s="1644"/>
      <c r="J2" s="1644"/>
      <c r="K2" s="1644"/>
      <c r="L2" s="1644"/>
      <c r="M2" s="1644"/>
      <c r="N2" s="1644"/>
      <c r="O2" s="1644"/>
      <c r="P2" s="1644"/>
      <c r="Q2" s="1644"/>
      <c r="R2" s="1644"/>
      <c r="S2" s="1644"/>
    </row>
    <row r="3" spans="1:22" ht="15.75">
      <c r="A3" s="2026" t="s">
        <v>1300</v>
      </c>
      <c r="B3" s="2797">
        <f ca="1">ROUND(B2*10000/E2,0)</f>
        <v>6205</v>
      </c>
      <c r="C3" s="2028" t="s">
        <v>2285</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2279</v>
      </c>
      <c r="B5" s="3549" t="s">
        <v>2280</v>
      </c>
      <c r="C5" s="3550"/>
      <c r="D5" s="2907"/>
      <c r="E5" s="2030" t="s">
        <v>2281</v>
      </c>
      <c r="F5" s="2031" t="s">
        <v>2282</v>
      </c>
      <c r="G5" s="1644"/>
      <c r="H5" s="1644"/>
      <c r="I5" s="1644"/>
      <c r="J5" s="1644"/>
      <c r="K5" s="1644"/>
      <c r="L5" s="1644"/>
      <c r="M5" s="1644"/>
      <c r="N5" s="1644"/>
      <c r="O5" s="1644"/>
      <c r="P5" s="1644"/>
      <c r="Q5" s="1644"/>
      <c r="R5" s="1644"/>
      <c r="S5" s="1644"/>
    </row>
    <row r="6" spans="1:22">
      <c r="A6" s="2800" t="str">
        <f>'数据-取费表'!AN6</f>
        <v>收益法</v>
      </c>
      <c r="B6" s="2798">
        <f ca="1">IF(F6="是",'数据-取费表'!AO6,0)</f>
        <v>14411</v>
      </c>
      <c r="C6" s="2028" t="s">
        <v>2277</v>
      </c>
      <c r="D6" s="2908"/>
      <c r="E6" s="2802">
        <f>IF(OR(A6=0,F6="否"),0,'数据-取费表'!K6+'数据-取费表'!S6)</f>
        <v>23225</v>
      </c>
      <c r="F6" s="2032" t="s">
        <v>2283</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2277</v>
      </c>
      <c r="D7" s="2908"/>
      <c r="E7" s="2802">
        <f>IF(OR(A7=0,F7="否"),0,'数据-取费表'!K7+'数据-取费表'!S7)</f>
        <v>0</v>
      </c>
      <c r="F7" s="2032" t="s">
        <v>2283</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2277</v>
      </c>
      <c r="D8" s="2908"/>
      <c r="E8" s="2802">
        <f>IF(OR(A8=0,F8="否"),0,'数据-取费表'!K8+'数据-取费表'!S8)</f>
        <v>0</v>
      </c>
      <c r="F8" s="2032" t="s">
        <v>2283</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2277</v>
      </c>
      <c r="D9" s="2908"/>
      <c r="E9" s="2802">
        <f>IF(OR(A9=0,F9="否"),0,'数据-取费表'!K9+'数据-取费表'!S9)</f>
        <v>0</v>
      </c>
      <c r="F9" s="2032" t="s">
        <v>2283</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2277</v>
      </c>
      <c r="D10" s="2908"/>
      <c r="E10" s="2802">
        <f>IF(OR(A10=0,F10="否"),0,'数据-取费表'!K10+'数据-取费表'!S10)</f>
        <v>0</v>
      </c>
      <c r="F10" s="2032" t="s">
        <v>2283</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2277</v>
      </c>
      <c r="D11" s="2908"/>
      <c r="E11" s="2802">
        <f>IF(OR(A11=0,F11="否"),0,'数据-取费表'!K11+'数据-取费表'!S11)</f>
        <v>0</v>
      </c>
      <c r="F11" s="2032" t="s">
        <v>2283</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2277</v>
      </c>
      <c r="D12" s="2908"/>
      <c r="E12" s="2802">
        <f>IF(OR(A12=0,F12="否"),0,'数据-取费表'!K12+'数据-取费表'!S12)</f>
        <v>0</v>
      </c>
      <c r="F12" s="2032" t="s">
        <v>2283</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2277</v>
      </c>
      <c r="D13" s="2909"/>
      <c r="E13" s="2802">
        <f>IF(OR(A13=0,F13="否"),0,'数据-取费表'!K13+'数据-取费表'!S13)</f>
        <v>0</v>
      </c>
      <c r="F13" s="2032" t="s">
        <v>2283</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2287</v>
      </c>
      <c r="C1" s="1378" t="s">
        <v>2288</v>
      </c>
      <c r="D1" s="1365"/>
      <c r="E1" s="2514"/>
      <c r="F1" s="2035" t="s">
        <v>2289</v>
      </c>
      <c r="G1" s="1375" t="s">
        <v>2290</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2291</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2292</v>
      </c>
      <c r="D3" s="359">
        <f>IF(D1="",'数据-汇总表'!E3,SUMIF('数据-汇总表'!$C19:$C33,D1,'数据-汇总表'!$E19:$E33))</f>
        <v>23225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2293</v>
      </c>
      <c r="B4" s="362"/>
      <c r="C4" s="3453" t="s">
        <v>2294</v>
      </c>
      <c r="D4" s="3480"/>
      <c r="E4" s="3481" t="s">
        <v>2295</v>
      </c>
      <c r="F4" s="3482"/>
      <c r="G4" s="3453" t="s">
        <v>2296</v>
      </c>
      <c r="H4" s="3480"/>
      <c r="I4" s="3453" t="s">
        <v>2297</v>
      </c>
      <c r="J4" s="3480"/>
      <c r="K4" s="2045" t="s">
        <v>2298</v>
      </c>
      <c r="L4" s="2914"/>
      <c r="M4" s="2915"/>
      <c r="N4" s="2915"/>
      <c r="O4" s="2915"/>
      <c r="P4" s="3483" t="s">
        <v>2299</v>
      </c>
      <c r="Q4" s="3484"/>
      <c r="R4" s="3460" t="s">
        <v>2295</v>
      </c>
      <c r="S4" s="3461"/>
      <c r="T4" s="3460" t="s">
        <v>2296</v>
      </c>
      <c r="U4" s="3461"/>
      <c r="V4" s="3473" t="s">
        <v>2297</v>
      </c>
      <c r="W4" s="3473"/>
      <c r="X4" s="1509"/>
      <c r="Y4" s="3460" t="s">
        <v>2299</v>
      </c>
      <c r="Z4" s="3461"/>
      <c r="AA4" s="3477" t="s">
        <v>2295</v>
      </c>
      <c r="AB4" s="3477" t="s">
        <v>2296</v>
      </c>
      <c r="AC4" s="3477" t="s">
        <v>2297</v>
      </c>
    </row>
    <row r="5" spans="1:29" ht="15">
      <c r="A5" s="364"/>
      <c r="B5" s="365"/>
      <c r="C5" s="3464" t="s">
        <v>2300</v>
      </c>
      <c r="D5" s="3465"/>
      <c r="E5" s="3489" t="s">
        <v>2301</v>
      </c>
      <c r="F5" s="3490"/>
      <c r="G5" s="3464" t="s">
        <v>2302</v>
      </c>
      <c r="H5" s="3465"/>
      <c r="I5" s="3464" t="s">
        <v>2303</v>
      </c>
      <c r="J5" s="3465"/>
      <c r="K5" s="2046"/>
      <c r="L5" s="2914"/>
      <c r="M5" s="2915"/>
      <c r="N5" s="2915"/>
      <c r="O5" s="2915"/>
      <c r="P5" s="3485"/>
      <c r="Q5" s="3486"/>
      <c r="R5" s="3462"/>
      <c r="S5" s="3463"/>
      <c r="T5" s="3462"/>
      <c r="U5" s="3463"/>
      <c r="V5" s="3473"/>
      <c r="W5" s="3473"/>
      <c r="X5" s="1509"/>
      <c r="Y5" s="3462"/>
      <c r="Z5" s="3463"/>
      <c r="AA5" s="3478"/>
      <c r="AB5" s="3478"/>
      <c r="AC5" s="3478"/>
    </row>
    <row r="6" spans="1:29" ht="15.75" thickBot="1">
      <c r="A6" s="366"/>
      <c r="B6" s="367"/>
      <c r="C6" s="3559" t="s">
        <v>2304</v>
      </c>
      <c r="D6" s="3560"/>
      <c r="E6" s="3561" t="s">
        <v>2304</v>
      </c>
      <c r="F6" s="3562"/>
      <c r="G6" s="3559" t="s">
        <v>2304</v>
      </c>
      <c r="H6" s="3560"/>
      <c r="I6" s="3559" t="s">
        <v>2304</v>
      </c>
      <c r="J6" s="3560"/>
      <c r="K6" s="2046" t="s">
        <v>2305</v>
      </c>
      <c r="L6" s="2914"/>
      <c r="M6" s="2915"/>
      <c r="N6" s="2915"/>
      <c r="O6" s="2915"/>
      <c r="P6" s="3487"/>
      <c r="Q6" s="3488"/>
      <c r="R6" s="3462"/>
      <c r="S6" s="3463"/>
      <c r="T6" s="3471"/>
      <c r="U6" s="3472"/>
      <c r="V6" s="3473"/>
      <c r="W6" s="3473"/>
      <c r="X6" s="1509"/>
      <c r="Y6" s="3471"/>
      <c r="Z6" s="3472"/>
      <c r="AA6" s="3479"/>
      <c r="AB6" s="3479"/>
      <c r="AC6" s="3479"/>
    </row>
    <row r="7" spans="1:29" s="113" customFormat="1" ht="15.75" thickBot="1">
      <c r="A7" s="368" t="s">
        <v>2306</v>
      </c>
      <c r="B7" s="369"/>
      <c r="C7" s="370">
        <f>'数据-取费表'!B2</f>
        <v>44610</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58" t="s">
        <v>2307</v>
      </c>
      <c r="Q7" s="3468"/>
      <c r="R7" s="710" t="s">
        <v>23</v>
      </c>
      <c r="S7" s="711">
        <f t="shared" ref="S7:S15" si="0">F7</f>
        <v>0</v>
      </c>
      <c r="T7" s="710" t="s">
        <v>23</v>
      </c>
      <c r="U7" s="711">
        <f t="shared" ref="U7:U15" si="1">H7</f>
        <v>0</v>
      </c>
      <c r="V7" s="710" t="s">
        <v>23</v>
      </c>
      <c r="W7" s="711">
        <f t="shared" ref="W7:W15" si="2">J7</f>
        <v>0</v>
      </c>
      <c r="X7" s="712"/>
      <c r="Y7" s="3458" t="s">
        <v>2307</v>
      </c>
      <c r="Z7" s="3459"/>
      <c r="AA7" s="713" t="e">
        <f>D7/F7</f>
        <v>#DIV/0!</v>
      </c>
      <c r="AB7" s="713" t="e">
        <f>D7/H7</f>
        <v>#DIV/0!</v>
      </c>
      <c r="AC7" s="713" t="e">
        <f>D7/J7</f>
        <v>#DIV/0!</v>
      </c>
    </row>
    <row r="8" spans="1:29" s="113" customFormat="1" ht="15.75" thickBot="1">
      <c r="A8" s="368" t="s">
        <v>2308</v>
      </c>
      <c r="B8" s="369"/>
      <c r="C8" s="374" t="s">
        <v>2309</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58" t="s">
        <v>2310</v>
      </c>
      <c r="Q8" s="3459"/>
      <c r="R8" s="710" t="s">
        <v>23</v>
      </c>
      <c r="S8" s="711">
        <f t="shared" si="0"/>
        <v>0</v>
      </c>
      <c r="T8" s="710" t="s">
        <v>23</v>
      </c>
      <c r="U8" s="711">
        <f t="shared" si="1"/>
        <v>0</v>
      </c>
      <c r="V8" s="710" t="s">
        <v>23</v>
      </c>
      <c r="W8" s="711">
        <f t="shared" si="2"/>
        <v>0</v>
      </c>
      <c r="X8" s="712"/>
      <c r="Y8" s="3458" t="s">
        <v>2310</v>
      </c>
      <c r="Z8" s="3459"/>
      <c r="AA8" s="713" t="e">
        <f t="shared" ref="AA8:AA19" si="3">D8/F8</f>
        <v>#DIV/0!</v>
      </c>
      <c r="AB8" s="713" t="e">
        <f t="shared" ref="AB8:AB19" si="4">D8/H8</f>
        <v>#DIV/0!</v>
      </c>
      <c r="AC8" s="713" t="e">
        <f t="shared" ref="AC8:AC19" si="5">D8/J8</f>
        <v>#DIV/0!</v>
      </c>
    </row>
    <row r="9" spans="1:29" s="113" customFormat="1">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55" t="s">
        <v>2313</v>
      </c>
      <c r="Q9" s="1497" t="str">
        <f t="shared" ref="Q9:Q15" si="6">B9</f>
        <v>用途</v>
      </c>
      <c r="R9" s="710" t="s">
        <v>17</v>
      </c>
      <c r="S9" s="711">
        <f t="shared" si="0"/>
        <v>100</v>
      </c>
      <c r="T9" s="710" t="s">
        <v>17</v>
      </c>
      <c r="U9" s="711">
        <f t="shared" si="1"/>
        <v>100</v>
      </c>
      <c r="V9" s="710" t="s">
        <v>17</v>
      </c>
      <c r="W9" s="711">
        <f t="shared" si="2"/>
        <v>100</v>
      </c>
      <c r="X9" s="712"/>
      <c r="Y9" s="3357"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55"/>
      <c r="Q11" s="1497" t="str">
        <f t="shared" si="6"/>
        <v>容积率</v>
      </c>
      <c r="R11" s="710" t="s">
        <v>21</v>
      </c>
      <c r="S11" s="711" t="e">
        <f t="shared" si="0"/>
        <v>#N/A</v>
      </c>
      <c r="T11" s="710" t="s">
        <v>21</v>
      </c>
      <c r="U11" s="711" t="e">
        <f t="shared" si="1"/>
        <v>#N/A</v>
      </c>
      <c r="V11" s="710" t="s">
        <v>21</v>
      </c>
      <c r="W11" s="711" t="e">
        <f t="shared" si="2"/>
        <v>#N/A</v>
      </c>
      <c r="X11" s="712"/>
      <c r="Y11" s="3357"/>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55"/>
      <c r="Q12" s="1497">
        <f t="shared" si="6"/>
        <v>111</v>
      </c>
      <c r="R12" s="710" t="s">
        <v>21</v>
      </c>
      <c r="S12" s="711">
        <f t="shared" si="0"/>
        <v>100</v>
      </c>
      <c r="T12" s="710" t="s">
        <v>21</v>
      </c>
      <c r="U12" s="711">
        <f t="shared" si="1"/>
        <v>100</v>
      </c>
      <c r="V12" s="710" t="s">
        <v>21</v>
      </c>
      <c r="W12" s="711">
        <f t="shared" si="2"/>
        <v>100</v>
      </c>
      <c r="X12" s="712"/>
      <c r="Y12" s="335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55"/>
      <c r="Q13" s="1497">
        <f t="shared" si="6"/>
        <v>111</v>
      </c>
      <c r="R13" s="710" t="s">
        <v>21</v>
      </c>
      <c r="S13" s="711">
        <f t="shared" si="0"/>
        <v>100</v>
      </c>
      <c r="T13" s="710" t="s">
        <v>21</v>
      </c>
      <c r="U13" s="711">
        <f t="shared" si="1"/>
        <v>100</v>
      </c>
      <c r="V13" s="710" t="s">
        <v>21</v>
      </c>
      <c r="W13" s="711">
        <f t="shared" si="2"/>
        <v>100</v>
      </c>
      <c r="X13" s="712"/>
      <c r="Y13" s="3357"/>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55"/>
      <c r="Q14" s="1497">
        <f t="shared" si="6"/>
        <v>111</v>
      </c>
      <c r="R14" s="710" t="s">
        <v>21</v>
      </c>
      <c r="S14" s="711">
        <f t="shared" si="0"/>
        <v>100</v>
      </c>
      <c r="T14" s="710" t="s">
        <v>21</v>
      </c>
      <c r="U14" s="711">
        <f t="shared" si="1"/>
        <v>100</v>
      </c>
      <c r="V14" s="710" t="s">
        <v>21</v>
      </c>
      <c r="W14" s="711">
        <f t="shared" si="2"/>
        <v>100</v>
      </c>
      <c r="X14" s="712"/>
      <c r="Y14" s="3357"/>
      <c r="Z14" s="55">
        <f t="shared" si="7"/>
        <v>111</v>
      </c>
      <c r="AA14" s="713">
        <f t="shared" si="3"/>
        <v>1</v>
      </c>
      <c r="AB14" s="713">
        <f t="shared" si="4"/>
        <v>1</v>
      </c>
      <c r="AC14" s="713">
        <f t="shared" si="5"/>
        <v>1</v>
      </c>
    </row>
    <row r="15" spans="1:29" ht="99.75">
      <c r="A15" s="399" t="s">
        <v>2317</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57" t="s">
        <v>2318</v>
      </c>
      <c r="Q15" s="1506" t="str">
        <f t="shared" si="6"/>
        <v>居住社区成熟度</v>
      </c>
      <c r="R15" s="714" t="s">
        <v>21</v>
      </c>
      <c r="S15" s="715">
        <f t="shared" si="0"/>
        <v>100</v>
      </c>
      <c r="T15" s="714" t="s">
        <v>21</v>
      </c>
      <c r="U15" s="715">
        <f t="shared" si="1"/>
        <v>100</v>
      </c>
      <c r="V15" s="714" t="s">
        <v>21</v>
      </c>
      <c r="W15" s="715">
        <f t="shared" si="2"/>
        <v>100</v>
      </c>
      <c r="X15" s="1509"/>
      <c r="Y15" s="3474" t="s">
        <v>2318</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58"/>
      <c r="Q16" s="1506"/>
      <c r="R16" s="714"/>
      <c r="S16" s="715"/>
      <c r="T16" s="714"/>
      <c r="U16" s="715"/>
      <c r="V16" s="714"/>
      <c r="W16" s="715"/>
      <c r="X16" s="1509"/>
      <c r="Y16" s="347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58"/>
      <c r="Q17" s="1506" t="str">
        <f>B17</f>
        <v>交通便捷度</v>
      </c>
      <c r="R17" s="714" t="s">
        <v>21</v>
      </c>
      <c r="S17" s="715">
        <f>F17</f>
        <v>100</v>
      </c>
      <c r="T17" s="714" t="s">
        <v>21</v>
      </c>
      <c r="U17" s="715">
        <f>H17</f>
        <v>100</v>
      </c>
      <c r="V17" s="714" t="s">
        <v>21</v>
      </c>
      <c r="W17" s="715">
        <f>J17</f>
        <v>100</v>
      </c>
      <c r="X17" s="1509"/>
      <c r="Y17" s="347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58"/>
      <c r="Q18" s="1506"/>
      <c r="R18" s="714"/>
      <c r="S18" s="715"/>
      <c r="T18" s="714"/>
      <c r="U18" s="715"/>
      <c r="V18" s="714"/>
      <c r="W18" s="715"/>
      <c r="X18" s="1509"/>
      <c r="Y18" s="3475"/>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58"/>
      <c r="Q19" s="1506" t="str">
        <f>B19</f>
        <v>公共配套设施</v>
      </c>
      <c r="R19" s="714" t="s">
        <v>21</v>
      </c>
      <c r="S19" s="715">
        <f>F19</f>
        <v>100</v>
      </c>
      <c r="T19" s="714" t="s">
        <v>21</v>
      </c>
      <c r="U19" s="715">
        <f>H19</f>
        <v>100</v>
      </c>
      <c r="V19" s="714" t="s">
        <v>21</v>
      </c>
      <c r="W19" s="715">
        <f>J19</f>
        <v>100</v>
      </c>
      <c r="X19" s="1509"/>
      <c r="Y19" s="347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58"/>
      <c r="Q20" s="1506"/>
      <c r="R20" s="714"/>
      <c r="S20" s="715"/>
      <c r="T20" s="714"/>
      <c r="U20" s="715"/>
      <c r="V20" s="714"/>
      <c r="W20" s="715"/>
      <c r="X20" s="1509"/>
      <c r="Y20" s="3475"/>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58"/>
      <c r="Q21" s="1506" t="str">
        <f>B21</f>
        <v>基础设施水平</v>
      </c>
      <c r="R21" s="714" t="s">
        <v>17</v>
      </c>
      <c r="S21" s="715">
        <f>F21</f>
        <v>100</v>
      </c>
      <c r="T21" s="714" t="s">
        <v>17</v>
      </c>
      <c r="U21" s="715">
        <f>H21</f>
        <v>100</v>
      </c>
      <c r="V21" s="714" t="s">
        <v>17</v>
      </c>
      <c r="W21" s="715">
        <f>J21</f>
        <v>100</v>
      </c>
      <c r="X21" s="1509"/>
      <c r="Y21" s="347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58"/>
      <c r="Q22" s="1506"/>
      <c r="R22" s="714"/>
      <c r="S22" s="715"/>
      <c r="T22" s="714"/>
      <c r="U22" s="715"/>
      <c r="V22" s="714"/>
      <c r="W22" s="715"/>
      <c r="X22" s="1509"/>
      <c r="Y22" s="3475"/>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58"/>
      <c r="Q23" s="1506" t="str">
        <f>B23</f>
        <v>自然及人文环境</v>
      </c>
      <c r="R23" s="714" t="s">
        <v>21</v>
      </c>
      <c r="S23" s="715">
        <f>F23</f>
        <v>100</v>
      </c>
      <c r="T23" s="714" t="s">
        <v>21</v>
      </c>
      <c r="U23" s="715">
        <f>H23</f>
        <v>100</v>
      </c>
      <c r="V23" s="714" t="s">
        <v>21</v>
      </c>
      <c r="W23" s="715">
        <f>J23</f>
        <v>100</v>
      </c>
      <c r="X23" s="1509"/>
      <c r="Y23" s="347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58"/>
      <c r="Q24" s="1506"/>
      <c r="R24" s="714"/>
      <c r="S24" s="715"/>
      <c r="T24" s="714"/>
      <c r="U24" s="715"/>
      <c r="V24" s="714"/>
      <c r="W24" s="715"/>
      <c r="X24" s="1509"/>
      <c r="Y24" s="3475"/>
      <c r="Z24" s="1510"/>
      <c r="AA24" s="1507">
        <v>1</v>
      </c>
      <c r="AB24" s="1507">
        <v>1</v>
      </c>
      <c r="AC24" s="1507">
        <v>1</v>
      </c>
    </row>
    <row r="25" spans="1:29" ht="15">
      <c r="A25" s="387"/>
      <c r="B25" s="381" t="s">
        <v>2319</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5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5"/>
      <c r="Z25" s="1510" t="str">
        <f>Q25</f>
        <v>楼层-1</v>
      </c>
      <c r="AA25" s="1507">
        <f t="shared" ref="AA25:AA46" si="15">D25/F25</f>
        <v>1</v>
      </c>
      <c r="AB25" s="1507">
        <f t="shared" ref="AB25:AB46" si="16">D25/H25</f>
        <v>1</v>
      </c>
      <c r="AC25" s="1507">
        <f t="shared" ref="AC25:AC46" si="17">D25/J25</f>
        <v>1</v>
      </c>
    </row>
    <row r="26" spans="1:29" ht="15">
      <c r="A26" s="387"/>
      <c r="B26" s="381" t="s">
        <v>2320</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58"/>
      <c r="Q26" s="1506" t="str">
        <f t="shared" si="11"/>
        <v>朝向</v>
      </c>
      <c r="R26" s="714" t="s">
        <v>21</v>
      </c>
      <c r="S26" s="715">
        <f t="shared" si="12"/>
        <v>100</v>
      </c>
      <c r="T26" s="714" t="s">
        <v>21</v>
      </c>
      <c r="U26" s="715">
        <f t="shared" si="13"/>
        <v>100</v>
      </c>
      <c r="V26" s="714" t="s">
        <v>21</v>
      </c>
      <c r="W26" s="715">
        <f t="shared" si="14"/>
        <v>100</v>
      </c>
      <c r="X26" s="1509"/>
      <c r="Y26" s="347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58"/>
      <c r="Q27" s="1497">
        <f t="shared" si="11"/>
        <v>111</v>
      </c>
      <c r="R27" s="710" t="s">
        <v>21</v>
      </c>
      <c r="S27" s="711">
        <f t="shared" si="12"/>
        <v>100</v>
      </c>
      <c r="T27" s="710" t="s">
        <v>21</v>
      </c>
      <c r="U27" s="711">
        <f t="shared" si="13"/>
        <v>100</v>
      </c>
      <c r="V27" s="710" t="s">
        <v>21</v>
      </c>
      <c r="W27" s="711">
        <f t="shared" si="14"/>
        <v>100</v>
      </c>
      <c r="X27" s="712"/>
      <c r="Y27" s="347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58"/>
      <c r="Q28" s="1506">
        <f t="shared" si="11"/>
        <v>111</v>
      </c>
      <c r="R28" s="714" t="s">
        <v>21</v>
      </c>
      <c r="S28" s="715">
        <f t="shared" si="12"/>
        <v>100</v>
      </c>
      <c r="T28" s="714" t="s">
        <v>21</v>
      </c>
      <c r="U28" s="715">
        <f t="shared" si="13"/>
        <v>100</v>
      </c>
      <c r="V28" s="714" t="s">
        <v>21</v>
      </c>
      <c r="W28" s="715">
        <f t="shared" si="14"/>
        <v>100</v>
      </c>
      <c r="X28" s="1509"/>
      <c r="Y28" s="347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58"/>
      <c r="Q29" s="1506">
        <f t="shared" si="11"/>
        <v>111</v>
      </c>
      <c r="R29" s="714" t="s">
        <v>21</v>
      </c>
      <c r="S29" s="715">
        <f t="shared" si="12"/>
        <v>100</v>
      </c>
      <c r="T29" s="714" t="s">
        <v>21</v>
      </c>
      <c r="U29" s="715">
        <f t="shared" si="13"/>
        <v>100</v>
      </c>
      <c r="V29" s="714" t="s">
        <v>21</v>
      </c>
      <c r="W29" s="715">
        <f t="shared" si="14"/>
        <v>100</v>
      </c>
      <c r="X29" s="1509"/>
      <c r="Y29" s="347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58"/>
      <c r="Q30" s="1506">
        <f t="shared" si="11"/>
        <v>111</v>
      </c>
      <c r="R30" s="714" t="s">
        <v>21</v>
      </c>
      <c r="S30" s="715">
        <f t="shared" si="12"/>
        <v>100</v>
      </c>
      <c r="T30" s="714" t="s">
        <v>21</v>
      </c>
      <c r="U30" s="715">
        <f t="shared" si="13"/>
        <v>100</v>
      </c>
      <c r="V30" s="714" t="s">
        <v>21</v>
      </c>
      <c r="W30" s="715">
        <f t="shared" si="14"/>
        <v>100</v>
      </c>
      <c r="X30" s="1509"/>
      <c r="Y30" s="347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58"/>
      <c r="Q31" s="1506">
        <f t="shared" si="11"/>
        <v>111</v>
      </c>
      <c r="R31" s="714" t="s">
        <v>21</v>
      </c>
      <c r="S31" s="715">
        <f t="shared" si="12"/>
        <v>100</v>
      </c>
      <c r="T31" s="714" t="s">
        <v>21</v>
      </c>
      <c r="U31" s="715">
        <f t="shared" si="13"/>
        <v>100</v>
      </c>
      <c r="V31" s="714" t="s">
        <v>21</v>
      </c>
      <c r="W31" s="715">
        <f t="shared" si="14"/>
        <v>100</v>
      </c>
      <c r="X31" s="1509"/>
      <c r="Y31" s="3475"/>
      <c r="Z31" s="1510">
        <f t="shared" si="18"/>
        <v>111</v>
      </c>
      <c r="AA31" s="1507">
        <f t="shared" si="15"/>
        <v>1</v>
      </c>
      <c r="AB31" s="1507">
        <f t="shared" si="16"/>
        <v>1</v>
      </c>
      <c r="AC31" s="1507">
        <f t="shared" si="17"/>
        <v>1</v>
      </c>
    </row>
    <row r="32" spans="1:29" ht="15">
      <c r="A32" s="399" t="s">
        <v>2321</v>
      </c>
      <c r="B32" s="67" t="s">
        <v>2322</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553" t="s">
        <v>2323</v>
      </c>
      <c r="Q32" s="1506" t="str">
        <f t="shared" si="11"/>
        <v>建筑类型</v>
      </c>
      <c r="R32" s="714" t="s">
        <v>21</v>
      </c>
      <c r="S32" s="715">
        <f t="shared" si="12"/>
        <v>100</v>
      </c>
      <c r="T32" s="714" t="s">
        <v>21</v>
      </c>
      <c r="U32" s="715">
        <f t="shared" si="13"/>
        <v>100</v>
      </c>
      <c r="V32" s="714" t="s">
        <v>21</v>
      </c>
      <c r="W32" s="715">
        <f t="shared" si="14"/>
        <v>100</v>
      </c>
      <c r="X32" s="1509"/>
      <c r="Y32" s="3476" t="s">
        <v>2323</v>
      </c>
      <c r="Z32" s="1510" t="str">
        <f t="shared" si="18"/>
        <v>建筑类型</v>
      </c>
      <c r="AA32" s="1507">
        <f t="shared" si="15"/>
        <v>1</v>
      </c>
      <c r="AB32" s="1507">
        <f t="shared" si="16"/>
        <v>1</v>
      </c>
      <c r="AC32" s="1507">
        <f t="shared" si="17"/>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554"/>
      <c r="Q33" s="716" t="str">
        <f t="shared" si="11"/>
        <v>项目建筑规模</v>
      </c>
      <c r="R33" s="717" t="s">
        <v>21</v>
      </c>
      <c r="S33" s="718" t="e">
        <f t="shared" si="12"/>
        <v>#N/A</v>
      </c>
      <c r="T33" s="717" t="s">
        <v>21</v>
      </c>
      <c r="U33" s="718" t="e">
        <f t="shared" si="13"/>
        <v>#N/A</v>
      </c>
      <c r="V33" s="717" t="s">
        <v>21</v>
      </c>
      <c r="W33" s="718" t="e">
        <f t="shared" si="14"/>
        <v>#N/A</v>
      </c>
      <c r="X33" s="719"/>
      <c r="Y33" s="3476"/>
      <c r="Z33" s="720" t="str">
        <f t="shared" si="18"/>
        <v>项目建筑规模</v>
      </c>
      <c r="AA33" s="1507" t="e">
        <f t="shared" si="15"/>
        <v>#N/A</v>
      </c>
      <c r="AB33" s="1507" t="e">
        <f t="shared" si="16"/>
        <v>#N/A</v>
      </c>
      <c r="AC33" s="1507" t="e">
        <f t="shared" si="17"/>
        <v>#N/A</v>
      </c>
    </row>
    <row r="34" spans="1:29" ht="15">
      <c r="A34" s="431"/>
      <c r="B34" s="381" t="s">
        <v>2325</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554"/>
      <c r="Q34" s="1506" t="str">
        <f t="shared" si="11"/>
        <v>建筑结构</v>
      </c>
      <c r="R34" s="714" t="s">
        <v>21</v>
      </c>
      <c r="S34" s="715">
        <f t="shared" si="12"/>
        <v>100</v>
      </c>
      <c r="T34" s="714" t="s">
        <v>21</v>
      </c>
      <c r="U34" s="715">
        <f t="shared" si="13"/>
        <v>100</v>
      </c>
      <c r="V34" s="714" t="s">
        <v>21</v>
      </c>
      <c r="W34" s="715">
        <f t="shared" si="14"/>
        <v>100</v>
      </c>
      <c r="X34" s="1509"/>
      <c r="Y34" s="3476"/>
      <c r="Z34" s="1510" t="str">
        <f t="shared" si="18"/>
        <v>建筑结构</v>
      </c>
      <c r="AA34" s="1507">
        <f t="shared" si="15"/>
        <v>1</v>
      </c>
      <c r="AB34" s="1507">
        <f t="shared" si="16"/>
        <v>1</v>
      </c>
      <c r="AC34" s="1507">
        <f t="shared" si="17"/>
        <v>1</v>
      </c>
    </row>
    <row r="35" spans="1:29" ht="15">
      <c r="A35" s="431"/>
      <c r="B35" s="381" t="s">
        <v>2326</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554"/>
      <c r="Q35" s="1506" t="str">
        <f t="shared" si="11"/>
        <v>建筑品质</v>
      </c>
      <c r="R35" s="714" t="s">
        <v>21</v>
      </c>
      <c r="S35" s="715">
        <f t="shared" si="12"/>
        <v>100</v>
      </c>
      <c r="T35" s="714" t="s">
        <v>21</v>
      </c>
      <c r="U35" s="715">
        <f t="shared" si="13"/>
        <v>100</v>
      </c>
      <c r="V35" s="714" t="s">
        <v>21</v>
      </c>
      <c r="W35" s="715">
        <f t="shared" si="14"/>
        <v>100</v>
      </c>
      <c r="X35" s="1509"/>
      <c r="Y35" s="3476"/>
      <c r="Z35" s="1510" t="str">
        <f t="shared" si="18"/>
        <v>建筑品质</v>
      </c>
      <c r="AA35" s="1507">
        <f t="shared" si="15"/>
        <v>1</v>
      </c>
      <c r="AB35" s="1507">
        <f t="shared" si="16"/>
        <v>1</v>
      </c>
      <c r="AC35" s="1507">
        <f t="shared" si="17"/>
        <v>1</v>
      </c>
    </row>
    <row r="36" spans="1:29" ht="15">
      <c r="A36" s="431"/>
      <c r="B36" s="381" t="s">
        <v>2327</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554"/>
      <c r="Q36" s="1506" t="str">
        <f t="shared" si="11"/>
        <v>公共部分装修</v>
      </c>
      <c r="R36" s="714" t="s">
        <v>21</v>
      </c>
      <c r="S36" s="715">
        <f t="shared" si="12"/>
        <v>100</v>
      </c>
      <c r="T36" s="714" t="s">
        <v>21</v>
      </c>
      <c r="U36" s="715">
        <f t="shared" si="13"/>
        <v>100</v>
      </c>
      <c r="V36" s="714" t="s">
        <v>21</v>
      </c>
      <c r="W36" s="715">
        <f t="shared" si="14"/>
        <v>100</v>
      </c>
      <c r="X36" s="1509"/>
      <c r="Y36" s="3476"/>
      <c r="Z36" s="1510" t="str">
        <f t="shared" si="18"/>
        <v>公共部分装修</v>
      </c>
      <c r="AA36" s="1507">
        <f t="shared" si="15"/>
        <v>1</v>
      </c>
      <c r="AB36" s="1507">
        <f t="shared" si="16"/>
        <v>1</v>
      </c>
      <c r="AC36" s="1507">
        <f t="shared" si="17"/>
        <v>1</v>
      </c>
    </row>
    <row r="37" spans="1:29" s="113" customFormat="1" ht="1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554"/>
      <c r="Q37" s="1497" t="str">
        <f t="shared" si="11"/>
        <v>成新度</v>
      </c>
      <c r="R37" s="710" t="s">
        <v>21</v>
      </c>
      <c r="S37" s="711" t="e">
        <f t="shared" si="12"/>
        <v>#N/A</v>
      </c>
      <c r="T37" s="710" t="s">
        <v>21</v>
      </c>
      <c r="U37" s="711" t="e">
        <f t="shared" si="13"/>
        <v>#N/A</v>
      </c>
      <c r="V37" s="710" t="s">
        <v>21</v>
      </c>
      <c r="W37" s="711" t="e">
        <f t="shared" si="14"/>
        <v>#N/A</v>
      </c>
      <c r="X37" s="712"/>
      <c r="Y37" s="3476"/>
      <c r="Z37" s="55" t="str">
        <f t="shared" si="18"/>
        <v>成新度</v>
      </c>
      <c r="AA37" s="713" t="e">
        <f t="shared" si="15"/>
        <v>#N/A</v>
      </c>
      <c r="AB37" s="713" t="e">
        <f t="shared" si="16"/>
        <v>#N/A</v>
      </c>
      <c r="AC37" s="713" t="e">
        <f t="shared" si="17"/>
        <v>#N/A</v>
      </c>
    </row>
    <row r="38" spans="1:29" ht="15">
      <c r="A38" s="431"/>
      <c r="B38" s="381" t="s">
        <v>2329</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554" t="s">
        <v>2323</v>
      </c>
      <c r="Q38" s="1506" t="str">
        <f t="shared" si="11"/>
        <v>物业管理</v>
      </c>
      <c r="R38" s="714" t="s">
        <v>21</v>
      </c>
      <c r="S38" s="715">
        <f t="shared" si="12"/>
        <v>100</v>
      </c>
      <c r="T38" s="714" t="s">
        <v>21</v>
      </c>
      <c r="U38" s="715">
        <f t="shared" si="13"/>
        <v>100</v>
      </c>
      <c r="V38" s="714" t="s">
        <v>21</v>
      </c>
      <c r="W38" s="715">
        <f t="shared" si="14"/>
        <v>100</v>
      </c>
      <c r="X38" s="1509"/>
      <c r="Y38" s="3476" t="s">
        <v>2323</v>
      </c>
      <c r="Z38" s="1510" t="str">
        <f t="shared" si="18"/>
        <v>物业管理</v>
      </c>
      <c r="AA38" s="1507">
        <f t="shared" si="15"/>
        <v>1</v>
      </c>
      <c r="AB38" s="1507">
        <f t="shared" si="16"/>
        <v>1</v>
      </c>
      <c r="AC38" s="1507">
        <f t="shared" si="17"/>
        <v>1</v>
      </c>
    </row>
    <row r="39" spans="1:29" ht="15">
      <c r="A39" s="431"/>
      <c r="B39" s="381" t="s">
        <v>2330</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554"/>
      <c r="Q39" s="1506" t="str">
        <f t="shared" si="11"/>
        <v>市政基础设施</v>
      </c>
      <c r="R39" s="714" t="s">
        <v>21</v>
      </c>
      <c r="S39" s="715">
        <f t="shared" si="12"/>
        <v>100</v>
      </c>
      <c r="T39" s="714" t="s">
        <v>21</v>
      </c>
      <c r="U39" s="715">
        <f t="shared" si="13"/>
        <v>100</v>
      </c>
      <c r="V39" s="714" t="s">
        <v>21</v>
      </c>
      <c r="W39" s="715">
        <f t="shared" si="14"/>
        <v>100</v>
      </c>
      <c r="X39" s="1509"/>
      <c r="Y39" s="3476"/>
      <c r="Z39" s="1510" t="str">
        <f t="shared" si="18"/>
        <v>市政基础设施</v>
      </c>
      <c r="AA39" s="1507">
        <f t="shared" si="15"/>
        <v>1</v>
      </c>
      <c r="AB39" s="1507">
        <f t="shared" si="16"/>
        <v>1</v>
      </c>
      <c r="AC39" s="1507">
        <f t="shared" si="17"/>
        <v>1</v>
      </c>
    </row>
    <row r="40" spans="1:29" ht="15">
      <c r="A40" s="431"/>
      <c r="B40" s="381" t="s">
        <v>2331</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554"/>
      <c r="Q40" s="1506" t="str">
        <f t="shared" si="11"/>
        <v>房型</v>
      </c>
      <c r="R40" s="714" t="s">
        <v>21</v>
      </c>
      <c r="S40" s="715">
        <f t="shared" si="12"/>
        <v>100</v>
      </c>
      <c r="T40" s="714" t="s">
        <v>21</v>
      </c>
      <c r="U40" s="715">
        <f t="shared" si="13"/>
        <v>100</v>
      </c>
      <c r="V40" s="714" t="s">
        <v>21</v>
      </c>
      <c r="W40" s="715">
        <f t="shared" si="14"/>
        <v>100</v>
      </c>
      <c r="X40" s="1509"/>
      <c r="Y40" s="3476"/>
      <c r="Z40" s="1510" t="str">
        <f t="shared" si="18"/>
        <v>房型</v>
      </c>
      <c r="AA40" s="1507">
        <f t="shared" si="15"/>
        <v>1</v>
      </c>
      <c r="AB40" s="1507">
        <f t="shared" si="16"/>
        <v>1</v>
      </c>
      <c r="AC40" s="1507">
        <f t="shared" si="17"/>
        <v>1</v>
      </c>
    </row>
    <row r="41" spans="1:29" s="430" customFormat="1" ht="28.5">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554"/>
      <c r="Q41" s="716" t="str">
        <f t="shared" si="11"/>
        <v>单套/主力户型建筑面积</v>
      </c>
      <c r="R41" s="717" t="s">
        <v>21</v>
      </c>
      <c r="S41" s="718">
        <f t="shared" si="12"/>
        <v>100</v>
      </c>
      <c r="T41" s="717" t="s">
        <v>21</v>
      </c>
      <c r="U41" s="718">
        <f t="shared" si="13"/>
        <v>100</v>
      </c>
      <c r="V41" s="717" t="s">
        <v>21</v>
      </c>
      <c r="W41" s="718">
        <f t="shared" si="14"/>
        <v>100</v>
      </c>
      <c r="X41" s="719"/>
      <c r="Y41" s="3476"/>
      <c r="Z41" s="720" t="str">
        <f t="shared" si="18"/>
        <v>单套/主力户型建筑面积</v>
      </c>
      <c r="AA41" s="1507">
        <f t="shared" si="15"/>
        <v>1</v>
      </c>
      <c r="AB41" s="1507">
        <f t="shared" si="16"/>
        <v>1</v>
      </c>
      <c r="AC41" s="1507">
        <f t="shared" si="17"/>
        <v>1</v>
      </c>
    </row>
    <row r="42" spans="1:29" ht="15">
      <c r="A42" s="431"/>
      <c r="B42" s="381" t="s">
        <v>2333</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554"/>
      <c r="Q42" s="1506" t="str">
        <f t="shared" si="11"/>
        <v>内部装修</v>
      </c>
      <c r="R42" s="714" t="s">
        <v>21</v>
      </c>
      <c r="S42" s="715">
        <f t="shared" si="12"/>
        <v>100</v>
      </c>
      <c r="T42" s="714" t="s">
        <v>21</v>
      </c>
      <c r="U42" s="715">
        <f t="shared" si="13"/>
        <v>100</v>
      </c>
      <c r="V42" s="714" t="s">
        <v>21</v>
      </c>
      <c r="W42" s="715">
        <f t="shared" si="14"/>
        <v>100</v>
      </c>
      <c r="X42" s="1509"/>
      <c r="Y42" s="3476"/>
      <c r="Z42" s="1510" t="str">
        <f t="shared" si="18"/>
        <v>内部装修</v>
      </c>
      <c r="AA42" s="1507">
        <f t="shared" si="15"/>
        <v>1</v>
      </c>
      <c r="AB42" s="1507">
        <f t="shared" si="16"/>
        <v>1</v>
      </c>
      <c r="AC42" s="1507">
        <f t="shared" si="17"/>
        <v>1</v>
      </c>
    </row>
    <row r="43" spans="1:29" ht="15">
      <c r="A43" s="431"/>
      <c r="B43" s="381" t="s">
        <v>2334</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554"/>
      <c r="Q43" s="1506" t="str">
        <f t="shared" si="11"/>
        <v>内部装修维护情况</v>
      </c>
      <c r="R43" s="714" t="s">
        <v>21</v>
      </c>
      <c r="S43" s="715">
        <f t="shared" si="12"/>
        <v>100</v>
      </c>
      <c r="T43" s="714" t="s">
        <v>21</v>
      </c>
      <c r="U43" s="715">
        <f t="shared" si="13"/>
        <v>100</v>
      </c>
      <c r="V43" s="714" t="s">
        <v>21</v>
      </c>
      <c r="W43" s="715">
        <f t="shared" si="14"/>
        <v>100</v>
      </c>
      <c r="X43" s="1509"/>
      <c r="Y43" s="347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554"/>
      <c r="Q44" s="1497">
        <f t="shared" si="11"/>
        <v>111</v>
      </c>
      <c r="R44" s="710" t="s">
        <v>21</v>
      </c>
      <c r="S44" s="711">
        <f t="shared" si="12"/>
        <v>100</v>
      </c>
      <c r="T44" s="710" t="s">
        <v>21</v>
      </c>
      <c r="U44" s="711">
        <f t="shared" si="13"/>
        <v>100</v>
      </c>
      <c r="V44" s="710" t="s">
        <v>21</v>
      </c>
      <c r="W44" s="711">
        <f t="shared" si="14"/>
        <v>100</v>
      </c>
      <c r="X44" s="712"/>
      <c r="Y44" s="347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554"/>
      <c r="Q45" s="1506">
        <f t="shared" si="11"/>
        <v>111</v>
      </c>
      <c r="R45" s="714" t="s">
        <v>21</v>
      </c>
      <c r="S45" s="715">
        <f t="shared" si="12"/>
        <v>100</v>
      </c>
      <c r="T45" s="714" t="s">
        <v>21</v>
      </c>
      <c r="U45" s="715">
        <f t="shared" si="13"/>
        <v>100</v>
      </c>
      <c r="V45" s="714" t="s">
        <v>21</v>
      </c>
      <c r="W45" s="715">
        <f t="shared" si="14"/>
        <v>100</v>
      </c>
      <c r="X45" s="1509"/>
      <c r="Y45" s="347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555"/>
      <c r="Q46" s="1506">
        <f t="shared" si="11"/>
        <v>111</v>
      </c>
      <c r="R46" s="714" t="s">
        <v>20</v>
      </c>
      <c r="S46" s="715">
        <f t="shared" si="12"/>
        <v>100</v>
      </c>
      <c r="T46" s="714" t="s">
        <v>20</v>
      </c>
      <c r="U46" s="715">
        <f t="shared" si="13"/>
        <v>100</v>
      </c>
      <c r="V46" s="714" t="s">
        <v>20</v>
      </c>
      <c r="W46" s="715">
        <f t="shared" si="14"/>
        <v>100</v>
      </c>
      <c r="X46" s="1509"/>
      <c r="Y46" s="3556"/>
      <c r="Z46" s="1510">
        <f t="shared" si="18"/>
        <v>111</v>
      </c>
      <c r="AA46" s="1507">
        <f t="shared" si="15"/>
        <v>1</v>
      </c>
      <c r="AB46" s="1507">
        <f t="shared" si="16"/>
        <v>1</v>
      </c>
      <c r="AC46" s="1507">
        <f t="shared" si="17"/>
        <v>1</v>
      </c>
    </row>
    <row r="47" spans="1:29" ht="15">
      <c r="A47" s="438" t="s">
        <v>2335</v>
      </c>
      <c r="B47" s="439"/>
      <c r="C47" s="1288" t="s">
        <v>19</v>
      </c>
      <c r="D47" s="1289"/>
      <c r="E47" s="1290"/>
      <c r="F47" s="1291"/>
      <c r="G47" s="1292"/>
      <c r="H47" s="1293"/>
      <c r="I47" s="1290"/>
      <c r="J47" s="1293"/>
      <c r="K47" s="2070"/>
      <c r="L47" s="2923"/>
      <c r="M47" s="2924"/>
      <c r="N47" s="2915"/>
      <c r="O47" s="2924"/>
      <c r="P47" s="3456" t="str">
        <f>A47</f>
        <v>成交单价（元/平方米）</v>
      </c>
      <c r="Q47" s="3456"/>
      <c r="R47" s="3552">
        <f>E47</f>
        <v>0</v>
      </c>
      <c r="S47" s="3552"/>
      <c r="T47" s="3552">
        <f>G47</f>
        <v>0</v>
      </c>
      <c r="U47" s="3552"/>
      <c r="V47" s="3552">
        <f>I47</f>
        <v>0</v>
      </c>
      <c r="W47" s="3552"/>
      <c r="X47" s="699"/>
      <c r="Y47" s="721"/>
      <c r="Z47" s="699"/>
      <c r="AA47" s="699"/>
      <c r="AB47" s="699"/>
      <c r="AC47" s="699"/>
    </row>
    <row r="48" spans="1:29" ht="15.75" thickBot="1">
      <c r="A48" s="445" t="s">
        <v>2336</v>
      </c>
      <c r="B48" s="446"/>
      <c r="C48" s="1294" t="e">
        <f>R49</f>
        <v>#DIV/0!</v>
      </c>
      <c r="D48" s="2508" t="s">
        <v>2816</v>
      </c>
      <c r="E48" s="1295" t="e">
        <f>R48</f>
        <v>#DIV/0!</v>
      </c>
      <c r="F48" s="2509"/>
      <c r="G48" s="1294" t="e">
        <f>T48</f>
        <v>#DIV/0!</v>
      </c>
      <c r="H48" s="2509"/>
      <c r="I48" s="1295" t="e">
        <f>V48</f>
        <v>#DIV/0!</v>
      </c>
      <c r="J48" s="2509"/>
      <c r="K48" s="2510">
        <f>F48+H48+J48</f>
        <v>0</v>
      </c>
      <c r="L48" s="2923"/>
      <c r="M48" s="2924"/>
      <c r="N48" s="2924"/>
      <c r="O48" s="2924"/>
      <c r="P48" s="3456" t="str">
        <f>A48</f>
        <v>比较价值（元/平方米）</v>
      </c>
      <c r="Q48" s="3456"/>
      <c r="R48" s="3552" t="e">
        <f>IF(F1="售价",ROUND(PRODUCT(R47,AA7:AA46),0),ROUND(PRODUCT(R47,AA7:AA46),1))</f>
        <v>#DIV/0!</v>
      </c>
      <c r="S48" s="3552"/>
      <c r="T48" s="3552" t="e">
        <f>IF(F1="售价",ROUND(PRODUCT(T47,AB7:AB46),0),ROUND(PRODUCT(T47,AB7:AB46),1))</f>
        <v>#DIV/0!</v>
      </c>
      <c r="U48" s="3552"/>
      <c r="V48" s="3552" t="e">
        <f>IF(F1="售价",ROUND(PRODUCT(V47,AC7:AC46),0),ROUND(PRODUCT(V47,AC7:AC46),1))</f>
        <v>#DIV/0!</v>
      </c>
      <c r="W48" s="3552"/>
      <c r="X48" s="699"/>
      <c r="Y48" s="699"/>
      <c r="Z48" s="699"/>
      <c r="AA48" s="699"/>
      <c r="AB48" s="699"/>
      <c r="AC48" s="699"/>
    </row>
    <row r="49" spans="1:29" ht="15.75" thickBot="1">
      <c r="A49" s="449" t="s">
        <v>2337</v>
      </c>
      <c r="B49" s="450"/>
      <c r="C49" s="1296" t="e">
        <f>R49</f>
        <v>#DIV/0!</v>
      </c>
      <c r="D49" s="1297"/>
      <c r="E49" s="1297"/>
      <c r="F49" s="1297"/>
      <c r="G49" s="1297"/>
      <c r="H49" s="1297"/>
      <c r="I49" s="1297"/>
      <c r="J49" s="1297"/>
      <c r="K49" s="2071"/>
      <c r="L49" s="2923"/>
      <c r="M49" s="2924"/>
      <c r="N49" s="2924"/>
      <c r="O49" s="2924"/>
      <c r="P49" s="3492" t="str">
        <f>A49</f>
        <v>估价对象XX用房的比较价值（楼面单价，元/平方米）</v>
      </c>
      <c r="Q49" s="3493"/>
      <c r="R49" s="3551" t="e">
        <f>IF(F1="售价",ROUND(IF(D48="简单平均",AVERAGE(R48:V48),R48*F48+T48*H48+V48*J48),0),ROUND(IF(D48="简单平均",AVERAGE(R48:V48),R48*F48+T48*H48+V48*J48),1))</f>
        <v>#DIV/0!</v>
      </c>
      <c r="S49" s="3551"/>
      <c r="T49" s="3551"/>
      <c r="U49" s="3551"/>
      <c r="V49" s="3551"/>
      <c r="W49" s="3551"/>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2341</v>
      </c>
      <c r="B57" s="699"/>
      <c r="C57" s="704"/>
      <c r="D57" s="704"/>
      <c r="E57" s="704"/>
      <c r="F57" s="705"/>
      <c r="G57" s="705"/>
      <c r="H57" s="704"/>
      <c r="I57" s="704"/>
      <c r="J57" s="704"/>
      <c r="K57" s="1072"/>
      <c r="L57" s="1073"/>
      <c r="M57" s="1071"/>
      <c r="N57" s="1071"/>
      <c r="O57" s="1071"/>
      <c r="P57" s="2074"/>
      <c r="Q57" s="461"/>
    </row>
    <row r="58" spans="1:29" s="465" customFormat="1" ht="15">
      <c r="A58" s="462" t="s">
        <v>2342</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2343</v>
      </c>
      <c r="B60" s="473"/>
      <c r="C60" s="474"/>
      <c r="D60" s="475"/>
      <c r="E60" s="475"/>
      <c r="F60" s="475"/>
      <c r="G60" s="475"/>
      <c r="H60" s="475"/>
      <c r="I60" s="475"/>
      <c r="J60" s="475"/>
      <c r="K60" s="475"/>
      <c r="L60" s="475"/>
      <c r="M60" s="476"/>
      <c r="N60" s="475"/>
      <c r="O60" s="476"/>
      <c r="P60" s="2076"/>
      <c r="Q60" s="461"/>
    </row>
    <row r="61" spans="1:29" s="113" customFormat="1" ht="15">
      <c r="A61" s="478" t="s">
        <v>2344</v>
      </c>
      <c r="B61" s="467"/>
      <c r="C61" s="479" t="s">
        <v>2345</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2346</v>
      </c>
      <c r="B63" s="485" t="s">
        <v>2312</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2315</v>
      </c>
      <c r="C65" s="496" t="s">
        <v>2347</v>
      </c>
      <c r="D65" s="496" t="s">
        <v>2348</v>
      </c>
      <c r="E65" s="496" t="s">
        <v>2349</v>
      </c>
      <c r="F65" s="496" t="s">
        <v>2350</v>
      </c>
      <c r="G65" s="496" t="s">
        <v>2351</v>
      </c>
      <c r="H65" s="496" t="s">
        <v>2352</v>
      </c>
      <c r="I65" s="496" t="s">
        <v>2353</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2317</v>
      </c>
      <c r="B76" s="485" t="s">
        <v>2354</v>
      </c>
      <c r="C76" s="530" t="s">
        <v>2355</v>
      </c>
      <c r="D76" s="530" t="s">
        <v>2356</v>
      </c>
      <c r="E76" s="530" t="s">
        <v>2357</v>
      </c>
      <c r="F76" s="530" t="s">
        <v>2358</v>
      </c>
      <c r="G76" s="530" t="s">
        <v>2359</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2360</v>
      </c>
      <c r="C78" s="535" t="s">
        <v>2355</v>
      </c>
      <c r="D78" s="535" t="s">
        <v>2356</v>
      </c>
      <c r="E78" s="535" t="s">
        <v>2357</v>
      </c>
      <c r="F78" s="535" t="s">
        <v>2358</v>
      </c>
      <c r="G78" s="535" t="s">
        <v>2359</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2361</v>
      </c>
      <c r="C80" s="535" t="s">
        <v>2355</v>
      </c>
      <c r="D80" s="535" t="s">
        <v>2356</v>
      </c>
      <c r="E80" s="535" t="s">
        <v>2357</v>
      </c>
      <c r="F80" s="535" t="s">
        <v>2358</v>
      </c>
      <c r="G80" s="535" t="s">
        <v>2359</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2362</v>
      </c>
      <c r="D82" s="496" t="s">
        <v>2363</v>
      </c>
      <c r="E82" s="496" t="s">
        <v>2364</v>
      </c>
      <c r="F82" s="496" t="s">
        <v>2365</v>
      </c>
      <c r="G82" s="496" t="s">
        <v>2366</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2367</v>
      </c>
      <c r="C84" s="535" t="s">
        <v>2355</v>
      </c>
      <c r="D84" s="535" t="s">
        <v>2356</v>
      </c>
      <c r="E84" s="535" t="s">
        <v>2357</v>
      </c>
      <c r="F84" s="535" t="s">
        <v>2358</v>
      </c>
      <c r="G84" s="535" t="s">
        <v>2359</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2368</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2369</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2321</v>
      </c>
      <c r="B100" s="485" t="s">
        <v>2370</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2372</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2373</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2374</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2375</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2376</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2377</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2332</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2378</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2379</v>
      </c>
      <c r="C124" s="535" t="s">
        <v>2355</v>
      </c>
      <c r="D124" s="535" t="s">
        <v>2356</v>
      </c>
      <c r="E124" s="535" t="s">
        <v>2357</v>
      </c>
      <c r="F124" s="535" t="s">
        <v>2358</v>
      </c>
      <c r="G124" s="535" t="s">
        <v>2359</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2380</v>
      </c>
    </row>
    <row r="137" spans="1:17" ht="15">
      <c r="B137" s="2086" t="s">
        <v>2381</v>
      </c>
      <c r="C137" s="2087"/>
      <c r="D137" s="2087"/>
      <c r="E137" s="2087"/>
      <c r="F137" s="2087"/>
      <c r="G137" s="2088"/>
      <c r="H137" s="2089"/>
      <c r="I137" s="2090" t="s">
        <v>2382</v>
      </c>
      <c r="J137" s="2087"/>
      <c r="K137" s="2091"/>
    </row>
    <row r="138" spans="1:17" ht="15">
      <c r="B138" s="2092"/>
      <c r="C138" s="142" t="s">
        <v>2383</v>
      </c>
      <c r="D138" s="142" t="s">
        <v>2384</v>
      </c>
      <c r="E138" s="2093" t="s">
        <v>2385</v>
      </c>
      <c r="F138" s="2094" t="s">
        <v>2386</v>
      </c>
      <c r="G138" s="142" t="s">
        <v>2384</v>
      </c>
      <c r="H138" s="143" t="s">
        <v>2385</v>
      </c>
      <c r="I138" s="2095"/>
      <c r="J138" s="142" t="s">
        <v>2387</v>
      </c>
      <c r="K138" s="143" t="s">
        <v>2388</v>
      </c>
    </row>
    <row r="139" spans="1:17" ht="15">
      <c r="B139" s="998">
        <v>6</v>
      </c>
      <c r="C139" s="999">
        <v>96</v>
      </c>
      <c r="D139" s="2096" t="s">
        <v>2389</v>
      </c>
      <c r="E139" s="1000">
        <v>100</v>
      </c>
      <c r="F139" s="1001">
        <v>102.5</v>
      </c>
      <c r="G139" s="2096" t="s">
        <v>2389</v>
      </c>
      <c r="H139" s="1002">
        <v>105</v>
      </c>
      <c r="I139" s="2097" t="s">
        <v>2390</v>
      </c>
      <c r="J139" s="999">
        <v>20</v>
      </c>
      <c r="K139" s="1003">
        <f>C145/(J139-2)</f>
        <v>4.0555555555555553E-3</v>
      </c>
    </row>
    <row r="140" spans="1:17" ht="15">
      <c r="B140" s="1004">
        <v>5</v>
      </c>
      <c r="C140" s="1005">
        <v>100</v>
      </c>
      <c r="D140" s="1005"/>
      <c r="E140" s="1006"/>
      <c r="F140" s="1007">
        <v>102</v>
      </c>
      <c r="G140" s="1005"/>
      <c r="H140" s="1008"/>
      <c r="I140" s="2098" t="s">
        <v>2391</v>
      </c>
      <c r="J140" s="277">
        <f>ROUNDUP((J139-1)/2,0)</f>
        <v>10</v>
      </c>
      <c r="K140" s="1009">
        <v>100</v>
      </c>
    </row>
    <row r="141" spans="1:17" ht="15">
      <c r="B141" s="1004">
        <v>4</v>
      </c>
      <c r="C141" s="1005">
        <v>102</v>
      </c>
      <c r="D141" s="1005"/>
      <c r="E141" s="1006"/>
      <c r="F141" s="1007">
        <v>101.5</v>
      </c>
      <c r="G141" s="1005"/>
      <c r="H141" s="1008"/>
      <c r="I141" s="2098" t="s">
        <v>2392</v>
      </c>
      <c r="J141" s="277">
        <v>1</v>
      </c>
      <c r="K141" s="1010">
        <f>ROUND(100+(J141-J140)*K139*100,1)</f>
        <v>96.4</v>
      </c>
    </row>
    <row r="142" spans="1:17" ht="15">
      <c r="B142" s="1004">
        <v>3</v>
      </c>
      <c r="C142" s="1005">
        <v>103</v>
      </c>
      <c r="D142" s="1005"/>
      <c r="E142" s="1006"/>
      <c r="F142" s="1007">
        <v>101</v>
      </c>
      <c r="G142" s="1005"/>
      <c r="H142" s="1008"/>
      <c r="I142" s="2098" t="s">
        <v>2393</v>
      </c>
      <c r="J142" s="277">
        <f>J139</f>
        <v>20</v>
      </c>
      <c r="K142" s="1011">
        <v>95</v>
      </c>
    </row>
    <row r="143" spans="1:17" ht="15">
      <c r="B143" s="1004">
        <v>2</v>
      </c>
      <c r="C143" s="1005">
        <v>100</v>
      </c>
      <c r="D143" s="1005"/>
      <c r="E143" s="1006"/>
      <c r="F143" s="1007">
        <v>100.5</v>
      </c>
      <c r="G143" s="1005"/>
      <c r="H143" s="1008"/>
      <c r="I143" s="2098" t="s">
        <v>2394</v>
      </c>
      <c r="J143" s="1005">
        <v>15</v>
      </c>
      <c r="K143" s="1010">
        <f>ROUND(100+(J143-J140)*K139*100,1)</f>
        <v>102</v>
      </c>
    </row>
    <row r="144" spans="1:17" ht="15">
      <c r="B144" s="1004">
        <v>1</v>
      </c>
      <c r="C144" s="1005">
        <v>98</v>
      </c>
      <c r="D144" s="2099" t="s">
        <v>2395</v>
      </c>
      <c r="E144" s="1006">
        <v>102</v>
      </c>
      <c r="F144" s="1012">
        <v>100</v>
      </c>
      <c r="G144" s="2099" t="s">
        <v>2395</v>
      </c>
      <c r="H144" s="1008">
        <v>105</v>
      </c>
      <c r="I144" s="2098" t="s">
        <v>2394</v>
      </c>
      <c r="J144" s="1005">
        <v>18</v>
      </c>
      <c r="K144" s="1010">
        <f>ROUND(100+(J144-J140)*K139*100,1)</f>
        <v>103.2</v>
      </c>
    </row>
    <row r="145" spans="2:11" ht="15.75" thickBot="1">
      <c r="B145" s="2100" t="s">
        <v>2396</v>
      </c>
      <c r="C145" s="1013">
        <f>ROUND(MAX(C139:C144)/MIN(C139:C144)-1,3)</f>
        <v>7.2999999999999995E-2</v>
      </c>
      <c r="D145" s="1014"/>
      <c r="E145" s="1014"/>
      <c r="F145" s="2101" t="s">
        <v>2397</v>
      </c>
      <c r="G145" s="2102"/>
      <c r="H145" s="2103"/>
      <c r="I145" s="2104" t="s">
        <v>2394</v>
      </c>
      <c r="J145" s="1015">
        <v>8</v>
      </c>
      <c r="K145" s="1016">
        <f>ROUND(100+(J145-J140)*K139*100,1)</f>
        <v>99.2</v>
      </c>
    </row>
    <row r="147" spans="2:11">
      <c r="B147" s="2085" t="s">
        <v>2398</v>
      </c>
    </row>
    <row r="148" spans="2:11">
      <c r="B148" s="2085" t="s">
        <v>2399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2400</v>
      </c>
      <c r="C1" s="1378" t="s">
        <v>2288</v>
      </c>
      <c r="D1" s="1365"/>
      <c r="E1" s="2513"/>
      <c r="F1" s="2035"/>
      <c r="G1" s="1375" t="s">
        <v>2401</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2402</v>
      </c>
      <c r="D3" s="359">
        <f>IF(D1="",'数据-汇总表'!E3,SUMIF('数据-汇总表'!$C19:$C33,D1,'数据-汇总表'!$E19:$E33))</f>
        <v>23225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2403</v>
      </c>
      <c r="B4" s="362"/>
      <c r="C4" s="3453" t="s">
        <v>2404</v>
      </c>
      <c r="D4" s="3480"/>
      <c r="E4" s="3481" t="s">
        <v>2405</v>
      </c>
      <c r="F4" s="3482"/>
      <c r="G4" s="3453" t="s">
        <v>2406</v>
      </c>
      <c r="H4" s="3480"/>
      <c r="I4" s="3453" t="s">
        <v>2407</v>
      </c>
      <c r="J4" s="3480"/>
      <c r="K4" s="567" t="s">
        <v>2408</v>
      </c>
      <c r="L4" s="2914"/>
      <c r="M4" s="2915"/>
      <c r="N4" s="2915"/>
      <c r="O4" s="2915"/>
      <c r="P4" s="3483" t="s">
        <v>2409</v>
      </c>
      <c r="Q4" s="3484"/>
      <c r="R4" s="3460" t="s">
        <v>2405</v>
      </c>
      <c r="S4" s="3461"/>
      <c r="T4" s="3460" t="s">
        <v>2406</v>
      </c>
      <c r="U4" s="3461"/>
      <c r="V4" s="3473" t="s">
        <v>2407</v>
      </c>
      <c r="W4" s="3473"/>
      <c r="X4" s="1509"/>
      <c r="Y4" s="3460" t="s">
        <v>2409</v>
      </c>
      <c r="Z4" s="3461"/>
      <c r="AA4" s="3477" t="s">
        <v>2405</v>
      </c>
      <c r="AB4" s="3473" t="s">
        <v>2406</v>
      </c>
      <c r="AC4" s="3477" t="s">
        <v>2407</v>
      </c>
    </row>
    <row r="5" spans="1:29" ht="15">
      <c r="A5" s="364"/>
      <c r="B5" s="365"/>
      <c r="C5" s="3464" t="s">
        <v>2300</v>
      </c>
      <c r="D5" s="3465"/>
      <c r="E5" s="3489" t="s">
        <v>2301</v>
      </c>
      <c r="F5" s="3490"/>
      <c r="G5" s="3464" t="s">
        <v>2302</v>
      </c>
      <c r="H5" s="3465"/>
      <c r="I5" s="3464" t="s">
        <v>2303</v>
      </c>
      <c r="J5" s="3465"/>
      <c r="K5" s="567"/>
      <c r="L5" s="2914"/>
      <c r="M5" s="2915"/>
      <c r="N5" s="2915"/>
      <c r="O5" s="2915"/>
      <c r="P5" s="3485"/>
      <c r="Q5" s="3486"/>
      <c r="R5" s="3462"/>
      <c r="S5" s="3463"/>
      <c r="T5" s="3462"/>
      <c r="U5" s="3463"/>
      <c r="V5" s="3473"/>
      <c r="W5" s="3473"/>
      <c r="X5" s="1509"/>
      <c r="Y5" s="3462"/>
      <c r="Z5" s="3463"/>
      <c r="AA5" s="3478"/>
      <c r="AB5" s="3473"/>
      <c r="AC5" s="3478"/>
    </row>
    <row r="6" spans="1:29" ht="15.75" thickBot="1">
      <c r="A6" s="366"/>
      <c r="B6" s="367"/>
      <c r="C6" s="3559" t="s">
        <v>2304</v>
      </c>
      <c r="D6" s="3560"/>
      <c r="E6" s="3561" t="s">
        <v>2304</v>
      </c>
      <c r="F6" s="3562"/>
      <c r="G6" s="3559" t="s">
        <v>2304</v>
      </c>
      <c r="H6" s="3560"/>
      <c r="I6" s="3559" t="s">
        <v>2304</v>
      </c>
      <c r="J6" s="3560"/>
      <c r="K6" s="567" t="s">
        <v>2305</v>
      </c>
      <c r="L6" s="2914"/>
      <c r="M6" s="2915"/>
      <c r="N6" s="2915"/>
      <c r="O6" s="2915"/>
      <c r="P6" s="3487"/>
      <c r="Q6" s="3488"/>
      <c r="R6" s="3462"/>
      <c r="S6" s="3463"/>
      <c r="T6" s="3471"/>
      <c r="U6" s="3472"/>
      <c r="V6" s="3473"/>
      <c r="W6" s="3473"/>
      <c r="X6" s="1509"/>
      <c r="Y6" s="3471"/>
      <c r="Z6" s="3472"/>
      <c r="AA6" s="3479"/>
      <c r="AB6" s="3473"/>
      <c r="AC6" s="3479"/>
    </row>
    <row r="7" spans="1:29" s="113" customFormat="1" ht="15.75" thickBot="1">
      <c r="A7" s="368" t="s">
        <v>2306</v>
      </c>
      <c r="B7" s="369"/>
      <c r="C7" s="370">
        <f>'数据-取费表'!B2</f>
        <v>44610</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58" t="s">
        <v>2307</v>
      </c>
      <c r="Q7" s="3468"/>
      <c r="R7" s="710" t="s">
        <v>17</v>
      </c>
      <c r="S7" s="711">
        <f t="shared" ref="S7:S15" si="0">F7</f>
        <v>0</v>
      </c>
      <c r="T7" s="710" t="s">
        <v>17</v>
      </c>
      <c r="U7" s="711">
        <f t="shared" ref="U7:U15" si="1">H7</f>
        <v>0</v>
      </c>
      <c r="V7" s="710" t="s">
        <v>17</v>
      </c>
      <c r="W7" s="711">
        <f t="shared" ref="W7:W15" si="2">J7</f>
        <v>0</v>
      </c>
      <c r="X7" s="712"/>
      <c r="Y7" s="3458" t="s">
        <v>2307</v>
      </c>
      <c r="Z7" s="3459"/>
      <c r="AA7" s="713" t="e">
        <f>D7/F7</f>
        <v>#DIV/0!</v>
      </c>
      <c r="AB7" s="713" t="e">
        <f>D7/H7</f>
        <v>#DIV/0!</v>
      </c>
      <c r="AC7" s="713" t="e">
        <f>D7/J7</f>
        <v>#DIV/0!</v>
      </c>
    </row>
    <row r="8" spans="1:29" s="113" customFormat="1" ht="15.7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58" t="s">
        <v>2310</v>
      </c>
      <c r="Q8" s="3459"/>
      <c r="R8" s="710" t="s">
        <v>17</v>
      </c>
      <c r="S8" s="711">
        <f t="shared" si="0"/>
        <v>0</v>
      </c>
      <c r="T8" s="710" t="s">
        <v>17</v>
      </c>
      <c r="U8" s="711">
        <f t="shared" si="1"/>
        <v>0</v>
      </c>
      <c r="V8" s="710" t="s">
        <v>17</v>
      </c>
      <c r="W8" s="711">
        <f t="shared" si="2"/>
        <v>0</v>
      </c>
      <c r="X8" s="712"/>
      <c r="Y8" s="3458" t="s">
        <v>2310</v>
      </c>
      <c r="Z8" s="3459"/>
      <c r="AA8" s="713" t="e">
        <f t="shared" ref="AA8:AA46" si="3">D8/F8</f>
        <v>#DIV/0!</v>
      </c>
      <c r="AB8" s="713" t="e">
        <f t="shared" ref="AB8:AB46" si="4">D8/H8</f>
        <v>#DIV/0!</v>
      </c>
      <c r="AC8" s="713" t="e">
        <f t="shared" ref="AC8:AC46" si="5">D8/J8</f>
        <v>#DIV/0!</v>
      </c>
    </row>
    <row r="9" spans="1:29" s="113" customFormat="1">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55" t="s">
        <v>2313</v>
      </c>
      <c r="Q9" s="1497" t="str">
        <f t="shared" ref="Q9:Q15" si="6">B9</f>
        <v>用途</v>
      </c>
      <c r="R9" s="710" t="s">
        <v>17</v>
      </c>
      <c r="S9" s="711">
        <f t="shared" si="0"/>
        <v>100</v>
      </c>
      <c r="T9" s="710" t="s">
        <v>17</v>
      </c>
      <c r="U9" s="711">
        <f t="shared" si="1"/>
        <v>100</v>
      </c>
      <c r="V9" s="710" t="s">
        <v>17</v>
      </c>
      <c r="W9" s="711">
        <f t="shared" si="2"/>
        <v>100</v>
      </c>
      <c r="X9" s="712"/>
      <c r="Y9" s="3357"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55"/>
      <c r="Q11" s="1497" t="str">
        <f t="shared" si="6"/>
        <v>容积率</v>
      </c>
      <c r="R11" s="710" t="s">
        <v>17</v>
      </c>
      <c r="S11" s="711" t="e">
        <f t="shared" si="0"/>
        <v>#N/A</v>
      </c>
      <c r="T11" s="710" t="s">
        <v>17</v>
      </c>
      <c r="U11" s="711" t="e">
        <f t="shared" si="1"/>
        <v>#N/A</v>
      </c>
      <c r="V11" s="710" t="s">
        <v>17</v>
      </c>
      <c r="W11" s="711" t="e">
        <f t="shared" si="2"/>
        <v>#N/A</v>
      </c>
      <c r="X11" s="712"/>
      <c r="Y11" s="335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55"/>
      <c r="Q12" s="149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55"/>
      <c r="Q13" s="149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55"/>
      <c r="Q14" s="1497">
        <f t="shared" si="6"/>
        <v>111</v>
      </c>
      <c r="R14" s="710" t="s">
        <v>17</v>
      </c>
      <c r="S14" s="711">
        <f t="shared" si="0"/>
        <v>100</v>
      </c>
      <c r="T14" s="710" t="s">
        <v>17</v>
      </c>
      <c r="U14" s="711">
        <f t="shared" si="1"/>
        <v>100</v>
      </c>
      <c r="V14" s="710" t="s">
        <v>17</v>
      </c>
      <c r="W14" s="711">
        <f t="shared" si="2"/>
        <v>100</v>
      </c>
      <c r="X14" s="712"/>
      <c r="Y14" s="3357"/>
      <c r="Z14" s="55">
        <f t="shared" si="7"/>
        <v>111</v>
      </c>
      <c r="AA14" s="713">
        <f t="shared" si="3"/>
        <v>1</v>
      </c>
      <c r="AB14" s="713">
        <f t="shared" si="4"/>
        <v>1</v>
      </c>
      <c r="AC14" s="713">
        <f t="shared" si="5"/>
        <v>1</v>
      </c>
    </row>
    <row r="15" spans="1:29" ht="71.25">
      <c r="A15" s="399" t="s">
        <v>2317</v>
      </c>
      <c r="B15" s="65" t="s">
        <v>2411</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57" t="s">
        <v>2318</v>
      </c>
      <c r="Q15" s="1506" t="str">
        <f t="shared" si="6"/>
        <v>商业繁华度</v>
      </c>
      <c r="R15" s="714" t="s">
        <v>17</v>
      </c>
      <c r="S15" s="715">
        <f t="shared" si="0"/>
        <v>100</v>
      </c>
      <c r="T15" s="714" t="s">
        <v>17</v>
      </c>
      <c r="U15" s="715">
        <f t="shared" si="1"/>
        <v>100</v>
      </c>
      <c r="V15" s="714" t="s">
        <v>17</v>
      </c>
      <c r="W15" s="715">
        <f t="shared" si="2"/>
        <v>100</v>
      </c>
      <c r="X15" s="1509"/>
      <c r="Y15" s="3474" t="s">
        <v>2318</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58"/>
      <c r="Q16" s="1506"/>
      <c r="R16" s="714"/>
      <c r="S16" s="715"/>
      <c r="T16" s="714"/>
      <c r="U16" s="715"/>
      <c r="V16" s="714"/>
      <c r="W16" s="715"/>
      <c r="X16" s="1509"/>
      <c r="Y16" s="347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58"/>
      <c r="Q17" s="1506" t="str">
        <f>B17</f>
        <v>交通便捷度</v>
      </c>
      <c r="R17" s="714" t="s">
        <v>17</v>
      </c>
      <c r="S17" s="715">
        <f>F17</f>
        <v>100</v>
      </c>
      <c r="T17" s="714" t="s">
        <v>17</v>
      </c>
      <c r="U17" s="715">
        <f>H17</f>
        <v>100</v>
      </c>
      <c r="V17" s="714" t="s">
        <v>17</v>
      </c>
      <c r="W17" s="715">
        <f>J17</f>
        <v>100</v>
      </c>
      <c r="X17" s="1509"/>
      <c r="Y17" s="347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58"/>
      <c r="Q18" s="1506"/>
      <c r="R18" s="714"/>
      <c r="S18" s="715"/>
      <c r="T18" s="714"/>
      <c r="U18" s="715"/>
      <c r="V18" s="714"/>
      <c r="W18" s="715"/>
      <c r="X18" s="1509"/>
      <c r="Y18" s="3475"/>
      <c r="Z18" s="1510"/>
      <c r="AA18" s="1507">
        <v>1</v>
      </c>
      <c r="AB18" s="1507">
        <v>1</v>
      </c>
      <c r="AC18" s="1507">
        <v>1</v>
      </c>
    </row>
    <row r="19" spans="1:29" ht="42.75">
      <c r="A19" s="387"/>
      <c r="B19" s="410" t="s">
        <v>2412</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58"/>
      <c r="Q19" s="1506" t="str">
        <f>B19</f>
        <v>公共配套设施</v>
      </c>
      <c r="R19" s="714" t="s">
        <v>17</v>
      </c>
      <c r="S19" s="715">
        <f>F19</f>
        <v>100</v>
      </c>
      <c r="T19" s="714" t="s">
        <v>17</v>
      </c>
      <c r="U19" s="715">
        <f>H19</f>
        <v>100</v>
      </c>
      <c r="V19" s="714" t="s">
        <v>17</v>
      </c>
      <c r="W19" s="715">
        <f>J19</f>
        <v>100</v>
      </c>
      <c r="X19" s="1509"/>
      <c r="Y19" s="347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58"/>
      <c r="Q20" s="1506"/>
      <c r="R20" s="714"/>
      <c r="S20" s="715"/>
      <c r="T20" s="714"/>
      <c r="U20" s="715"/>
      <c r="V20" s="714"/>
      <c r="W20" s="715"/>
      <c r="X20" s="1509"/>
      <c r="Y20" s="3475"/>
      <c r="Z20" s="1510"/>
      <c r="AA20" s="1507">
        <v>1</v>
      </c>
      <c r="AB20" s="1507">
        <v>1</v>
      </c>
      <c r="AC20" s="1507">
        <v>1</v>
      </c>
    </row>
    <row r="21" spans="1:29" ht="28.5">
      <c r="A21" s="387"/>
      <c r="B21" s="1265" t="s">
        <v>2413</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58"/>
      <c r="Q21" s="1506" t="str">
        <f>B21</f>
        <v>基础设施水平</v>
      </c>
      <c r="R21" s="714" t="s">
        <v>17</v>
      </c>
      <c r="S21" s="715">
        <f>F21</f>
        <v>100</v>
      </c>
      <c r="T21" s="714" t="s">
        <v>17</v>
      </c>
      <c r="U21" s="715">
        <f>H21</f>
        <v>100</v>
      </c>
      <c r="V21" s="714" t="s">
        <v>17</v>
      </c>
      <c r="W21" s="715">
        <f>J21</f>
        <v>100</v>
      </c>
      <c r="X21" s="1509"/>
      <c r="Y21" s="347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58"/>
      <c r="Q22" s="1506"/>
      <c r="R22" s="714"/>
      <c r="S22" s="715"/>
      <c r="T22" s="714"/>
      <c r="U22" s="715"/>
      <c r="V22" s="714"/>
      <c r="W22" s="715"/>
      <c r="X22" s="1509"/>
      <c r="Y22" s="3475"/>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58"/>
      <c r="Q23" s="1506" t="str">
        <f>B23</f>
        <v>自然及人文环境</v>
      </c>
      <c r="R23" s="714" t="s">
        <v>17</v>
      </c>
      <c r="S23" s="715">
        <f>F23</f>
        <v>100</v>
      </c>
      <c r="T23" s="714" t="s">
        <v>17</v>
      </c>
      <c r="U23" s="715">
        <f>H23</f>
        <v>100</v>
      </c>
      <c r="V23" s="714" t="s">
        <v>17</v>
      </c>
      <c r="W23" s="715">
        <f>J23</f>
        <v>100</v>
      </c>
      <c r="X23" s="1509"/>
      <c r="Y23" s="347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58"/>
      <c r="Q24" s="1506"/>
      <c r="R24" s="714"/>
      <c r="S24" s="715"/>
      <c r="T24" s="714"/>
      <c r="U24" s="715"/>
      <c r="V24" s="714"/>
      <c r="W24" s="715"/>
      <c r="X24" s="1509"/>
      <c r="Y24" s="3475"/>
      <c r="Z24" s="1510"/>
      <c r="AA24" s="1507">
        <v>1</v>
      </c>
      <c r="AB24" s="1507">
        <v>1</v>
      </c>
      <c r="AC24" s="1507">
        <v>1</v>
      </c>
    </row>
    <row r="25" spans="1:29" ht="1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58"/>
      <c r="Q25" s="1506" t="str">
        <f t="shared" ref="Q25:Q46" si="11">B25</f>
        <v>临街状况</v>
      </c>
      <c r="R25" s="714" t="s">
        <v>17</v>
      </c>
      <c r="S25" s="715">
        <f>F25</f>
        <v>100</v>
      </c>
      <c r="T25" s="714" t="s">
        <v>17</v>
      </c>
      <c r="U25" s="715">
        <f>H25</f>
        <v>100</v>
      </c>
      <c r="V25" s="714" t="s">
        <v>17</v>
      </c>
      <c r="W25" s="715">
        <f>J25</f>
        <v>100</v>
      </c>
      <c r="X25" s="1509"/>
      <c r="Y25" s="3475"/>
      <c r="Z25" s="1510" t="str">
        <f>Q25</f>
        <v>临街状况</v>
      </c>
      <c r="AA25" s="1507">
        <f t="shared" si="3"/>
        <v>1</v>
      </c>
      <c r="AB25" s="1507">
        <f t="shared" si="4"/>
        <v>1</v>
      </c>
      <c r="AC25" s="1507">
        <f t="shared" si="5"/>
        <v>1</v>
      </c>
    </row>
    <row r="26" spans="1:29" ht="15">
      <c r="A26" s="387"/>
      <c r="B26" s="1267" t="s">
        <v>2415</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58"/>
      <c r="Q26" s="1506" t="str">
        <f t="shared" si="11"/>
        <v>平面位置/可视性</v>
      </c>
      <c r="R26" s="714" t="s">
        <v>17</v>
      </c>
      <c r="S26" s="715">
        <f>F26</f>
        <v>100</v>
      </c>
      <c r="T26" s="714" t="s">
        <v>17</v>
      </c>
      <c r="U26" s="715">
        <f>H26</f>
        <v>100</v>
      </c>
      <c r="V26" s="714" t="s">
        <v>17</v>
      </c>
      <c r="W26" s="715">
        <f>J26</f>
        <v>100</v>
      </c>
      <c r="X26" s="1509"/>
      <c r="Y26" s="3475"/>
      <c r="Z26" s="1510" t="str">
        <f>Q26</f>
        <v>平面位置/可视性</v>
      </c>
      <c r="AA26" s="1507">
        <f t="shared" si="3"/>
        <v>1</v>
      </c>
      <c r="AB26" s="1507">
        <f t="shared" si="4"/>
        <v>1</v>
      </c>
      <c r="AC26" s="1507">
        <f t="shared" si="5"/>
        <v>1</v>
      </c>
    </row>
    <row r="27" spans="1:29" s="113" customFormat="1" ht="15">
      <c r="A27" s="390"/>
      <c r="B27" s="410" t="s">
        <v>2416</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58"/>
      <c r="Q27" s="1497" t="str">
        <f t="shared" si="11"/>
        <v>人流量</v>
      </c>
      <c r="R27" s="710" t="s">
        <v>17</v>
      </c>
      <c r="S27" s="711">
        <f>F27</f>
        <v>100</v>
      </c>
      <c r="T27" s="710" t="s">
        <v>17</v>
      </c>
      <c r="U27" s="711">
        <f>H27</f>
        <v>100</v>
      </c>
      <c r="V27" s="710" t="s">
        <v>17</v>
      </c>
      <c r="W27" s="711">
        <f>J27</f>
        <v>100</v>
      </c>
      <c r="X27" s="712"/>
      <c r="Y27" s="3475"/>
      <c r="Z27" s="55" t="str">
        <f>Q27</f>
        <v>人流量</v>
      </c>
      <c r="AA27" s="1507">
        <f>D27/F27</f>
        <v>1</v>
      </c>
      <c r="AB27" s="1507">
        <f>D27/H27</f>
        <v>1</v>
      </c>
      <c r="AC27" s="1507">
        <f>D27/J27</f>
        <v>1</v>
      </c>
    </row>
    <row r="28" spans="1:29" ht="1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5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58"/>
      <c r="Q29" s="1506">
        <f t="shared" si="11"/>
        <v>111</v>
      </c>
      <c r="R29" s="714" t="s">
        <v>17</v>
      </c>
      <c r="S29" s="715">
        <f t="shared" si="12"/>
        <v>100</v>
      </c>
      <c r="T29" s="714" t="s">
        <v>17</v>
      </c>
      <c r="U29" s="715">
        <f t="shared" si="13"/>
        <v>100</v>
      </c>
      <c r="V29" s="714" t="s">
        <v>17</v>
      </c>
      <c r="W29" s="715">
        <f t="shared" si="14"/>
        <v>100</v>
      </c>
      <c r="X29" s="1509"/>
      <c r="Y29" s="347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58"/>
      <c r="Q30" s="1506">
        <f t="shared" si="11"/>
        <v>111</v>
      </c>
      <c r="R30" s="714" t="s">
        <v>17</v>
      </c>
      <c r="S30" s="715">
        <f t="shared" si="12"/>
        <v>100</v>
      </c>
      <c r="T30" s="714" t="s">
        <v>17</v>
      </c>
      <c r="U30" s="715">
        <f t="shared" si="13"/>
        <v>100</v>
      </c>
      <c r="V30" s="714" t="s">
        <v>17</v>
      </c>
      <c r="W30" s="715">
        <f t="shared" si="14"/>
        <v>100</v>
      </c>
      <c r="X30" s="1509"/>
      <c r="Y30" s="347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58"/>
      <c r="Q31" s="1506">
        <f t="shared" si="11"/>
        <v>111</v>
      </c>
      <c r="R31" s="714" t="s">
        <v>17</v>
      </c>
      <c r="S31" s="715">
        <f t="shared" si="12"/>
        <v>100</v>
      </c>
      <c r="T31" s="714" t="s">
        <v>17</v>
      </c>
      <c r="U31" s="715">
        <f t="shared" si="13"/>
        <v>100</v>
      </c>
      <c r="V31" s="714" t="s">
        <v>17</v>
      </c>
      <c r="W31" s="715">
        <f t="shared" si="14"/>
        <v>100</v>
      </c>
      <c r="X31" s="1509"/>
      <c r="Y31" s="3475"/>
      <c r="Z31" s="1510">
        <f t="shared" si="15"/>
        <v>111</v>
      </c>
      <c r="AA31" s="1507">
        <f t="shared" si="3"/>
        <v>1</v>
      </c>
      <c r="AB31" s="1507">
        <f t="shared" si="4"/>
        <v>1</v>
      </c>
      <c r="AC31" s="1507">
        <f t="shared" si="5"/>
        <v>1</v>
      </c>
    </row>
    <row r="32" spans="1:29" ht="15">
      <c r="A32" s="399" t="s">
        <v>2321</v>
      </c>
      <c r="B32" s="67" t="s">
        <v>2418</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553" t="s">
        <v>2323</v>
      </c>
      <c r="Q32" s="1506" t="str">
        <f t="shared" si="11"/>
        <v>商业类型</v>
      </c>
      <c r="R32" s="714" t="s">
        <v>17</v>
      </c>
      <c r="S32" s="715">
        <f t="shared" si="12"/>
        <v>100</v>
      </c>
      <c r="T32" s="714" t="s">
        <v>17</v>
      </c>
      <c r="U32" s="715">
        <f t="shared" si="13"/>
        <v>100</v>
      </c>
      <c r="V32" s="714" t="s">
        <v>17</v>
      </c>
      <c r="W32" s="715">
        <f t="shared" si="14"/>
        <v>100</v>
      </c>
      <c r="X32" s="1509"/>
      <c r="Y32" s="3476" t="s">
        <v>2323</v>
      </c>
      <c r="Z32" s="1510" t="str">
        <f t="shared" si="15"/>
        <v>商业类型</v>
      </c>
      <c r="AA32" s="1507">
        <f t="shared" si="3"/>
        <v>1</v>
      </c>
      <c r="AB32" s="1507">
        <f t="shared" si="4"/>
        <v>1</v>
      </c>
      <c r="AC32" s="1507">
        <f t="shared" si="5"/>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554"/>
      <c r="Q33" s="716" t="str">
        <f t="shared" si="11"/>
        <v>项目建筑规模</v>
      </c>
      <c r="R33" s="717" t="s">
        <v>17</v>
      </c>
      <c r="S33" s="718" t="e">
        <f t="shared" si="12"/>
        <v>#N/A</v>
      </c>
      <c r="T33" s="717" t="s">
        <v>17</v>
      </c>
      <c r="U33" s="718" t="e">
        <f t="shared" si="13"/>
        <v>#N/A</v>
      </c>
      <c r="V33" s="717" t="s">
        <v>17</v>
      </c>
      <c r="W33" s="718" t="e">
        <f t="shared" si="14"/>
        <v>#N/A</v>
      </c>
      <c r="X33" s="719"/>
      <c r="Y33" s="3476"/>
      <c r="Z33" s="720" t="str">
        <f t="shared" si="15"/>
        <v>项目建筑规模</v>
      </c>
      <c r="AA33" s="1507" t="e">
        <f t="shared" si="3"/>
        <v>#N/A</v>
      </c>
      <c r="AB33" s="1507" t="e">
        <f t="shared" si="4"/>
        <v>#N/A</v>
      </c>
      <c r="AC33" s="1507" t="e">
        <f t="shared" si="5"/>
        <v>#N/A</v>
      </c>
    </row>
    <row r="34" spans="1:29" ht="15">
      <c r="A34" s="431"/>
      <c r="B34" s="381" t="s">
        <v>2325</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554"/>
      <c r="Q34" s="1506" t="str">
        <f t="shared" si="11"/>
        <v>建筑结构</v>
      </c>
      <c r="R34" s="714" t="s">
        <v>17</v>
      </c>
      <c r="S34" s="715">
        <f t="shared" si="12"/>
        <v>100</v>
      </c>
      <c r="T34" s="714" t="s">
        <v>17</v>
      </c>
      <c r="U34" s="715">
        <f t="shared" si="13"/>
        <v>100</v>
      </c>
      <c r="V34" s="714" t="s">
        <v>17</v>
      </c>
      <c r="W34" s="715">
        <f t="shared" si="14"/>
        <v>100</v>
      </c>
      <c r="X34" s="1509"/>
      <c r="Y34" s="3476"/>
      <c r="Z34" s="1510" t="str">
        <f t="shared" si="15"/>
        <v>建筑结构</v>
      </c>
      <c r="AA34" s="1507">
        <f t="shared" si="3"/>
        <v>1</v>
      </c>
      <c r="AB34" s="1507">
        <f t="shared" si="4"/>
        <v>1</v>
      </c>
      <c r="AC34" s="1507">
        <f t="shared" si="5"/>
        <v>1</v>
      </c>
    </row>
    <row r="35" spans="1:29" ht="15">
      <c r="A35" s="431"/>
      <c r="B35" s="381" t="s">
        <v>2419</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554"/>
      <c r="Q35" s="1506" t="str">
        <f t="shared" si="11"/>
        <v>公共部分装修</v>
      </c>
      <c r="R35" s="714" t="s">
        <v>17</v>
      </c>
      <c r="S35" s="715">
        <f t="shared" si="12"/>
        <v>100</v>
      </c>
      <c r="T35" s="714" t="s">
        <v>17</v>
      </c>
      <c r="U35" s="715">
        <f t="shared" si="13"/>
        <v>100</v>
      </c>
      <c r="V35" s="714" t="s">
        <v>17</v>
      </c>
      <c r="W35" s="715">
        <f t="shared" si="14"/>
        <v>100</v>
      </c>
      <c r="X35" s="1509"/>
      <c r="Y35" s="3476"/>
      <c r="Z35" s="1510" t="str">
        <f t="shared" si="15"/>
        <v>公共部分装修</v>
      </c>
      <c r="AA35" s="1507">
        <f t="shared" si="3"/>
        <v>1</v>
      </c>
      <c r="AB35" s="1507">
        <f t="shared" si="4"/>
        <v>1</v>
      </c>
      <c r="AC35" s="1507">
        <f t="shared" si="5"/>
        <v>1</v>
      </c>
    </row>
    <row r="36" spans="1:29" ht="1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554"/>
      <c r="Q36" s="1506" t="str">
        <f t="shared" si="11"/>
        <v>成新度</v>
      </c>
      <c r="R36" s="714" t="s">
        <v>17</v>
      </c>
      <c r="S36" s="715" t="e">
        <f t="shared" si="12"/>
        <v>#N/A</v>
      </c>
      <c r="T36" s="714" t="s">
        <v>17</v>
      </c>
      <c r="U36" s="715" t="e">
        <f t="shared" si="13"/>
        <v>#N/A</v>
      </c>
      <c r="V36" s="714" t="s">
        <v>17</v>
      </c>
      <c r="W36" s="715" t="e">
        <f t="shared" si="14"/>
        <v>#N/A</v>
      </c>
      <c r="X36" s="1509"/>
      <c r="Y36" s="3476"/>
      <c r="Z36" s="1510" t="str">
        <f t="shared" si="15"/>
        <v>成新度</v>
      </c>
      <c r="AA36" s="1507" t="e">
        <f t="shared" si="3"/>
        <v>#N/A</v>
      </c>
      <c r="AB36" s="1507" t="e">
        <f t="shared" si="4"/>
        <v>#N/A</v>
      </c>
      <c r="AC36" s="1507" t="e">
        <f t="shared" si="5"/>
        <v>#N/A</v>
      </c>
    </row>
    <row r="37" spans="1:29" s="113" customFormat="1" ht="15">
      <c r="A37" s="432"/>
      <c r="B37" s="381" t="s">
        <v>2421</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554"/>
      <c r="Q37" s="1497" t="str">
        <f t="shared" si="11"/>
        <v>市政基础设施</v>
      </c>
      <c r="R37" s="710" t="s">
        <v>17</v>
      </c>
      <c r="S37" s="711">
        <f t="shared" si="12"/>
        <v>100</v>
      </c>
      <c r="T37" s="710" t="s">
        <v>17</v>
      </c>
      <c r="U37" s="711">
        <f t="shared" si="13"/>
        <v>100</v>
      </c>
      <c r="V37" s="710" t="s">
        <v>17</v>
      </c>
      <c r="W37" s="711">
        <f t="shared" si="14"/>
        <v>100</v>
      </c>
      <c r="X37" s="712"/>
      <c r="Y37" s="3476"/>
      <c r="Z37" s="55" t="str">
        <f t="shared" si="15"/>
        <v>市政基础设施</v>
      </c>
      <c r="AA37" s="713">
        <f t="shared" si="3"/>
        <v>1</v>
      </c>
      <c r="AB37" s="713">
        <f t="shared" si="4"/>
        <v>1</v>
      </c>
      <c r="AC37" s="713">
        <f t="shared" si="5"/>
        <v>1</v>
      </c>
    </row>
    <row r="38" spans="1:29" ht="15">
      <c r="A38" s="431"/>
      <c r="B38" s="381" t="s">
        <v>2422</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554" t="s">
        <v>2323</v>
      </c>
      <c r="Q38" s="1506" t="str">
        <f t="shared" si="11"/>
        <v>业态</v>
      </c>
      <c r="R38" s="714" t="s">
        <v>17</v>
      </c>
      <c r="S38" s="715">
        <f t="shared" si="12"/>
        <v>100</v>
      </c>
      <c r="T38" s="714" t="s">
        <v>17</v>
      </c>
      <c r="U38" s="715">
        <f t="shared" si="13"/>
        <v>100</v>
      </c>
      <c r="V38" s="714" t="s">
        <v>17</v>
      </c>
      <c r="W38" s="715">
        <f t="shared" si="14"/>
        <v>100</v>
      </c>
      <c r="X38" s="1509"/>
      <c r="Y38" s="3476" t="s">
        <v>2323</v>
      </c>
      <c r="Z38" s="1510" t="str">
        <f t="shared" si="15"/>
        <v>业态</v>
      </c>
      <c r="AA38" s="1507">
        <f t="shared" si="3"/>
        <v>1</v>
      </c>
      <c r="AB38" s="1507">
        <f t="shared" si="4"/>
        <v>1</v>
      </c>
      <c r="AC38" s="1507">
        <f t="shared" si="5"/>
        <v>1</v>
      </c>
    </row>
    <row r="39" spans="1:29" ht="15">
      <c r="A39" s="431"/>
      <c r="B39" s="381" t="s">
        <v>2423</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554"/>
      <c r="Q39" s="1506" t="str">
        <f t="shared" si="11"/>
        <v>层高</v>
      </c>
      <c r="R39" s="714" t="s">
        <v>17</v>
      </c>
      <c r="S39" s="715">
        <f t="shared" si="12"/>
        <v>100</v>
      </c>
      <c r="T39" s="714" t="s">
        <v>17</v>
      </c>
      <c r="U39" s="715">
        <f t="shared" si="13"/>
        <v>100</v>
      </c>
      <c r="V39" s="714" t="s">
        <v>17</v>
      </c>
      <c r="W39" s="715">
        <f t="shared" si="14"/>
        <v>100</v>
      </c>
      <c r="X39" s="1509"/>
      <c r="Y39" s="3476"/>
      <c r="Z39" s="1510" t="str">
        <f t="shared" si="15"/>
        <v>层高</v>
      </c>
      <c r="AA39" s="1507">
        <f t="shared" si="3"/>
        <v>1</v>
      </c>
      <c r="AB39" s="1507">
        <f t="shared" si="4"/>
        <v>1</v>
      </c>
      <c r="AC39" s="1507">
        <f t="shared" si="5"/>
        <v>1</v>
      </c>
    </row>
    <row r="40" spans="1:29" ht="1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554"/>
      <c r="Q40" s="1506" t="str">
        <f t="shared" si="11"/>
        <v>单套建筑面积</v>
      </c>
      <c r="R40" s="714" t="s">
        <v>17</v>
      </c>
      <c r="S40" s="715">
        <f t="shared" si="12"/>
        <v>100</v>
      </c>
      <c r="T40" s="714" t="s">
        <v>17</v>
      </c>
      <c r="U40" s="715">
        <f t="shared" si="13"/>
        <v>100</v>
      </c>
      <c r="V40" s="714" t="s">
        <v>17</v>
      </c>
      <c r="W40" s="715">
        <f t="shared" si="14"/>
        <v>100</v>
      </c>
      <c r="X40" s="1509"/>
      <c r="Y40" s="3476"/>
      <c r="Z40" s="1510" t="str">
        <f t="shared" si="15"/>
        <v>单套建筑面积</v>
      </c>
      <c r="AA40" s="1507">
        <f t="shared" si="3"/>
        <v>1</v>
      </c>
      <c r="AB40" s="1507">
        <f t="shared" si="4"/>
        <v>1</v>
      </c>
      <c r="AC40" s="1507">
        <f t="shared" si="5"/>
        <v>1</v>
      </c>
    </row>
    <row r="41" spans="1:29" s="430" customFormat="1" ht="15">
      <c r="A41" s="427"/>
      <c r="B41" s="1508"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554"/>
      <c r="Q41" s="716" t="str">
        <f t="shared" si="11"/>
        <v>进深比</v>
      </c>
      <c r="R41" s="717" t="s">
        <v>17</v>
      </c>
      <c r="S41" s="718">
        <f t="shared" si="12"/>
        <v>100</v>
      </c>
      <c r="T41" s="717" t="s">
        <v>17</v>
      </c>
      <c r="U41" s="718">
        <f t="shared" si="13"/>
        <v>100</v>
      </c>
      <c r="V41" s="717" t="s">
        <v>17</v>
      </c>
      <c r="W41" s="718">
        <f t="shared" si="14"/>
        <v>100</v>
      </c>
      <c r="X41" s="719"/>
      <c r="Y41" s="3476"/>
      <c r="Z41" s="720" t="str">
        <f t="shared" si="15"/>
        <v>进深比</v>
      </c>
      <c r="AA41" s="1507">
        <f t="shared" si="3"/>
        <v>1</v>
      </c>
      <c r="AB41" s="1507">
        <f t="shared" si="4"/>
        <v>1</v>
      </c>
      <c r="AC41" s="1507">
        <f t="shared" si="5"/>
        <v>1</v>
      </c>
    </row>
    <row r="42" spans="1:29" ht="15">
      <c r="A42" s="431"/>
      <c r="B42" s="381" t="s">
        <v>2426</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554"/>
      <c r="Q42" s="1506" t="str">
        <f t="shared" si="11"/>
        <v>内部装修</v>
      </c>
      <c r="R42" s="714" t="s">
        <v>17</v>
      </c>
      <c r="S42" s="715">
        <f t="shared" si="12"/>
        <v>100</v>
      </c>
      <c r="T42" s="714" t="s">
        <v>17</v>
      </c>
      <c r="U42" s="715">
        <f t="shared" si="13"/>
        <v>100</v>
      </c>
      <c r="V42" s="714" t="s">
        <v>17</v>
      </c>
      <c r="W42" s="715">
        <f t="shared" si="14"/>
        <v>100</v>
      </c>
      <c r="X42" s="1509"/>
      <c r="Y42" s="3476"/>
      <c r="Z42" s="1510" t="str">
        <f t="shared" si="15"/>
        <v>内部装修</v>
      </c>
      <c r="AA42" s="1507">
        <f t="shared" si="3"/>
        <v>1</v>
      </c>
      <c r="AB42" s="1507">
        <f t="shared" si="4"/>
        <v>1</v>
      </c>
      <c r="AC42" s="1507">
        <f t="shared" si="5"/>
        <v>1</v>
      </c>
    </row>
    <row r="43" spans="1:29" ht="15">
      <c r="A43" s="431"/>
      <c r="B43" s="381" t="s">
        <v>2334</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554"/>
      <c r="Q43" s="1506" t="str">
        <f t="shared" si="11"/>
        <v>内部装修维护情况</v>
      </c>
      <c r="R43" s="714" t="s">
        <v>17</v>
      </c>
      <c r="S43" s="715">
        <f t="shared" si="12"/>
        <v>100</v>
      </c>
      <c r="T43" s="714" t="s">
        <v>17</v>
      </c>
      <c r="U43" s="715">
        <f t="shared" si="13"/>
        <v>100</v>
      </c>
      <c r="V43" s="714" t="s">
        <v>17</v>
      </c>
      <c r="W43" s="715">
        <f t="shared" si="14"/>
        <v>100</v>
      </c>
      <c r="X43" s="1509"/>
      <c r="Y43" s="347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554"/>
      <c r="Q44" s="1497">
        <f t="shared" si="11"/>
        <v>111</v>
      </c>
      <c r="R44" s="710" t="s">
        <v>17</v>
      </c>
      <c r="S44" s="711">
        <f t="shared" si="12"/>
        <v>100</v>
      </c>
      <c r="T44" s="710" t="s">
        <v>17</v>
      </c>
      <c r="U44" s="711">
        <f t="shared" si="13"/>
        <v>100</v>
      </c>
      <c r="V44" s="710" t="s">
        <v>17</v>
      </c>
      <c r="W44" s="711">
        <f t="shared" si="14"/>
        <v>100</v>
      </c>
      <c r="X44" s="712"/>
      <c r="Y44" s="347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554"/>
      <c r="Q45" s="1506">
        <f t="shared" si="11"/>
        <v>111</v>
      </c>
      <c r="R45" s="714" t="s">
        <v>17</v>
      </c>
      <c r="S45" s="715">
        <f t="shared" si="12"/>
        <v>100</v>
      </c>
      <c r="T45" s="714" t="s">
        <v>17</v>
      </c>
      <c r="U45" s="715">
        <f t="shared" si="13"/>
        <v>100</v>
      </c>
      <c r="V45" s="714" t="s">
        <v>17</v>
      </c>
      <c r="W45" s="715">
        <f t="shared" si="14"/>
        <v>100</v>
      </c>
      <c r="X45" s="1509"/>
      <c r="Y45" s="347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555"/>
      <c r="Q46" s="1506">
        <f t="shared" si="11"/>
        <v>111</v>
      </c>
      <c r="R46" s="714" t="s">
        <v>17</v>
      </c>
      <c r="S46" s="715">
        <f t="shared" si="12"/>
        <v>100</v>
      </c>
      <c r="T46" s="714" t="s">
        <v>17</v>
      </c>
      <c r="U46" s="715">
        <f t="shared" si="13"/>
        <v>100</v>
      </c>
      <c r="V46" s="714" t="s">
        <v>17</v>
      </c>
      <c r="W46" s="715">
        <f t="shared" si="14"/>
        <v>100</v>
      </c>
      <c r="X46" s="1509"/>
      <c r="Y46" s="3556"/>
      <c r="Z46" s="1510">
        <f t="shared" si="15"/>
        <v>111</v>
      </c>
      <c r="AA46" s="1507">
        <f t="shared" si="3"/>
        <v>1</v>
      </c>
      <c r="AB46" s="1507">
        <f t="shared" si="4"/>
        <v>1</v>
      </c>
      <c r="AC46" s="1507">
        <f t="shared" si="5"/>
        <v>1</v>
      </c>
    </row>
    <row r="47" spans="1:29" ht="15">
      <c r="A47" s="438" t="s">
        <v>2335</v>
      </c>
      <c r="B47" s="439"/>
      <c r="C47" s="1288" t="s">
        <v>1</v>
      </c>
      <c r="D47" s="1289"/>
      <c r="E47" s="1290"/>
      <c r="F47" s="1291"/>
      <c r="G47" s="1292"/>
      <c r="H47" s="1293"/>
      <c r="I47" s="1290"/>
      <c r="J47" s="1293"/>
      <c r="K47" s="723"/>
      <c r="L47" s="2923"/>
      <c r="M47" s="2924"/>
      <c r="N47" s="2915"/>
      <c r="O47" s="2924"/>
      <c r="P47" s="3456" t="str">
        <f>A47</f>
        <v>成交单价（元/平方米）</v>
      </c>
      <c r="Q47" s="3456"/>
      <c r="R47" s="3473">
        <f>E47</f>
        <v>0</v>
      </c>
      <c r="S47" s="3473"/>
      <c r="T47" s="3473">
        <f>G47</f>
        <v>0</v>
      </c>
      <c r="U47" s="3473"/>
      <c r="V47" s="3473">
        <f>I47</f>
        <v>0</v>
      </c>
      <c r="W47" s="3473"/>
      <c r="X47" s="699"/>
      <c r="Y47" s="721"/>
      <c r="Z47" s="699"/>
      <c r="AA47" s="699"/>
      <c r="AB47" s="699"/>
      <c r="AC47" s="699"/>
    </row>
    <row r="48" spans="1:29" ht="15.75" thickBot="1">
      <c r="A48" s="445" t="s">
        <v>2427</v>
      </c>
      <c r="B48" s="446"/>
      <c r="C48" s="1294" t="e">
        <f>R49</f>
        <v>#DIV/0!</v>
      </c>
      <c r="D48" s="2508" t="s">
        <v>2816</v>
      </c>
      <c r="E48" s="1295" t="e">
        <f>R48</f>
        <v>#DIV/0!</v>
      </c>
      <c r="F48" s="2509"/>
      <c r="G48" s="1294" t="e">
        <f>T48</f>
        <v>#DIV/0!</v>
      </c>
      <c r="H48" s="2509"/>
      <c r="I48" s="1295" t="e">
        <f>V48</f>
        <v>#DIV/0!</v>
      </c>
      <c r="J48" s="2509"/>
      <c r="K48" s="2511">
        <f>F48+H48+J48</f>
        <v>0</v>
      </c>
      <c r="L48" s="2923"/>
      <c r="M48" s="2924"/>
      <c r="N48" s="2915"/>
      <c r="O48" s="2924"/>
      <c r="P48" s="3456" t="str">
        <f>A48</f>
        <v>比较价值（元/平方米）</v>
      </c>
      <c r="Q48" s="3456"/>
      <c r="R48" s="3552" t="e">
        <f>IF(F1="售价",ROUND(PRODUCT(R47,AA7:AA46),0),ROUND(PRODUCT(R47,AA7:AA46),1))</f>
        <v>#DIV/0!</v>
      </c>
      <c r="S48" s="3552"/>
      <c r="T48" s="3552" t="e">
        <f>IF(F1="售价",ROUND(PRODUCT(T47,AB7:AB46),0),ROUND(PRODUCT(T47,AB7:AB46),1))</f>
        <v>#DIV/0!</v>
      </c>
      <c r="U48" s="3552"/>
      <c r="V48" s="3552" t="e">
        <f>IF(F1="售价",ROUND(PRODUCT(V47,AC7:AC46),0),ROUND(PRODUCT(V47,AC7:AC46),1))</f>
        <v>#DIV/0!</v>
      </c>
      <c r="W48" s="3552"/>
      <c r="X48" s="699"/>
      <c r="Y48" s="699"/>
      <c r="Z48" s="699"/>
      <c r="AA48" s="699"/>
      <c r="AB48" s="699"/>
      <c r="AC48" s="699"/>
    </row>
    <row r="49" spans="1:29" ht="15.75" thickBot="1">
      <c r="A49" s="449" t="s">
        <v>2428</v>
      </c>
      <c r="B49" s="450"/>
      <c r="C49" s="1297" t="e">
        <f>R49</f>
        <v>#DIV/0!</v>
      </c>
      <c r="D49" s="1297"/>
      <c r="E49" s="1297"/>
      <c r="F49" s="1297"/>
      <c r="G49" s="1297"/>
      <c r="H49" s="1297"/>
      <c r="I49" s="1297"/>
      <c r="J49" s="1297"/>
      <c r="K49" s="724"/>
      <c r="L49" s="2923"/>
      <c r="M49" s="2924"/>
      <c r="N49" s="2915"/>
      <c r="O49" s="2924"/>
      <c r="P49" s="3492" t="str">
        <f>A49</f>
        <v>估价对象XX用房的比较价值（楼面单价，元/平方米）</v>
      </c>
      <c r="Q49" s="3493"/>
      <c r="R49" s="3551" t="e">
        <f>IF(F1="售价",ROUND(IF(D48="简单平均",AVERAGE(R48:V48),R48*F48+T48*H48+V48*J48),0),ROUND(IF(D48="简单平均",AVERAGE(R48:V48),R48*F48+T48*H48+V48*J48),1))</f>
        <v>#DIV/0!</v>
      </c>
      <c r="S49" s="3551"/>
      <c r="T49" s="3551"/>
      <c r="U49" s="3551"/>
      <c r="V49" s="3551"/>
      <c r="W49" s="3551"/>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2432</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2306</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2343</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2308</v>
      </c>
      <c r="B61" s="467"/>
      <c r="C61" s="479" t="s">
        <v>2410</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2346</v>
      </c>
      <c r="B63" s="485" t="s">
        <v>2312</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2315</v>
      </c>
      <c r="C65" s="496" t="s">
        <v>2347</v>
      </c>
      <c r="D65" s="496" t="s">
        <v>2348</v>
      </c>
      <c r="E65" s="496" t="s">
        <v>2349</v>
      </c>
      <c r="F65" s="496" t="s">
        <v>2350</v>
      </c>
      <c r="G65" s="496" t="s">
        <v>2351</v>
      </c>
      <c r="H65" s="496" t="s">
        <v>2352</v>
      </c>
      <c r="I65" s="496" t="s">
        <v>2353</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2317</v>
      </c>
      <c r="B76" s="485" t="s">
        <v>2354</v>
      </c>
      <c r="C76" s="530" t="s">
        <v>2355</v>
      </c>
      <c r="D76" s="530" t="s">
        <v>2356</v>
      </c>
      <c r="E76" s="530" t="s">
        <v>2357</v>
      </c>
      <c r="F76" s="530" t="s">
        <v>2358</v>
      </c>
      <c r="G76" s="530" t="s">
        <v>2359</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2360</v>
      </c>
      <c r="C78" s="535" t="s">
        <v>2355</v>
      </c>
      <c r="D78" s="535" t="s">
        <v>2356</v>
      </c>
      <c r="E78" s="535" t="s">
        <v>2357</v>
      </c>
      <c r="F78" s="535" t="s">
        <v>2358</v>
      </c>
      <c r="G78" s="535" t="s">
        <v>2359</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2361</v>
      </c>
      <c r="C80" s="535" t="s">
        <v>2355</v>
      </c>
      <c r="D80" s="535" t="s">
        <v>2356</v>
      </c>
      <c r="E80" s="535" t="s">
        <v>2357</v>
      </c>
      <c r="F80" s="535" t="s">
        <v>2358</v>
      </c>
      <c r="G80" s="535" t="s">
        <v>2359</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2413</v>
      </c>
      <c r="C82" s="616" t="s">
        <v>2433</v>
      </c>
      <c r="D82" s="616" t="s">
        <v>2434</v>
      </c>
      <c r="E82" s="616" t="s">
        <v>2435</v>
      </c>
      <c r="F82" s="616" t="s">
        <v>2436</v>
      </c>
      <c r="G82" s="616" t="s">
        <v>2437</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2367</v>
      </c>
      <c r="C84" s="535" t="s">
        <v>2355</v>
      </c>
      <c r="D84" s="535" t="s">
        <v>2356</v>
      </c>
      <c r="E84" s="535" t="s">
        <v>2357</v>
      </c>
      <c r="F84" s="535" t="s">
        <v>2358</v>
      </c>
      <c r="G84" s="535" t="s">
        <v>2359</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2438</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2321</v>
      </c>
      <c r="B100" s="485" t="s">
        <v>2439</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2372</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2374</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2376</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2440</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2441</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2442</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2443</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2378</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2379</v>
      </c>
      <c r="C124" s="535" t="s">
        <v>2355</v>
      </c>
      <c r="D124" s="535" t="s">
        <v>2356</v>
      </c>
      <c r="E124" s="535" t="s">
        <v>2357</v>
      </c>
      <c r="F124" s="535" t="s">
        <v>2358</v>
      </c>
      <c r="G124" s="535" t="s">
        <v>2359</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受贵公司委托，我公司对北京市出让国有建设用地使用权及在建建筑物房地产抵押价值进行了预评估。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估价对象为北京市出让国有建设用地使用权及在建建筑物房地产，为所有。根据《国有土地使用证》[]，估价对象（分摊）出让国有建设用地使用权面积为29031.75平方米，建筑面积为23225平方米。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29031.75平方米，规划建筑面积为23225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2022年2月18日（评估专业人员实地查勘之日）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本次评估采用的主估价方法为成本法和假设开发法。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2444</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2402</v>
      </c>
      <c r="D3" s="359">
        <f>IF(D1="",'数据-汇总表'!E3,SUMIF('数据-汇总表'!$C19:$C33,D1,'数据-汇总表'!$E19:$E33))</f>
        <v>23225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2403</v>
      </c>
      <c r="B4" s="362"/>
      <c r="C4" s="3453" t="s">
        <v>2404</v>
      </c>
      <c r="D4" s="3480"/>
      <c r="E4" s="3481" t="s">
        <v>2405</v>
      </c>
      <c r="F4" s="3482"/>
      <c r="G4" s="3453" t="s">
        <v>2406</v>
      </c>
      <c r="H4" s="3480"/>
      <c r="I4" s="3453" t="s">
        <v>2407</v>
      </c>
      <c r="J4" s="3480"/>
      <c r="K4" s="567" t="s">
        <v>2408</v>
      </c>
      <c r="L4" s="2914"/>
      <c r="M4" s="2915"/>
      <c r="N4" s="2915"/>
      <c r="O4" s="2915"/>
      <c r="P4" s="3569" t="s">
        <v>2409</v>
      </c>
      <c r="Q4" s="3570"/>
      <c r="R4" s="3573" t="s">
        <v>2405</v>
      </c>
      <c r="S4" s="3574"/>
      <c r="T4" s="3573" t="s">
        <v>2406</v>
      </c>
      <c r="U4" s="3574"/>
      <c r="V4" s="3575" t="s">
        <v>2407</v>
      </c>
      <c r="W4" s="3575"/>
      <c r="X4" s="2114"/>
      <c r="Y4" s="3573" t="s">
        <v>2409</v>
      </c>
      <c r="Z4" s="3574"/>
      <c r="AA4" s="3577" t="s">
        <v>2405</v>
      </c>
      <c r="AB4" s="3577" t="s">
        <v>2406</v>
      </c>
      <c r="AC4" s="3566" t="s">
        <v>2407</v>
      </c>
    </row>
    <row r="5" spans="1:29" ht="15">
      <c r="A5" s="364"/>
      <c r="B5" s="365"/>
      <c r="C5" s="3464" t="s">
        <v>2300</v>
      </c>
      <c r="D5" s="3465"/>
      <c r="E5" s="3489" t="s">
        <v>2301</v>
      </c>
      <c r="F5" s="3490"/>
      <c r="G5" s="3464" t="s">
        <v>2302</v>
      </c>
      <c r="H5" s="3465"/>
      <c r="I5" s="3464" t="s">
        <v>2303</v>
      </c>
      <c r="J5" s="3465"/>
      <c r="K5" s="567"/>
      <c r="L5" s="2914"/>
      <c r="M5" s="2915"/>
      <c r="N5" s="2915"/>
      <c r="O5" s="2915"/>
      <c r="P5" s="3571"/>
      <c r="Q5" s="3486"/>
      <c r="R5" s="3462"/>
      <c r="S5" s="3463"/>
      <c r="T5" s="3462"/>
      <c r="U5" s="3463"/>
      <c r="V5" s="3473"/>
      <c r="W5" s="3473"/>
      <c r="X5" s="1509"/>
      <c r="Y5" s="3462"/>
      <c r="Z5" s="3463"/>
      <c r="AA5" s="3478"/>
      <c r="AB5" s="3478"/>
      <c r="AC5" s="3567"/>
    </row>
    <row r="6" spans="1:29" ht="15.75" thickBot="1">
      <c r="A6" s="366"/>
      <c r="B6" s="367"/>
      <c r="C6" s="3559" t="s">
        <v>2304</v>
      </c>
      <c r="D6" s="3560"/>
      <c r="E6" s="3561" t="s">
        <v>2304</v>
      </c>
      <c r="F6" s="3562"/>
      <c r="G6" s="3559" t="s">
        <v>2304</v>
      </c>
      <c r="H6" s="3560"/>
      <c r="I6" s="3559" t="s">
        <v>2304</v>
      </c>
      <c r="J6" s="3560"/>
      <c r="K6" s="567" t="s">
        <v>2305</v>
      </c>
      <c r="L6" s="2914"/>
      <c r="M6" s="2915"/>
      <c r="N6" s="2915"/>
      <c r="O6" s="2915"/>
      <c r="P6" s="3572"/>
      <c r="Q6" s="3488"/>
      <c r="R6" s="3462"/>
      <c r="S6" s="3463"/>
      <c r="T6" s="3471"/>
      <c r="U6" s="3472"/>
      <c r="V6" s="3473"/>
      <c r="W6" s="3473"/>
      <c r="X6" s="1509"/>
      <c r="Y6" s="3471"/>
      <c r="Z6" s="3472"/>
      <c r="AA6" s="3479"/>
      <c r="AB6" s="3479"/>
      <c r="AC6" s="3568"/>
    </row>
    <row r="7" spans="1:29" s="113" customFormat="1" ht="15.75" thickBot="1">
      <c r="A7" s="368" t="s">
        <v>2306</v>
      </c>
      <c r="B7" s="369"/>
      <c r="C7" s="370">
        <f>'数据-取费表'!B2</f>
        <v>44610</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76" t="s">
        <v>2307</v>
      </c>
      <c r="Q7" s="3468"/>
      <c r="R7" s="710" t="s">
        <v>17</v>
      </c>
      <c r="S7" s="711">
        <f t="shared" ref="S7:S15" si="0">F7</f>
        <v>0</v>
      </c>
      <c r="T7" s="710" t="s">
        <v>17</v>
      </c>
      <c r="U7" s="711">
        <f t="shared" ref="U7:U15" si="1">H7</f>
        <v>0</v>
      </c>
      <c r="V7" s="710" t="s">
        <v>17</v>
      </c>
      <c r="W7" s="711">
        <f t="shared" ref="W7:W15" si="2">J7</f>
        <v>0</v>
      </c>
      <c r="X7" s="712"/>
      <c r="Y7" s="3458" t="s">
        <v>2307</v>
      </c>
      <c r="Z7" s="3459"/>
      <c r="AA7" s="713" t="e">
        <f>D7/F7</f>
        <v>#DIV/0!</v>
      </c>
      <c r="AB7" s="713" t="e">
        <f>D7/H7</f>
        <v>#DIV/0!</v>
      </c>
      <c r="AC7" s="2115" t="e">
        <f>D7/J7</f>
        <v>#DIV/0!</v>
      </c>
    </row>
    <row r="8" spans="1:29" s="113" customFormat="1" ht="15.7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76" t="s">
        <v>2310</v>
      </c>
      <c r="Q8" s="3459"/>
      <c r="R8" s="710" t="s">
        <v>17</v>
      </c>
      <c r="S8" s="711">
        <f t="shared" si="0"/>
        <v>0</v>
      </c>
      <c r="T8" s="710" t="s">
        <v>17</v>
      </c>
      <c r="U8" s="711">
        <f t="shared" si="1"/>
        <v>0</v>
      </c>
      <c r="V8" s="710" t="s">
        <v>17</v>
      </c>
      <c r="W8" s="711">
        <f t="shared" si="2"/>
        <v>0</v>
      </c>
      <c r="X8" s="712"/>
      <c r="Y8" s="3458" t="s">
        <v>2310</v>
      </c>
      <c r="Z8" s="3459"/>
      <c r="AA8" s="713" t="e">
        <f t="shared" ref="AA8:AA47" si="3">D8/F8</f>
        <v>#DIV/0!</v>
      </c>
      <c r="AB8" s="713" t="e">
        <f t="shared" ref="AB8:AB47" si="4">D8/H8</f>
        <v>#DIV/0!</v>
      </c>
      <c r="AC8" s="2115" t="e">
        <f t="shared" ref="AC8:AC47" si="5">D8/J8</f>
        <v>#DIV/0!</v>
      </c>
    </row>
    <row r="9" spans="1:29" s="113" customFormat="1">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55" t="s">
        <v>2313</v>
      </c>
      <c r="Q9" s="1497" t="str">
        <f t="shared" ref="Q9:Q15" si="6">B9</f>
        <v>用途</v>
      </c>
      <c r="R9" s="710" t="s">
        <v>17</v>
      </c>
      <c r="S9" s="711">
        <f t="shared" si="0"/>
        <v>100</v>
      </c>
      <c r="T9" s="710" t="s">
        <v>17</v>
      </c>
      <c r="U9" s="711">
        <f t="shared" si="1"/>
        <v>100</v>
      </c>
      <c r="V9" s="710" t="s">
        <v>17</v>
      </c>
      <c r="W9" s="711">
        <f t="shared" si="2"/>
        <v>100</v>
      </c>
      <c r="X9" s="712"/>
      <c r="Y9" s="3357" t="s">
        <v>2314</v>
      </c>
      <c r="Z9" s="55" t="str">
        <f t="shared" ref="Z9:Z15" si="7">Q9</f>
        <v>用途</v>
      </c>
      <c r="AA9" s="713">
        <f t="shared" si="3"/>
        <v>1</v>
      </c>
      <c r="AB9" s="713">
        <f t="shared" si="4"/>
        <v>1</v>
      </c>
      <c r="AC9" s="2115">
        <f t="shared" si="5"/>
        <v>1</v>
      </c>
    </row>
    <row r="10" spans="1:29" s="386" customFormat="1" ht="27">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2115">
        <f t="shared" si="5"/>
        <v>1</v>
      </c>
    </row>
    <row r="11" spans="1:29" ht="1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55"/>
      <c r="Q11" s="1497" t="str">
        <f t="shared" si="6"/>
        <v>容积率</v>
      </c>
      <c r="R11" s="710" t="s">
        <v>17</v>
      </c>
      <c r="S11" s="711" t="e">
        <f t="shared" si="0"/>
        <v>#N/A</v>
      </c>
      <c r="T11" s="710" t="s">
        <v>17</v>
      </c>
      <c r="U11" s="711" t="e">
        <f t="shared" si="1"/>
        <v>#N/A</v>
      </c>
      <c r="V11" s="710" t="s">
        <v>17</v>
      </c>
      <c r="W11" s="711" t="e">
        <f t="shared" si="2"/>
        <v>#N/A</v>
      </c>
      <c r="X11" s="712"/>
      <c r="Y11" s="3357"/>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55"/>
      <c r="Q12" s="149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55"/>
      <c r="Q13" s="149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55"/>
      <c r="Q14" s="1497">
        <f t="shared" si="6"/>
        <v>111</v>
      </c>
      <c r="R14" s="710" t="s">
        <v>17</v>
      </c>
      <c r="S14" s="711">
        <f t="shared" si="0"/>
        <v>100</v>
      </c>
      <c r="T14" s="710" t="s">
        <v>17</v>
      </c>
      <c r="U14" s="711">
        <f t="shared" si="1"/>
        <v>100</v>
      </c>
      <c r="V14" s="710" t="s">
        <v>17</v>
      </c>
      <c r="W14" s="711">
        <f t="shared" si="2"/>
        <v>100</v>
      </c>
      <c r="X14" s="712"/>
      <c r="Y14" s="3357"/>
      <c r="Z14" s="55">
        <f t="shared" si="7"/>
        <v>111</v>
      </c>
      <c r="AA14" s="713">
        <f t="shared" si="3"/>
        <v>1</v>
      </c>
      <c r="AB14" s="713">
        <f t="shared" si="4"/>
        <v>1</v>
      </c>
      <c r="AC14" s="2115">
        <f t="shared" si="5"/>
        <v>1</v>
      </c>
    </row>
    <row r="15" spans="1:29" ht="71.25">
      <c r="A15" s="399" t="s">
        <v>2317</v>
      </c>
      <c r="B15" s="585" t="s">
        <v>2445</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57" t="s">
        <v>2318</v>
      </c>
      <c r="Q15" s="1506" t="str">
        <f t="shared" si="6"/>
        <v>办公集聚程度</v>
      </c>
      <c r="R15" s="714" t="s">
        <v>17</v>
      </c>
      <c r="S15" s="715">
        <f t="shared" si="0"/>
        <v>100</v>
      </c>
      <c r="T15" s="714" t="s">
        <v>17</v>
      </c>
      <c r="U15" s="715">
        <f t="shared" si="1"/>
        <v>100</v>
      </c>
      <c r="V15" s="714" t="s">
        <v>17</v>
      </c>
      <c r="W15" s="715">
        <f t="shared" si="2"/>
        <v>100</v>
      </c>
      <c r="X15" s="1509"/>
      <c r="Y15" s="3474" t="s">
        <v>2318</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58"/>
      <c r="Q16" s="1506"/>
      <c r="R16" s="714"/>
      <c r="S16" s="715"/>
      <c r="T16" s="714"/>
      <c r="U16" s="715"/>
      <c r="V16" s="714"/>
      <c r="W16" s="715"/>
      <c r="X16" s="1509"/>
      <c r="Y16" s="3475"/>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58"/>
      <c r="Q17" s="1506" t="str">
        <f>B17</f>
        <v>交通便捷度</v>
      </c>
      <c r="R17" s="714" t="s">
        <v>17</v>
      </c>
      <c r="S17" s="715">
        <f>F17</f>
        <v>100</v>
      </c>
      <c r="T17" s="714" t="s">
        <v>17</v>
      </c>
      <c r="U17" s="715">
        <f>H17</f>
        <v>100</v>
      </c>
      <c r="V17" s="714" t="s">
        <v>17</v>
      </c>
      <c r="W17" s="715">
        <f>J17</f>
        <v>100</v>
      </c>
      <c r="X17" s="1509"/>
      <c r="Y17" s="347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58"/>
      <c r="Q18" s="1506"/>
      <c r="R18" s="714"/>
      <c r="S18" s="715"/>
      <c r="T18" s="714"/>
      <c r="U18" s="715"/>
      <c r="V18" s="714"/>
      <c r="W18" s="715"/>
      <c r="X18" s="1509"/>
      <c r="Y18" s="3475"/>
      <c r="Z18" s="1510"/>
      <c r="AA18" s="1507">
        <v>1</v>
      </c>
      <c r="AB18" s="1507">
        <v>1</v>
      </c>
      <c r="AC18" s="2118">
        <v>1</v>
      </c>
    </row>
    <row r="19" spans="1:29" ht="42.75">
      <c r="A19" s="387"/>
      <c r="B19" s="587" t="s">
        <v>2446</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58"/>
      <c r="Q19" s="1506" t="str">
        <f>B19</f>
        <v>公共配套设施</v>
      </c>
      <c r="R19" s="714" t="s">
        <v>17</v>
      </c>
      <c r="S19" s="715">
        <f>F19</f>
        <v>100</v>
      </c>
      <c r="T19" s="714" t="s">
        <v>17</v>
      </c>
      <c r="U19" s="715">
        <f>H19</f>
        <v>100</v>
      </c>
      <c r="V19" s="714" t="s">
        <v>17</v>
      </c>
      <c r="W19" s="715">
        <f>J19</f>
        <v>100</v>
      </c>
      <c r="X19" s="1509"/>
      <c r="Y19" s="347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58"/>
      <c r="Q20" s="1506"/>
      <c r="R20" s="714"/>
      <c r="S20" s="715"/>
      <c r="T20" s="714"/>
      <c r="U20" s="715"/>
      <c r="V20" s="714"/>
      <c r="W20" s="715"/>
      <c r="X20" s="1509"/>
      <c r="Y20" s="3475"/>
      <c r="Z20" s="1510"/>
      <c r="AA20" s="1507">
        <v>1</v>
      </c>
      <c r="AB20" s="1507">
        <v>1</v>
      </c>
      <c r="AC20" s="2118">
        <v>1</v>
      </c>
    </row>
    <row r="21" spans="1:29" ht="28.5">
      <c r="A21" s="387"/>
      <c r="B21" s="589" t="s">
        <v>2447</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58"/>
      <c r="Q21" s="1506" t="str">
        <f>B21</f>
        <v>基础设施水平</v>
      </c>
      <c r="R21" s="714" t="s">
        <v>17</v>
      </c>
      <c r="S21" s="715">
        <f>F21</f>
        <v>100</v>
      </c>
      <c r="T21" s="714" t="s">
        <v>17</v>
      </c>
      <c r="U21" s="715">
        <f>H21</f>
        <v>100</v>
      </c>
      <c r="V21" s="714" t="s">
        <v>17</v>
      </c>
      <c r="W21" s="715">
        <f>J21</f>
        <v>100</v>
      </c>
      <c r="X21" s="1509"/>
      <c r="Y21" s="347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58"/>
      <c r="Q22" s="1506"/>
      <c r="R22" s="714"/>
      <c r="S22" s="715"/>
      <c r="T22" s="714"/>
      <c r="U22" s="715"/>
      <c r="V22" s="714"/>
      <c r="W22" s="715"/>
      <c r="X22" s="1509"/>
      <c r="Y22" s="3475"/>
      <c r="Z22" s="1510"/>
      <c r="AA22" s="1507">
        <v>1</v>
      </c>
      <c r="AB22" s="1507">
        <v>1</v>
      </c>
      <c r="AC22" s="2118">
        <v>1</v>
      </c>
    </row>
    <row r="23" spans="1:29" ht="42.75">
      <c r="A23" s="387"/>
      <c r="B23" s="587" t="s">
        <v>2448</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58"/>
      <c r="Q23" s="1506" t="str">
        <f>B23</f>
        <v>环境质量</v>
      </c>
      <c r="R23" s="714" t="s">
        <v>17</v>
      </c>
      <c r="S23" s="715">
        <f>F23</f>
        <v>100</v>
      </c>
      <c r="T23" s="714" t="s">
        <v>17</v>
      </c>
      <c r="U23" s="715">
        <f>H23</f>
        <v>100</v>
      </c>
      <c r="V23" s="714" t="s">
        <v>17</v>
      </c>
      <c r="W23" s="715">
        <f>J23</f>
        <v>100</v>
      </c>
      <c r="X23" s="1509"/>
      <c r="Y23" s="347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58"/>
      <c r="Q24" s="1506"/>
      <c r="R24" s="714"/>
      <c r="S24" s="715"/>
      <c r="T24" s="714"/>
      <c r="U24" s="715"/>
      <c r="V24" s="714"/>
      <c r="W24" s="715"/>
      <c r="X24" s="1509"/>
      <c r="Y24" s="3475"/>
      <c r="Z24" s="1510"/>
      <c r="AA24" s="1507">
        <v>1</v>
      </c>
      <c r="AB24" s="1507">
        <v>1</v>
      </c>
      <c r="AC24" s="2118">
        <v>1</v>
      </c>
    </row>
    <row r="25" spans="1:29" ht="27">
      <c r="A25" s="364"/>
      <c r="B25" s="587" t="s">
        <v>2449</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58"/>
      <c r="Q25" s="1506" t="str">
        <f>B25</f>
        <v>毗邻道路的类型与等级</v>
      </c>
      <c r="R25" s="714" t="s">
        <v>17</v>
      </c>
      <c r="S25" s="715">
        <f>F25</f>
        <v>100</v>
      </c>
      <c r="T25" s="714" t="s">
        <v>17</v>
      </c>
      <c r="U25" s="715">
        <f>H25</f>
        <v>100</v>
      </c>
      <c r="V25" s="714" t="s">
        <v>17</v>
      </c>
      <c r="W25" s="715">
        <f>J25</f>
        <v>100</v>
      </c>
      <c r="X25" s="1509"/>
      <c r="Y25" s="347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58"/>
      <c r="Q26" s="1506"/>
      <c r="R26" s="714"/>
      <c r="S26" s="715"/>
      <c r="T26" s="714"/>
      <c r="U26" s="715"/>
      <c r="V26" s="714"/>
      <c r="W26" s="715"/>
      <c r="X26" s="1509"/>
      <c r="Y26" s="3475"/>
      <c r="Z26" s="1510"/>
      <c r="AA26" s="1507">
        <v>1</v>
      </c>
      <c r="AB26" s="1507">
        <v>1</v>
      </c>
      <c r="AC26" s="2118">
        <v>1</v>
      </c>
    </row>
    <row r="27" spans="1:29" ht="1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58"/>
      <c r="Q27" s="1506" t="str">
        <f t="shared" ref="Q27:Q47" si="11">B27</f>
        <v>楼层</v>
      </c>
      <c r="R27" s="714" t="s">
        <v>17</v>
      </c>
      <c r="S27" s="715">
        <f>F27</f>
        <v>100</v>
      </c>
      <c r="T27" s="714" t="s">
        <v>17</v>
      </c>
      <c r="U27" s="715">
        <f>H27</f>
        <v>100</v>
      </c>
      <c r="V27" s="714" t="s">
        <v>17</v>
      </c>
      <c r="W27" s="715">
        <f>J27</f>
        <v>100</v>
      </c>
      <c r="X27" s="1509"/>
      <c r="Y27" s="3475"/>
      <c r="Z27" s="1510" t="str">
        <f>Q27</f>
        <v>楼层</v>
      </c>
      <c r="AA27" s="1507">
        <f t="shared" si="3"/>
        <v>1</v>
      </c>
      <c r="AB27" s="1507">
        <f t="shared" si="4"/>
        <v>1</v>
      </c>
      <c r="AC27" s="2118">
        <f t="shared" si="5"/>
        <v>1</v>
      </c>
    </row>
    <row r="28" spans="1:29" s="113" customFormat="1" ht="15">
      <c r="A28" s="390"/>
      <c r="B28" s="587" t="s">
        <v>2450</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58"/>
      <c r="Q28" s="1497" t="str">
        <f t="shared" si="11"/>
        <v>朝向</v>
      </c>
      <c r="R28" s="710" t="s">
        <v>17</v>
      </c>
      <c r="S28" s="711">
        <f>F28</f>
        <v>100</v>
      </c>
      <c r="T28" s="710" t="s">
        <v>17</v>
      </c>
      <c r="U28" s="711">
        <f>H28</f>
        <v>100</v>
      </c>
      <c r="V28" s="710" t="s">
        <v>17</v>
      </c>
      <c r="W28" s="711">
        <f>J28</f>
        <v>100</v>
      </c>
      <c r="X28" s="712"/>
      <c r="Y28" s="347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58"/>
      <c r="Q29" s="1506">
        <f t="shared" si="11"/>
        <v>111</v>
      </c>
      <c r="R29" s="714" t="s">
        <v>17</v>
      </c>
      <c r="S29" s="715">
        <f t="shared" ref="S29:S47" si="12">F29</f>
        <v>100</v>
      </c>
      <c r="T29" s="714" t="s">
        <v>17</v>
      </c>
      <c r="U29" s="715">
        <f t="shared" ref="U29:U47" si="13">H29</f>
        <v>100</v>
      </c>
      <c r="V29" s="714" t="s">
        <v>17</v>
      </c>
      <c r="W29" s="715">
        <f t="shared" ref="W29:W47" si="14">J29</f>
        <v>100</v>
      </c>
      <c r="X29" s="1509"/>
      <c r="Y29" s="347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58"/>
      <c r="Q30" s="1506">
        <f t="shared" si="11"/>
        <v>111</v>
      </c>
      <c r="R30" s="714" t="s">
        <v>17</v>
      </c>
      <c r="S30" s="715">
        <f t="shared" si="12"/>
        <v>100</v>
      </c>
      <c r="T30" s="714" t="s">
        <v>17</v>
      </c>
      <c r="U30" s="715">
        <f t="shared" si="13"/>
        <v>100</v>
      </c>
      <c r="V30" s="714" t="s">
        <v>17</v>
      </c>
      <c r="W30" s="715">
        <f t="shared" si="14"/>
        <v>100</v>
      </c>
      <c r="X30" s="1509"/>
      <c r="Y30" s="347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58"/>
      <c r="Q31" s="1506">
        <f t="shared" si="11"/>
        <v>111</v>
      </c>
      <c r="R31" s="714" t="s">
        <v>17</v>
      </c>
      <c r="S31" s="715">
        <f t="shared" si="12"/>
        <v>100</v>
      </c>
      <c r="T31" s="714" t="s">
        <v>17</v>
      </c>
      <c r="U31" s="715">
        <f t="shared" si="13"/>
        <v>100</v>
      </c>
      <c r="V31" s="714" t="s">
        <v>17</v>
      </c>
      <c r="W31" s="715">
        <f t="shared" si="14"/>
        <v>100</v>
      </c>
      <c r="X31" s="1509"/>
      <c r="Y31" s="347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58"/>
      <c r="Q32" s="1506">
        <f t="shared" si="11"/>
        <v>111</v>
      </c>
      <c r="R32" s="714" t="s">
        <v>17</v>
      </c>
      <c r="S32" s="715">
        <f t="shared" si="12"/>
        <v>100</v>
      </c>
      <c r="T32" s="714" t="s">
        <v>17</v>
      </c>
      <c r="U32" s="715">
        <f t="shared" si="13"/>
        <v>100</v>
      </c>
      <c r="V32" s="714" t="s">
        <v>17</v>
      </c>
      <c r="W32" s="715">
        <f t="shared" si="14"/>
        <v>100</v>
      </c>
      <c r="X32" s="1509"/>
      <c r="Y32" s="3475"/>
      <c r="Z32" s="1510">
        <f t="shared" si="15"/>
        <v>111</v>
      </c>
      <c r="AA32" s="1507">
        <f t="shared" si="3"/>
        <v>1</v>
      </c>
      <c r="AB32" s="1507">
        <f t="shared" si="4"/>
        <v>1</v>
      </c>
      <c r="AC32" s="2118">
        <f t="shared" si="5"/>
        <v>1</v>
      </c>
    </row>
    <row r="33" spans="1:29" ht="15">
      <c r="A33" s="399" t="s">
        <v>2321</v>
      </c>
      <c r="B33" s="67" t="s">
        <v>2451</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553" t="s">
        <v>2323</v>
      </c>
      <c r="Q33" s="1506" t="str">
        <f t="shared" si="11"/>
        <v>建筑类型</v>
      </c>
      <c r="R33" s="714" t="s">
        <v>17</v>
      </c>
      <c r="S33" s="715">
        <f t="shared" si="12"/>
        <v>100</v>
      </c>
      <c r="T33" s="714" t="s">
        <v>17</v>
      </c>
      <c r="U33" s="715">
        <f t="shared" si="13"/>
        <v>100</v>
      </c>
      <c r="V33" s="714" t="s">
        <v>17</v>
      </c>
      <c r="W33" s="715">
        <f t="shared" si="14"/>
        <v>100</v>
      </c>
      <c r="X33" s="1509"/>
      <c r="Y33" s="3476" t="s">
        <v>2323</v>
      </c>
      <c r="Z33" s="1510" t="str">
        <f t="shared" si="15"/>
        <v>建筑类型</v>
      </c>
      <c r="AA33" s="1507">
        <f t="shared" si="3"/>
        <v>1</v>
      </c>
      <c r="AB33" s="1507">
        <f t="shared" si="4"/>
        <v>1</v>
      </c>
      <c r="AC33" s="2118">
        <f t="shared" si="5"/>
        <v>1</v>
      </c>
    </row>
    <row r="34" spans="1:29" s="430" customFormat="1" ht="1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554"/>
      <c r="Q34" s="716" t="str">
        <f t="shared" si="11"/>
        <v>项目建筑规模</v>
      </c>
      <c r="R34" s="717" t="s">
        <v>17</v>
      </c>
      <c r="S34" s="718" t="e">
        <f t="shared" si="12"/>
        <v>#N/A</v>
      </c>
      <c r="T34" s="717" t="s">
        <v>17</v>
      </c>
      <c r="U34" s="718" t="e">
        <f t="shared" si="13"/>
        <v>#N/A</v>
      </c>
      <c r="V34" s="717" t="s">
        <v>17</v>
      </c>
      <c r="W34" s="718" t="e">
        <f t="shared" si="14"/>
        <v>#N/A</v>
      </c>
      <c r="X34" s="719"/>
      <c r="Y34" s="3476"/>
      <c r="Z34" s="720" t="str">
        <f t="shared" si="15"/>
        <v>项目建筑规模</v>
      </c>
      <c r="AA34" s="1507" t="e">
        <f t="shared" si="3"/>
        <v>#N/A</v>
      </c>
      <c r="AB34" s="1507" t="e">
        <f t="shared" si="4"/>
        <v>#N/A</v>
      </c>
      <c r="AC34" s="2118" t="e">
        <f t="shared" si="5"/>
        <v>#N/A</v>
      </c>
    </row>
    <row r="35" spans="1:29" ht="1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554"/>
      <c r="Q35" s="1506" t="str">
        <f t="shared" si="11"/>
        <v>建筑结构</v>
      </c>
      <c r="R35" s="714" t="s">
        <v>17</v>
      </c>
      <c r="S35" s="715">
        <f t="shared" si="12"/>
        <v>100</v>
      </c>
      <c r="T35" s="714" t="s">
        <v>17</v>
      </c>
      <c r="U35" s="715">
        <f t="shared" si="13"/>
        <v>100</v>
      </c>
      <c r="V35" s="714" t="s">
        <v>17</v>
      </c>
      <c r="W35" s="715">
        <f t="shared" si="14"/>
        <v>100</v>
      </c>
      <c r="X35" s="1509"/>
      <c r="Y35" s="3476"/>
      <c r="Z35" s="1510" t="str">
        <f t="shared" si="15"/>
        <v>建筑结构</v>
      </c>
      <c r="AA35" s="1507">
        <f t="shared" si="3"/>
        <v>1</v>
      </c>
      <c r="AB35" s="1507">
        <f t="shared" si="4"/>
        <v>1</v>
      </c>
      <c r="AC35" s="2118">
        <f t="shared" si="5"/>
        <v>1</v>
      </c>
    </row>
    <row r="36" spans="1:29" ht="1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554"/>
      <c r="Q36" s="1506" t="str">
        <f t="shared" si="11"/>
        <v>公共部分装修</v>
      </c>
      <c r="R36" s="714" t="s">
        <v>17</v>
      </c>
      <c r="S36" s="715">
        <f t="shared" si="12"/>
        <v>100</v>
      </c>
      <c r="T36" s="714" t="s">
        <v>17</v>
      </c>
      <c r="U36" s="715">
        <f t="shared" si="13"/>
        <v>100</v>
      </c>
      <c r="V36" s="714" t="s">
        <v>17</v>
      </c>
      <c r="W36" s="715">
        <f t="shared" si="14"/>
        <v>100</v>
      </c>
      <c r="X36" s="1509"/>
      <c r="Y36" s="3476"/>
      <c r="Z36" s="1510" t="str">
        <f t="shared" si="15"/>
        <v>公共部分装修</v>
      </c>
      <c r="AA36" s="1507">
        <f t="shared" si="3"/>
        <v>1</v>
      </c>
      <c r="AB36" s="1507">
        <f t="shared" si="4"/>
        <v>1</v>
      </c>
      <c r="AC36" s="2118">
        <f t="shared" si="5"/>
        <v>1</v>
      </c>
    </row>
    <row r="37" spans="1:29" ht="1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554"/>
      <c r="Q37" s="1506" t="str">
        <f t="shared" si="11"/>
        <v>成新度</v>
      </c>
      <c r="R37" s="714" t="s">
        <v>17</v>
      </c>
      <c r="S37" s="715" t="e">
        <f t="shared" si="12"/>
        <v>#N/A</v>
      </c>
      <c r="T37" s="714" t="s">
        <v>17</v>
      </c>
      <c r="U37" s="715" t="e">
        <f t="shared" si="13"/>
        <v>#N/A</v>
      </c>
      <c r="V37" s="714" t="s">
        <v>17</v>
      </c>
      <c r="W37" s="715" t="e">
        <f t="shared" si="14"/>
        <v>#N/A</v>
      </c>
      <c r="X37" s="1509"/>
      <c r="Y37" s="3476"/>
      <c r="Z37" s="1510" t="str">
        <f t="shared" si="15"/>
        <v>成新度</v>
      </c>
      <c r="AA37" s="1507" t="e">
        <f t="shared" si="3"/>
        <v>#N/A</v>
      </c>
      <c r="AB37" s="1507" t="e">
        <f t="shared" si="4"/>
        <v>#N/A</v>
      </c>
      <c r="AC37" s="2118" t="e">
        <f t="shared" si="5"/>
        <v>#N/A</v>
      </c>
    </row>
    <row r="38" spans="1:29" s="113" customFormat="1" ht="1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554"/>
      <c r="Q38" s="1497" t="str">
        <f t="shared" si="11"/>
        <v>写字楼等级</v>
      </c>
      <c r="R38" s="710" t="s">
        <v>17</v>
      </c>
      <c r="S38" s="711">
        <f t="shared" si="12"/>
        <v>100</v>
      </c>
      <c r="T38" s="710" t="s">
        <v>17</v>
      </c>
      <c r="U38" s="711">
        <f t="shared" si="13"/>
        <v>100</v>
      </c>
      <c r="V38" s="710" t="s">
        <v>17</v>
      </c>
      <c r="W38" s="711">
        <f t="shared" si="14"/>
        <v>100</v>
      </c>
      <c r="X38" s="712"/>
      <c r="Y38" s="3476"/>
      <c r="Z38" s="55" t="str">
        <f t="shared" si="15"/>
        <v>写字楼等级</v>
      </c>
      <c r="AA38" s="713">
        <f t="shared" si="3"/>
        <v>1</v>
      </c>
      <c r="AB38" s="713">
        <f t="shared" si="4"/>
        <v>1</v>
      </c>
      <c r="AC38" s="2115">
        <f t="shared" si="5"/>
        <v>1</v>
      </c>
    </row>
    <row r="39" spans="1:29" ht="1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554" t="s">
        <v>2323</v>
      </c>
      <c r="Q39" s="1506" t="str">
        <f t="shared" si="11"/>
        <v>物业管理</v>
      </c>
      <c r="R39" s="714" t="s">
        <v>17</v>
      </c>
      <c r="S39" s="715">
        <f t="shared" si="12"/>
        <v>100</v>
      </c>
      <c r="T39" s="714" t="s">
        <v>17</v>
      </c>
      <c r="U39" s="715">
        <f t="shared" si="13"/>
        <v>100</v>
      </c>
      <c r="V39" s="714" t="s">
        <v>17</v>
      </c>
      <c r="W39" s="715">
        <f t="shared" si="14"/>
        <v>100</v>
      </c>
      <c r="X39" s="1509"/>
      <c r="Y39" s="3476" t="s">
        <v>2323</v>
      </c>
      <c r="Z39" s="1510" t="str">
        <f t="shared" si="15"/>
        <v>物业管理</v>
      </c>
      <c r="AA39" s="1507">
        <f t="shared" si="3"/>
        <v>1</v>
      </c>
      <c r="AB39" s="1507">
        <f t="shared" si="4"/>
        <v>1</v>
      </c>
      <c r="AC39" s="2118">
        <f t="shared" si="5"/>
        <v>1</v>
      </c>
    </row>
    <row r="40" spans="1:29" ht="1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554"/>
      <c r="Q40" s="1506" t="str">
        <f t="shared" si="11"/>
        <v>市政基础设施</v>
      </c>
      <c r="R40" s="714" t="s">
        <v>17</v>
      </c>
      <c r="S40" s="715">
        <f t="shared" si="12"/>
        <v>100</v>
      </c>
      <c r="T40" s="714" t="s">
        <v>17</v>
      </c>
      <c r="U40" s="715">
        <f t="shared" si="13"/>
        <v>100</v>
      </c>
      <c r="V40" s="714" t="s">
        <v>17</v>
      </c>
      <c r="W40" s="715">
        <f t="shared" si="14"/>
        <v>100</v>
      </c>
      <c r="X40" s="1509"/>
      <c r="Y40" s="3476"/>
      <c r="Z40" s="1510" t="str">
        <f t="shared" si="15"/>
        <v>市政基础设施</v>
      </c>
      <c r="AA40" s="1507">
        <f t="shared" si="3"/>
        <v>1</v>
      </c>
      <c r="AB40" s="1507">
        <f t="shared" si="4"/>
        <v>1</v>
      </c>
      <c r="AC40" s="2118">
        <f t="shared" si="5"/>
        <v>1</v>
      </c>
    </row>
    <row r="41" spans="1:29" ht="1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554"/>
      <c r="Q41" s="1506" t="str">
        <f t="shared" si="11"/>
        <v>层高</v>
      </c>
      <c r="R41" s="714" t="s">
        <v>17</v>
      </c>
      <c r="S41" s="715">
        <f t="shared" si="12"/>
        <v>100</v>
      </c>
      <c r="T41" s="714" t="s">
        <v>17</v>
      </c>
      <c r="U41" s="715">
        <f t="shared" si="13"/>
        <v>100</v>
      </c>
      <c r="V41" s="714" t="s">
        <v>17</v>
      </c>
      <c r="W41" s="715">
        <f t="shared" si="14"/>
        <v>100</v>
      </c>
      <c r="X41" s="1509"/>
      <c r="Y41" s="3476"/>
      <c r="Z41" s="1510" t="str">
        <f t="shared" si="15"/>
        <v>层高</v>
      </c>
      <c r="AA41" s="1507">
        <f t="shared" si="3"/>
        <v>1</v>
      </c>
      <c r="AB41" s="1507">
        <f t="shared" si="4"/>
        <v>1</v>
      </c>
      <c r="AC41" s="2118">
        <f t="shared" si="5"/>
        <v>1</v>
      </c>
    </row>
    <row r="42" spans="1:29" s="430" customFormat="1" ht="15">
      <c r="A42" s="427"/>
      <c r="B42" s="1508"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554"/>
      <c r="Q42" s="716" t="str">
        <f t="shared" si="11"/>
        <v>单套建筑面积</v>
      </c>
      <c r="R42" s="717" t="s">
        <v>17</v>
      </c>
      <c r="S42" s="718">
        <f t="shared" si="12"/>
        <v>100</v>
      </c>
      <c r="T42" s="717" t="s">
        <v>17</v>
      </c>
      <c r="U42" s="718">
        <f t="shared" si="13"/>
        <v>100</v>
      </c>
      <c r="V42" s="717" t="s">
        <v>17</v>
      </c>
      <c r="W42" s="718">
        <f t="shared" si="14"/>
        <v>100</v>
      </c>
      <c r="X42" s="719"/>
      <c r="Y42" s="3476"/>
      <c r="Z42" s="720" t="str">
        <f t="shared" si="15"/>
        <v>单套建筑面积</v>
      </c>
      <c r="AA42" s="1507">
        <f t="shared" si="3"/>
        <v>1</v>
      </c>
      <c r="AB42" s="1507">
        <f t="shared" si="4"/>
        <v>1</v>
      </c>
      <c r="AC42" s="2118">
        <f t="shared" si="5"/>
        <v>1</v>
      </c>
    </row>
    <row r="43" spans="1:29" ht="1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554"/>
      <c r="Q43" s="1506" t="str">
        <f t="shared" si="11"/>
        <v>内部装修</v>
      </c>
      <c r="R43" s="714" t="s">
        <v>17</v>
      </c>
      <c r="S43" s="715">
        <f t="shared" si="12"/>
        <v>100</v>
      </c>
      <c r="T43" s="714" t="s">
        <v>17</v>
      </c>
      <c r="U43" s="715">
        <f t="shared" si="13"/>
        <v>100</v>
      </c>
      <c r="V43" s="714" t="s">
        <v>17</v>
      </c>
      <c r="W43" s="715">
        <f t="shared" si="14"/>
        <v>100</v>
      </c>
      <c r="X43" s="1509"/>
      <c r="Y43" s="3476"/>
      <c r="Z43" s="1510" t="str">
        <f t="shared" si="15"/>
        <v>内部装修</v>
      </c>
      <c r="AA43" s="1507">
        <f t="shared" si="3"/>
        <v>1</v>
      </c>
      <c r="AB43" s="1507">
        <f t="shared" si="4"/>
        <v>1</v>
      </c>
      <c r="AC43" s="2118">
        <f t="shared" si="5"/>
        <v>1</v>
      </c>
    </row>
    <row r="44" spans="1:29" ht="15">
      <c r="A44" s="431"/>
      <c r="B44" s="381" t="s">
        <v>2334</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554"/>
      <c r="Q44" s="1506" t="str">
        <f t="shared" si="11"/>
        <v>内部装修维护情况</v>
      </c>
      <c r="R44" s="714" t="s">
        <v>17</v>
      </c>
      <c r="S44" s="715">
        <f t="shared" si="12"/>
        <v>100</v>
      </c>
      <c r="T44" s="714" t="s">
        <v>17</v>
      </c>
      <c r="U44" s="715">
        <f t="shared" si="13"/>
        <v>100</v>
      </c>
      <c r="V44" s="714" t="s">
        <v>17</v>
      </c>
      <c r="W44" s="715">
        <f t="shared" si="14"/>
        <v>100</v>
      </c>
      <c r="X44" s="1509"/>
      <c r="Y44" s="347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554"/>
      <c r="Q45" s="1497">
        <f t="shared" si="11"/>
        <v>111</v>
      </c>
      <c r="R45" s="710" t="s">
        <v>17</v>
      </c>
      <c r="S45" s="711">
        <f t="shared" si="12"/>
        <v>100</v>
      </c>
      <c r="T45" s="710" t="s">
        <v>17</v>
      </c>
      <c r="U45" s="711">
        <f t="shared" si="13"/>
        <v>100</v>
      </c>
      <c r="V45" s="710" t="s">
        <v>17</v>
      </c>
      <c r="W45" s="711">
        <f t="shared" si="14"/>
        <v>100</v>
      </c>
      <c r="X45" s="712"/>
      <c r="Y45" s="347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554"/>
      <c r="Q46" s="1506">
        <f t="shared" si="11"/>
        <v>111</v>
      </c>
      <c r="R46" s="714" t="s">
        <v>17</v>
      </c>
      <c r="S46" s="715">
        <f t="shared" si="12"/>
        <v>100</v>
      </c>
      <c r="T46" s="714" t="s">
        <v>17</v>
      </c>
      <c r="U46" s="715">
        <f t="shared" si="13"/>
        <v>100</v>
      </c>
      <c r="V46" s="714" t="s">
        <v>17</v>
      </c>
      <c r="W46" s="715">
        <f t="shared" si="14"/>
        <v>100</v>
      </c>
      <c r="X46" s="1509"/>
      <c r="Y46" s="347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555"/>
      <c r="Q47" s="1506">
        <f t="shared" si="11"/>
        <v>111</v>
      </c>
      <c r="R47" s="714" t="s">
        <v>17</v>
      </c>
      <c r="S47" s="715">
        <f t="shared" si="12"/>
        <v>100</v>
      </c>
      <c r="T47" s="714" t="s">
        <v>17</v>
      </c>
      <c r="U47" s="715">
        <f t="shared" si="13"/>
        <v>100</v>
      </c>
      <c r="V47" s="714" t="s">
        <v>17</v>
      </c>
      <c r="W47" s="715">
        <f t="shared" si="14"/>
        <v>100</v>
      </c>
      <c r="X47" s="1509"/>
      <c r="Y47" s="3556"/>
      <c r="Z47" s="1510">
        <f t="shared" si="15"/>
        <v>111</v>
      </c>
      <c r="AA47" s="1507">
        <f t="shared" si="3"/>
        <v>1</v>
      </c>
      <c r="AB47" s="1507">
        <f t="shared" si="4"/>
        <v>1</v>
      </c>
      <c r="AC47" s="2118">
        <f t="shared" si="5"/>
        <v>1</v>
      </c>
    </row>
    <row r="48" spans="1:29" ht="15">
      <c r="A48" s="438" t="s">
        <v>2335</v>
      </c>
      <c r="B48" s="439"/>
      <c r="C48" s="1288" t="s">
        <v>1</v>
      </c>
      <c r="D48" s="1289"/>
      <c r="E48" s="1290"/>
      <c r="F48" s="1291"/>
      <c r="G48" s="1292"/>
      <c r="H48" s="1293"/>
      <c r="I48" s="1290"/>
      <c r="J48" s="444"/>
      <c r="K48" s="723"/>
      <c r="L48" s="2923"/>
      <c r="M48" s="2915"/>
      <c r="N48" s="2915"/>
      <c r="O48" s="2915"/>
      <c r="P48" s="3455" t="str">
        <f>A48</f>
        <v>成交单价（元/平方米）</v>
      </c>
      <c r="Q48" s="3456"/>
      <c r="R48" s="3552">
        <f>E48</f>
        <v>0</v>
      </c>
      <c r="S48" s="3552"/>
      <c r="T48" s="3552">
        <f>G48</f>
        <v>0</v>
      </c>
      <c r="U48" s="3552"/>
      <c r="V48" s="3552">
        <f>I48</f>
        <v>0</v>
      </c>
      <c r="W48" s="3552"/>
      <c r="X48" s="405"/>
      <c r="Y48" s="721"/>
      <c r="Z48" s="405"/>
      <c r="AA48" s="405"/>
      <c r="AB48" s="405"/>
      <c r="AC48" s="586"/>
    </row>
    <row r="49" spans="1:29" ht="15.75" thickBot="1">
      <c r="A49" s="445" t="s">
        <v>2427</v>
      </c>
      <c r="B49" s="446"/>
      <c r="C49" s="1294" t="e">
        <f>R50</f>
        <v>#DIV/0!</v>
      </c>
      <c r="D49" s="2508" t="s">
        <v>2816</v>
      </c>
      <c r="E49" s="1295" t="e">
        <f>R49</f>
        <v>#DIV/0!</v>
      </c>
      <c r="F49" s="2509"/>
      <c r="G49" s="1294" t="e">
        <f>T49</f>
        <v>#DIV/0!</v>
      </c>
      <c r="H49" s="2509"/>
      <c r="I49" s="1295" t="e">
        <f>V49</f>
        <v>#DIV/0!</v>
      </c>
      <c r="J49" s="2509"/>
      <c r="K49" s="2511">
        <f>F49+H49+J49</f>
        <v>0</v>
      </c>
      <c r="L49" s="2923"/>
      <c r="M49" s="2915"/>
      <c r="N49" s="2915"/>
      <c r="O49" s="2915"/>
      <c r="P49" s="3455" t="str">
        <f>A49</f>
        <v>比较价值（元/平方米）</v>
      </c>
      <c r="Q49" s="3456"/>
      <c r="R49" s="3552" t="e">
        <f>IF(F1="售价",ROUND(PRODUCT(R48,AA7:AA47),0),ROUND(PRODUCT(R48,AA7:AA47),1))</f>
        <v>#DIV/0!</v>
      </c>
      <c r="S49" s="3552"/>
      <c r="T49" s="3552" t="e">
        <f>IF(F1="售价",ROUND(PRODUCT(T48,AB7:AB47),0),ROUND(PRODUCT(T48,AB7:AB47),1))</f>
        <v>#DIV/0!</v>
      </c>
      <c r="U49" s="3552"/>
      <c r="V49" s="3552" t="e">
        <f>IF(F1="售价",ROUND(PRODUCT(V48,AC7:AC47),0),ROUND(PRODUCT(V48,AC7:AC47),1))</f>
        <v>#DIV/0!</v>
      </c>
      <c r="W49" s="3552"/>
      <c r="X49" s="405"/>
      <c r="Y49" s="405"/>
      <c r="Z49" s="405"/>
      <c r="AA49" s="405"/>
      <c r="AB49" s="405"/>
      <c r="AC49" s="586"/>
    </row>
    <row r="50" spans="1:29" ht="15.75" thickBot="1">
      <c r="A50" s="449" t="s">
        <v>2428</v>
      </c>
      <c r="B50" s="450"/>
      <c r="C50" s="1297" t="e">
        <f>R50</f>
        <v>#DIV/0!</v>
      </c>
      <c r="D50" s="1297"/>
      <c r="E50" s="1297"/>
      <c r="F50" s="1297"/>
      <c r="G50" s="1297"/>
      <c r="H50" s="1297"/>
      <c r="I50" s="1297"/>
      <c r="J50" s="451"/>
      <c r="K50" s="724"/>
      <c r="L50" s="2923"/>
      <c r="M50" s="2915"/>
      <c r="N50" s="2915"/>
      <c r="O50" s="2915"/>
      <c r="P50" s="3563" t="str">
        <f>A50</f>
        <v>估价对象XX用房的比较价值（楼面单价，元/平方米）</v>
      </c>
      <c r="Q50" s="3564"/>
      <c r="R50" s="3565" t="e">
        <f>IF(F1="售价",ROUND(IF(D49="简单平均",AVERAGE(R49:V49),R49*F49+T49*H49+V49*J49),0),ROUND(IF(D49="简单平均",AVERAGE(R49:V49),R49*F49+T49*H49+V49*J49),1))</f>
        <v>#DIV/0!</v>
      </c>
      <c r="S50" s="3565"/>
      <c r="T50" s="3565"/>
      <c r="U50" s="3565"/>
      <c r="V50" s="3565"/>
      <c r="W50" s="3565"/>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2432</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2306</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2343</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2308</v>
      </c>
      <c r="B62" s="467"/>
      <c r="C62" s="479" t="s">
        <v>2410</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2346</v>
      </c>
      <c r="B64" s="485" t="s">
        <v>2312</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2315</v>
      </c>
      <c r="C66" s="496" t="s">
        <v>2347</v>
      </c>
      <c r="D66" s="496" t="s">
        <v>2348</v>
      </c>
      <c r="E66" s="496" t="s">
        <v>2349</v>
      </c>
      <c r="F66" s="496" t="s">
        <v>2350</v>
      </c>
      <c r="G66" s="496" t="s">
        <v>2351</v>
      </c>
      <c r="H66" s="496" t="s">
        <v>2352</v>
      </c>
      <c r="I66" s="496" t="s">
        <v>2353</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2317</v>
      </c>
      <c r="B77" s="485" t="s">
        <v>2455</v>
      </c>
      <c r="C77" s="530" t="s">
        <v>2355</v>
      </c>
      <c r="D77" s="530" t="s">
        <v>2356</v>
      </c>
      <c r="E77" s="530" t="s">
        <v>2357</v>
      </c>
      <c r="F77" s="530" t="s">
        <v>2358</v>
      </c>
      <c r="G77" s="530" t="s">
        <v>2359</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2360</v>
      </c>
      <c r="C79" s="535" t="s">
        <v>2355</v>
      </c>
      <c r="D79" s="535" t="s">
        <v>2356</v>
      </c>
      <c r="E79" s="535" t="s">
        <v>2357</v>
      </c>
      <c r="F79" s="535" t="s">
        <v>2358</v>
      </c>
      <c r="G79" s="535" t="s">
        <v>2359</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2361</v>
      </c>
      <c r="C81" s="535" t="s">
        <v>2355</v>
      </c>
      <c r="D81" s="535" t="s">
        <v>2356</v>
      </c>
      <c r="E81" s="535" t="s">
        <v>2357</v>
      </c>
      <c r="F81" s="535" t="s">
        <v>2358</v>
      </c>
      <c r="G81" s="535" t="s">
        <v>2359</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2447</v>
      </c>
      <c r="C83" s="616" t="s">
        <v>2433</v>
      </c>
      <c r="D83" s="616" t="s">
        <v>2434</v>
      </c>
      <c r="E83" s="616" t="s">
        <v>2435</v>
      </c>
      <c r="F83" s="616" t="s">
        <v>2436</v>
      </c>
      <c r="G83" s="616" t="s">
        <v>2437</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2456</v>
      </c>
      <c r="C85" s="535" t="s">
        <v>2355</v>
      </c>
      <c r="D85" s="535" t="s">
        <v>2356</v>
      </c>
      <c r="E85" s="535" t="s">
        <v>2357</v>
      </c>
      <c r="F85" s="535" t="s">
        <v>2358</v>
      </c>
      <c r="G85" s="535" t="s">
        <v>2359</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2457</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2321</v>
      </c>
      <c r="B101" s="485" t="s">
        <v>2370</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2372</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2374</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2458</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2375</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2376</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2459</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2442</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2378</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2379</v>
      </c>
      <c r="C125" s="535" t="s">
        <v>2355</v>
      </c>
      <c r="D125" s="535" t="s">
        <v>2356</v>
      </c>
      <c r="E125" s="535" t="s">
        <v>2357</v>
      </c>
      <c r="F125" s="535" t="s">
        <v>2358</v>
      </c>
      <c r="G125" s="535" t="s">
        <v>2359</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2460</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2402</v>
      </c>
      <c r="D3" s="359">
        <f>IF(D1="",'数据-汇总表'!E3,SUMIF('数据-汇总表'!$C19:$C33,D1,'数据-汇总表'!$E19:$E33))</f>
        <v>23225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2403</v>
      </c>
      <c r="B4" s="362"/>
      <c r="C4" s="3453" t="s">
        <v>2404</v>
      </c>
      <c r="D4" s="3480"/>
      <c r="E4" s="3481" t="s">
        <v>2405</v>
      </c>
      <c r="F4" s="3482"/>
      <c r="G4" s="3453" t="s">
        <v>2406</v>
      </c>
      <c r="H4" s="3480"/>
      <c r="I4" s="3453" t="s">
        <v>2407</v>
      </c>
      <c r="J4" s="3480"/>
      <c r="K4" s="567" t="s">
        <v>2408</v>
      </c>
      <c r="L4" s="1044"/>
      <c r="M4" s="1045"/>
      <c r="N4" s="1045"/>
      <c r="O4" s="1045"/>
      <c r="P4" s="3483" t="s">
        <v>2409</v>
      </c>
      <c r="Q4" s="3484"/>
      <c r="R4" s="3460" t="s">
        <v>2405</v>
      </c>
      <c r="S4" s="3461"/>
      <c r="T4" s="3460" t="s">
        <v>2406</v>
      </c>
      <c r="U4" s="3461"/>
      <c r="V4" s="3473" t="s">
        <v>2407</v>
      </c>
      <c r="W4" s="3473"/>
      <c r="X4" s="1509"/>
      <c r="Y4" s="3460" t="s">
        <v>2409</v>
      </c>
      <c r="Z4" s="3461"/>
      <c r="AA4" s="3477" t="s">
        <v>2405</v>
      </c>
      <c r="AB4" s="3478" t="s">
        <v>2406</v>
      </c>
      <c r="AC4" s="3477" t="s">
        <v>2407</v>
      </c>
    </row>
    <row r="5" spans="1:29" ht="15">
      <c r="A5" s="364"/>
      <c r="B5" s="365"/>
      <c r="C5" s="3464" t="s">
        <v>2300</v>
      </c>
      <c r="D5" s="3465"/>
      <c r="E5" s="3489" t="s">
        <v>2301</v>
      </c>
      <c r="F5" s="3490"/>
      <c r="G5" s="3464" t="s">
        <v>2302</v>
      </c>
      <c r="H5" s="3465"/>
      <c r="I5" s="3464" t="s">
        <v>2303</v>
      </c>
      <c r="J5" s="3465"/>
      <c r="K5" s="567"/>
      <c r="L5" s="1044"/>
      <c r="M5" s="1045"/>
      <c r="N5" s="1045"/>
      <c r="O5" s="1045"/>
      <c r="P5" s="3485"/>
      <c r="Q5" s="3486"/>
      <c r="R5" s="3462"/>
      <c r="S5" s="3463"/>
      <c r="T5" s="3462"/>
      <c r="U5" s="3463"/>
      <c r="V5" s="3473"/>
      <c r="W5" s="3473"/>
      <c r="X5" s="1509"/>
      <c r="Y5" s="3462"/>
      <c r="Z5" s="3463"/>
      <c r="AA5" s="3478"/>
      <c r="AB5" s="3478"/>
      <c r="AC5" s="3478"/>
    </row>
    <row r="6" spans="1:29" ht="15.75" thickBot="1">
      <c r="A6" s="366"/>
      <c r="B6" s="367"/>
      <c r="C6" s="3559" t="s">
        <v>2304</v>
      </c>
      <c r="D6" s="3560"/>
      <c r="E6" s="3561" t="s">
        <v>2304</v>
      </c>
      <c r="F6" s="3562"/>
      <c r="G6" s="3559" t="s">
        <v>2304</v>
      </c>
      <c r="H6" s="3560"/>
      <c r="I6" s="3559" t="s">
        <v>2304</v>
      </c>
      <c r="J6" s="3560"/>
      <c r="K6" s="567" t="s">
        <v>2305</v>
      </c>
      <c r="L6" s="1044"/>
      <c r="M6" s="1045"/>
      <c r="N6" s="1045"/>
      <c r="O6" s="1045"/>
      <c r="P6" s="3487"/>
      <c r="Q6" s="3488"/>
      <c r="R6" s="3462"/>
      <c r="S6" s="3463"/>
      <c r="T6" s="3471"/>
      <c r="U6" s="3472"/>
      <c r="V6" s="3473"/>
      <c r="W6" s="3473"/>
      <c r="X6" s="1509"/>
      <c r="Y6" s="3471"/>
      <c r="Z6" s="3472"/>
      <c r="AA6" s="3479"/>
      <c r="AB6" s="3479"/>
      <c r="AC6" s="3479"/>
    </row>
    <row r="7" spans="1:29" s="113" customFormat="1" ht="15.75" thickBot="1">
      <c r="A7" s="368" t="s">
        <v>2306</v>
      </c>
      <c r="B7" s="369"/>
      <c r="C7" s="370">
        <f>'数据-取费表'!B2</f>
        <v>44610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8" t="s">
        <v>2307</v>
      </c>
      <c r="Q7" s="3468"/>
      <c r="R7" s="710" t="s">
        <v>17</v>
      </c>
      <c r="S7" s="711">
        <f t="shared" ref="S7:S15" si="0">F7</f>
        <v>0</v>
      </c>
      <c r="T7" s="710" t="s">
        <v>17</v>
      </c>
      <c r="U7" s="711">
        <f t="shared" ref="U7:U15" si="1">H7</f>
        <v>0</v>
      </c>
      <c r="V7" s="710" t="s">
        <v>17</v>
      </c>
      <c r="W7" s="711">
        <f t="shared" ref="W7:W15" si="2">J7</f>
        <v>0</v>
      </c>
      <c r="X7" s="712"/>
      <c r="Y7" s="3458" t="s">
        <v>2307</v>
      </c>
      <c r="Z7" s="3459"/>
      <c r="AA7" s="713" t="e">
        <f>D7/F7</f>
        <v>#DIV/0!</v>
      </c>
      <c r="AB7" s="713" t="e">
        <f>D7/H7</f>
        <v>#DIV/0!</v>
      </c>
      <c r="AC7" s="713" t="e">
        <f>D7/J7</f>
        <v>#DIV/0!</v>
      </c>
    </row>
    <row r="8" spans="1:29" s="113" customFormat="1" ht="15.7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8" t="s">
        <v>2310</v>
      </c>
      <c r="Q8" s="3459"/>
      <c r="R8" s="710" t="s">
        <v>17</v>
      </c>
      <c r="S8" s="711">
        <f t="shared" si="0"/>
        <v>0</v>
      </c>
      <c r="T8" s="710" t="s">
        <v>17</v>
      </c>
      <c r="U8" s="711">
        <f t="shared" si="1"/>
        <v>0</v>
      </c>
      <c r="V8" s="710" t="s">
        <v>17</v>
      </c>
      <c r="W8" s="711">
        <f t="shared" si="2"/>
        <v>0</v>
      </c>
      <c r="X8" s="712"/>
      <c r="Y8" s="3458" t="s">
        <v>2310</v>
      </c>
      <c r="Z8" s="3459"/>
      <c r="AA8" s="713" t="e">
        <f t="shared" ref="AA8:AA40" si="3">D8/F8</f>
        <v>#DIV/0!</v>
      </c>
      <c r="AB8" s="713" t="e">
        <f t="shared" ref="AB8:AB40" si="4">D8/H8</f>
        <v>#DIV/0!</v>
      </c>
      <c r="AC8" s="713" t="e">
        <f t="shared" ref="AC8:AC40" si="5">D8/J8</f>
        <v>#DIV/0!</v>
      </c>
    </row>
    <row r="9" spans="1:29" s="113" customFormat="1">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6" t="s">
        <v>2313</v>
      </c>
      <c r="Q9" s="1497" t="str">
        <f t="shared" ref="Q9:Q15" si="6">B9</f>
        <v>用途</v>
      </c>
      <c r="R9" s="710" t="s">
        <v>17</v>
      </c>
      <c r="S9" s="711">
        <f t="shared" si="0"/>
        <v>100</v>
      </c>
      <c r="T9" s="710" t="s">
        <v>17</v>
      </c>
      <c r="U9" s="711">
        <f t="shared" si="1"/>
        <v>100</v>
      </c>
      <c r="V9" s="710" t="s">
        <v>17</v>
      </c>
      <c r="W9" s="711">
        <f t="shared" si="2"/>
        <v>100</v>
      </c>
      <c r="X9" s="712"/>
      <c r="Y9" s="3357"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6"/>
      <c r="Q10" s="149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6"/>
      <c r="Q11" s="1497" t="str">
        <f t="shared" si="6"/>
        <v>容积率</v>
      </c>
      <c r="R11" s="710" t="s">
        <v>17</v>
      </c>
      <c r="S11" s="711" t="e">
        <f t="shared" si="0"/>
        <v>#N/A</v>
      </c>
      <c r="T11" s="710" t="s">
        <v>17</v>
      </c>
      <c r="U11" s="711" t="e">
        <f t="shared" si="1"/>
        <v>#N/A</v>
      </c>
      <c r="V11" s="710" t="s">
        <v>17</v>
      </c>
      <c r="W11" s="711" t="e">
        <f t="shared" si="2"/>
        <v>#N/A</v>
      </c>
      <c r="X11" s="712"/>
      <c r="Y11" s="3357"/>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56"/>
      <c r="Q12" s="149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56"/>
      <c r="Q13" s="149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56"/>
      <c r="Q14" s="1497">
        <f t="shared" si="6"/>
        <v>111</v>
      </c>
      <c r="R14" s="710" t="s">
        <v>17</v>
      </c>
      <c r="S14" s="711">
        <f t="shared" si="0"/>
        <v>100</v>
      </c>
      <c r="T14" s="710" t="s">
        <v>17</v>
      </c>
      <c r="U14" s="711">
        <f t="shared" si="1"/>
        <v>100</v>
      </c>
      <c r="V14" s="710" t="s">
        <v>17</v>
      </c>
      <c r="W14" s="711">
        <f t="shared" si="2"/>
        <v>100</v>
      </c>
      <c r="X14" s="712"/>
      <c r="Y14" s="3357"/>
      <c r="Z14" s="55">
        <f t="shared" si="7"/>
        <v>111</v>
      </c>
      <c r="AA14" s="713">
        <f t="shared" si="3"/>
        <v>1</v>
      </c>
      <c r="AB14" s="713">
        <f t="shared" si="4"/>
        <v>1</v>
      </c>
      <c r="AC14" s="713">
        <f t="shared" si="5"/>
        <v>1</v>
      </c>
    </row>
    <row r="15" spans="1:29" ht="57">
      <c r="A15" s="399" t="s">
        <v>2317</v>
      </c>
      <c r="B15" s="65" t="s">
        <v>2461</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4" t="s">
        <v>2318</v>
      </c>
      <c r="Q15" s="1506" t="str">
        <f t="shared" si="6"/>
        <v>产业集聚程度</v>
      </c>
      <c r="R15" s="714" t="s">
        <v>17</v>
      </c>
      <c r="S15" s="715">
        <f t="shared" si="0"/>
        <v>100</v>
      </c>
      <c r="T15" s="714" t="s">
        <v>17</v>
      </c>
      <c r="U15" s="715">
        <f t="shared" si="1"/>
        <v>100</v>
      </c>
      <c r="V15" s="714" t="s">
        <v>17</v>
      </c>
      <c r="W15" s="715">
        <f t="shared" si="2"/>
        <v>100</v>
      </c>
      <c r="X15" s="1509"/>
      <c r="Y15" s="3474" t="s">
        <v>2318</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5"/>
      <c r="Q16" s="1506"/>
      <c r="R16" s="714"/>
      <c r="S16" s="715"/>
      <c r="T16" s="714"/>
      <c r="U16" s="715"/>
      <c r="V16" s="714"/>
      <c r="W16" s="715"/>
      <c r="X16" s="1509"/>
      <c r="Y16" s="3475"/>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5"/>
      <c r="Q17" s="1506" t="str">
        <f>B17</f>
        <v>交通便捷度</v>
      </c>
      <c r="R17" s="714" t="s">
        <v>17</v>
      </c>
      <c r="S17" s="715">
        <f>F17</f>
        <v>100</v>
      </c>
      <c r="T17" s="714" t="s">
        <v>17</v>
      </c>
      <c r="U17" s="715">
        <f>H17</f>
        <v>100</v>
      </c>
      <c r="V17" s="714" t="s">
        <v>17</v>
      </c>
      <c r="W17" s="715">
        <f>J17</f>
        <v>100</v>
      </c>
      <c r="X17" s="1509"/>
      <c r="Y17" s="347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75"/>
      <c r="Q18" s="1506"/>
      <c r="R18" s="714"/>
      <c r="S18" s="715"/>
      <c r="T18" s="714"/>
      <c r="U18" s="715"/>
      <c r="V18" s="714"/>
      <c r="W18" s="715"/>
      <c r="X18" s="1509"/>
      <c r="Y18" s="3475"/>
      <c r="Z18" s="1510"/>
      <c r="AA18" s="1507">
        <v>1</v>
      </c>
      <c r="AB18" s="1507">
        <v>1</v>
      </c>
      <c r="AC18" s="1507">
        <v>1</v>
      </c>
    </row>
    <row r="19" spans="1:29" ht="42.75">
      <c r="A19" s="387"/>
      <c r="B19" s="410" t="s">
        <v>2446</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5"/>
      <c r="Q19" s="1506" t="str">
        <f>B19</f>
        <v>公共配套设施</v>
      </c>
      <c r="R19" s="714" t="s">
        <v>17</v>
      </c>
      <c r="S19" s="715">
        <f>F19</f>
        <v>100</v>
      </c>
      <c r="T19" s="714" t="s">
        <v>17</v>
      </c>
      <c r="U19" s="715">
        <f>H19</f>
        <v>100</v>
      </c>
      <c r="V19" s="714" t="s">
        <v>17</v>
      </c>
      <c r="W19" s="715">
        <f>J19</f>
        <v>100</v>
      </c>
      <c r="X19" s="1509"/>
      <c r="Y19" s="347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75"/>
      <c r="Q20" s="1506"/>
      <c r="R20" s="714"/>
      <c r="S20" s="715"/>
      <c r="T20" s="714"/>
      <c r="U20" s="715"/>
      <c r="V20" s="714"/>
      <c r="W20" s="715"/>
      <c r="X20" s="1509"/>
      <c r="Y20" s="3475"/>
      <c r="Z20" s="1510"/>
      <c r="AA20" s="1507">
        <v>1</v>
      </c>
      <c r="AB20" s="1507">
        <v>1</v>
      </c>
      <c r="AC20" s="1507">
        <v>1</v>
      </c>
    </row>
    <row r="21" spans="1:29" ht="28.5">
      <c r="A21" s="387"/>
      <c r="B21" s="1265" t="s">
        <v>2447</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5"/>
      <c r="Q21" s="1506" t="str">
        <f>B21</f>
        <v>基础设施水平</v>
      </c>
      <c r="R21" s="714" t="s">
        <v>17</v>
      </c>
      <c r="S21" s="715">
        <f>F21</f>
        <v>100</v>
      </c>
      <c r="T21" s="714" t="s">
        <v>17</v>
      </c>
      <c r="U21" s="715">
        <f>H21</f>
        <v>100</v>
      </c>
      <c r="V21" s="714" t="s">
        <v>17</v>
      </c>
      <c r="W21" s="715">
        <f>J21</f>
        <v>100</v>
      </c>
      <c r="X21" s="1509"/>
      <c r="Y21" s="347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75"/>
      <c r="Q22" s="1506"/>
      <c r="R22" s="714"/>
      <c r="S22" s="715"/>
      <c r="T22" s="714"/>
      <c r="U22" s="715"/>
      <c r="V22" s="714"/>
      <c r="W22" s="715"/>
      <c r="X22" s="1509"/>
      <c r="Y22" s="3475"/>
      <c r="Z22" s="1510"/>
      <c r="AA22" s="1507">
        <v>1</v>
      </c>
      <c r="AB22" s="1507">
        <v>1</v>
      </c>
      <c r="AC22" s="1507">
        <v>1</v>
      </c>
    </row>
    <row r="23" spans="1:29" ht="71.25">
      <c r="A23" s="387"/>
      <c r="B23" s="410" t="s">
        <v>2448</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5"/>
      <c r="Q23" s="1506" t="str">
        <f>B23</f>
        <v>环境质量</v>
      </c>
      <c r="R23" s="714" t="s">
        <v>17</v>
      </c>
      <c r="S23" s="715">
        <f>F23</f>
        <v>100</v>
      </c>
      <c r="T23" s="714" t="s">
        <v>17</v>
      </c>
      <c r="U23" s="715">
        <f>H23</f>
        <v>100</v>
      </c>
      <c r="V23" s="714" t="s">
        <v>17</v>
      </c>
      <c r="W23" s="715">
        <f>J23</f>
        <v>100</v>
      </c>
      <c r="X23" s="1509"/>
      <c r="Y23" s="3475"/>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75"/>
      <c r="Q24" s="1506"/>
      <c r="R24" s="714"/>
      <c r="S24" s="715"/>
      <c r="T24" s="714"/>
      <c r="U24" s="715"/>
      <c r="V24" s="714"/>
      <c r="W24" s="715"/>
      <c r="X24" s="1509"/>
      <c r="Y24" s="347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5"/>
      <c r="Q25" s="1506">
        <f>B25</f>
        <v>111</v>
      </c>
      <c r="R25" s="714" t="s">
        <v>17</v>
      </c>
      <c r="S25" s="715">
        <f>F25</f>
        <v>100</v>
      </c>
      <c r="T25" s="714" t="s">
        <v>17</v>
      </c>
      <c r="U25" s="715">
        <f>H25</f>
        <v>100</v>
      </c>
      <c r="V25" s="714" t="s">
        <v>17</v>
      </c>
      <c r="W25" s="715">
        <f>J25</f>
        <v>100</v>
      </c>
      <c r="X25" s="1509"/>
      <c r="Y25" s="347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5"/>
      <c r="Q26" s="1506">
        <f t="shared" ref="Q26:Q40" si="11">B26</f>
        <v>111</v>
      </c>
      <c r="R26" s="714" t="s">
        <v>17</v>
      </c>
      <c r="S26" s="715">
        <f>F26</f>
        <v>100</v>
      </c>
      <c r="T26" s="714" t="s">
        <v>17</v>
      </c>
      <c r="U26" s="715">
        <f>H26</f>
        <v>100</v>
      </c>
      <c r="V26" s="714" t="s">
        <v>17</v>
      </c>
      <c r="W26" s="715">
        <f>J26</f>
        <v>100</v>
      </c>
      <c r="X26" s="1509"/>
      <c r="Y26" s="347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5"/>
      <c r="Q27" s="1497">
        <f t="shared" si="11"/>
        <v>111</v>
      </c>
      <c r="R27" s="710" t="s">
        <v>17</v>
      </c>
      <c r="S27" s="711">
        <f>F27</f>
        <v>100</v>
      </c>
      <c r="T27" s="710" t="s">
        <v>17</v>
      </c>
      <c r="U27" s="711">
        <f>H27</f>
        <v>100</v>
      </c>
      <c r="V27" s="710" t="s">
        <v>17</v>
      </c>
      <c r="W27" s="711">
        <f>J27</f>
        <v>100</v>
      </c>
      <c r="X27" s="712"/>
      <c r="Y27" s="347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5"/>
      <c r="Q28" s="1506">
        <f t="shared" si="11"/>
        <v>111</v>
      </c>
      <c r="R28" s="714" t="s">
        <v>17</v>
      </c>
      <c r="S28" s="715">
        <f t="shared" ref="S28:S40" si="12">F28</f>
        <v>100</v>
      </c>
      <c r="T28" s="714" t="s">
        <v>17</v>
      </c>
      <c r="U28" s="715">
        <f t="shared" ref="U28:U40" si="13">H28</f>
        <v>100</v>
      </c>
      <c r="V28" s="714" t="s">
        <v>17</v>
      </c>
      <c r="W28" s="715">
        <f t="shared" ref="W28:W40" si="14">J28</f>
        <v>100</v>
      </c>
      <c r="X28" s="1509"/>
      <c r="Y28" s="3475"/>
      <c r="Z28" s="1510">
        <f t="shared" ref="Z28:Z40" si="15">Q28</f>
        <v>111</v>
      </c>
      <c r="AA28" s="1507">
        <f t="shared" si="3"/>
        <v>1</v>
      </c>
      <c r="AB28" s="1507">
        <f t="shared" si="4"/>
        <v>1</v>
      </c>
      <c r="AC28" s="1507">
        <f t="shared" si="5"/>
        <v>1</v>
      </c>
    </row>
    <row r="29" spans="1:29" ht="28.5">
      <c r="A29" s="425" t="s">
        <v>2321</v>
      </c>
      <c r="B29" s="67" t="s">
        <v>2451</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1" t="s">
        <v>2323</v>
      </c>
      <c r="Q29" s="1506" t="str">
        <f t="shared" si="11"/>
        <v>建筑类型</v>
      </c>
      <c r="R29" s="714" t="s">
        <v>17</v>
      </c>
      <c r="S29" s="715">
        <f t="shared" si="12"/>
        <v>100</v>
      </c>
      <c r="T29" s="714" t="s">
        <v>17</v>
      </c>
      <c r="U29" s="715">
        <f t="shared" si="13"/>
        <v>100</v>
      </c>
      <c r="V29" s="714" t="s">
        <v>17</v>
      </c>
      <c r="W29" s="715">
        <f t="shared" si="14"/>
        <v>100</v>
      </c>
      <c r="X29" s="1509"/>
      <c r="Y29" s="3476" t="s">
        <v>2323</v>
      </c>
      <c r="Z29" s="1510" t="str">
        <f t="shared" si="15"/>
        <v>建筑类型</v>
      </c>
      <c r="AA29" s="1507">
        <f t="shared" si="3"/>
        <v>1</v>
      </c>
      <c r="AB29" s="1507">
        <f t="shared" si="4"/>
        <v>1</v>
      </c>
      <c r="AC29" s="1507">
        <f t="shared" si="5"/>
        <v>1</v>
      </c>
    </row>
    <row r="30" spans="1:29" s="430" customFormat="1" ht="1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6"/>
      <c r="Q30" s="716" t="str">
        <f t="shared" si="11"/>
        <v>项目建筑规模</v>
      </c>
      <c r="R30" s="717" t="s">
        <v>17</v>
      </c>
      <c r="S30" s="718" t="e">
        <f t="shared" si="12"/>
        <v>#N/A</v>
      </c>
      <c r="T30" s="717" t="s">
        <v>17</v>
      </c>
      <c r="U30" s="718" t="e">
        <f t="shared" si="13"/>
        <v>#N/A</v>
      </c>
      <c r="V30" s="717" t="s">
        <v>17</v>
      </c>
      <c r="W30" s="718" t="e">
        <f t="shared" si="14"/>
        <v>#N/A</v>
      </c>
      <c r="X30" s="719"/>
      <c r="Y30" s="3476"/>
      <c r="Z30" s="720" t="str">
        <f t="shared" si="15"/>
        <v>项目建筑规模</v>
      </c>
      <c r="AA30" s="1507" t="e">
        <f t="shared" si="3"/>
        <v>#N/A</v>
      </c>
      <c r="AB30" s="1507" t="e">
        <f t="shared" si="4"/>
        <v>#N/A</v>
      </c>
      <c r="AC30" s="1507" t="e">
        <f t="shared" si="5"/>
        <v>#N/A</v>
      </c>
    </row>
    <row r="31" spans="1:29" ht="1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6"/>
      <c r="Q31" s="1506" t="str">
        <f t="shared" si="11"/>
        <v>建筑结构</v>
      </c>
      <c r="R31" s="714" t="s">
        <v>17</v>
      </c>
      <c r="S31" s="715">
        <f t="shared" si="12"/>
        <v>100</v>
      </c>
      <c r="T31" s="714" t="s">
        <v>17</v>
      </c>
      <c r="U31" s="715">
        <f t="shared" si="13"/>
        <v>100</v>
      </c>
      <c r="V31" s="714" t="s">
        <v>17</v>
      </c>
      <c r="W31" s="715">
        <f t="shared" si="14"/>
        <v>100</v>
      </c>
      <c r="X31" s="1509"/>
      <c r="Y31" s="3476"/>
      <c r="Z31" s="1510" t="str">
        <f t="shared" si="15"/>
        <v>建筑结构</v>
      </c>
      <c r="AA31" s="1507">
        <f t="shared" si="3"/>
        <v>1</v>
      </c>
      <c r="AB31" s="1507">
        <f t="shared" si="4"/>
        <v>1</v>
      </c>
      <c r="AC31" s="1507">
        <f t="shared" si="5"/>
        <v>1</v>
      </c>
    </row>
    <row r="32" spans="1:29" ht="1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6"/>
      <c r="Q32" s="1506" t="str">
        <f t="shared" si="11"/>
        <v>公共部分装修</v>
      </c>
      <c r="R32" s="714" t="s">
        <v>17</v>
      </c>
      <c r="S32" s="715">
        <f t="shared" si="12"/>
        <v>100</v>
      </c>
      <c r="T32" s="714" t="s">
        <v>17</v>
      </c>
      <c r="U32" s="715">
        <f t="shared" si="13"/>
        <v>100</v>
      </c>
      <c r="V32" s="714" t="s">
        <v>17</v>
      </c>
      <c r="W32" s="715">
        <f t="shared" si="14"/>
        <v>100</v>
      </c>
      <c r="X32" s="1509"/>
      <c r="Y32" s="3476"/>
      <c r="Z32" s="1510" t="str">
        <f t="shared" si="15"/>
        <v>公共部分装修</v>
      </c>
      <c r="AA32" s="1507">
        <f t="shared" si="3"/>
        <v>1</v>
      </c>
      <c r="AB32" s="1507">
        <f t="shared" si="4"/>
        <v>1</v>
      </c>
      <c r="AC32" s="1507">
        <f t="shared" si="5"/>
        <v>1</v>
      </c>
    </row>
    <row r="33" spans="1:29" ht="1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6"/>
      <c r="Q33" s="1506" t="str">
        <f t="shared" si="11"/>
        <v>成新度</v>
      </c>
      <c r="R33" s="714" t="s">
        <v>17</v>
      </c>
      <c r="S33" s="715" t="e">
        <f t="shared" si="12"/>
        <v>#N/A</v>
      </c>
      <c r="T33" s="714" t="s">
        <v>17</v>
      </c>
      <c r="U33" s="715" t="e">
        <f t="shared" si="13"/>
        <v>#N/A</v>
      </c>
      <c r="V33" s="714" t="s">
        <v>17</v>
      </c>
      <c r="W33" s="715" t="e">
        <f t="shared" si="14"/>
        <v>#N/A</v>
      </c>
      <c r="X33" s="1509"/>
      <c r="Y33" s="3476"/>
      <c r="Z33" s="1510" t="str">
        <f t="shared" si="15"/>
        <v>成新度</v>
      </c>
      <c r="AA33" s="1507" t="e">
        <f t="shared" si="3"/>
        <v>#N/A</v>
      </c>
      <c r="AB33" s="1507" t="e">
        <f t="shared" si="4"/>
        <v>#N/A</v>
      </c>
      <c r="AC33" s="1507" t="e">
        <f t="shared" si="5"/>
        <v>#N/A</v>
      </c>
    </row>
    <row r="34" spans="1:29" s="113" customFormat="1" ht="1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6"/>
      <c r="Q34" s="1497" t="str">
        <f t="shared" si="11"/>
        <v>物业管理</v>
      </c>
      <c r="R34" s="710" t="s">
        <v>17</v>
      </c>
      <c r="S34" s="711">
        <f t="shared" si="12"/>
        <v>100</v>
      </c>
      <c r="T34" s="710" t="s">
        <v>17</v>
      </c>
      <c r="U34" s="711">
        <f t="shared" si="13"/>
        <v>100</v>
      </c>
      <c r="V34" s="710" t="s">
        <v>17</v>
      </c>
      <c r="W34" s="711">
        <f t="shared" si="14"/>
        <v>100</v>
      </c>
      <c r="X34" s="712"/>
      <c r="Y34" s="3476"/>
      <c r="Z34" s="55" t="str">
        <f t="shared" si="15"/>
        <v>物业管理</v>
      </c>
      <c r="AA34" s="713">
        <f t="shared" si="3"/>
        <v>1</v>
      </c>
      <c r="AB34" s="713">
        <f t="shared" si="4"/>
        <v>1</v>
      </c>
      <c r="AC34" s="713">
        <f t="shared" si="5"/>
        <v>1</v>
      </c>
    </row>
    <row r="35" spans="1:29" ht="1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6" t="s">
        <v>2323</v>
      </c>
      <c r="Q35" s="1506" t="str">
        <f t="shared" si="11"/>
        <v>市政基础设施</v>
      </c>
      <c r="R35" s="714" t="s">
        <v>17</v>
      </c>
      <c r="S35" s="715">
        <f t="shared" si="12"/>
        <v>100</v>
      </c>
      <c r="T35" s="714" t="s">
        <v>17</v>
      </c>
      <c r="U35" s="715">
        <f t="shared" si="13"/>
        <v>100</v>
      </c>
      <c r="V35" s="714" t="s">
        <v>17</v>
      </c>
      <c r="W35" s="715">
        <f t="shared" si="14"/>
        <v>100</v>
      </c>
      <c r="X35" s="1509"/>
      <c r="Y35" s="3476" t="s">
        <v>2323</v>
      </c>
      <c r="Z35" s="1510" t="str">
        <f t="shared" si="15"/>
        <v>市政基础设施</v>
      </c>
      <c r="AA35" s="1507">
        <f t="shared" si="3"/>
        <v>1</v>
      </c>
      <c r="AB35" s="1507">
        <f t="shared" si="4"/>
        <v>1</v>
      </c>
      <c r="AC35" s="1507">
        <f t="shared" si="5"/>
        <v>1</v>
      </c>
    </row>
    <row r="36" spans="1:29" ht="1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6"/>
      <c r="Q36" s="1506" t="str">
        <f t="shared" si="11"/>
        <v>内部装修</v>
      </c>
      <c r="R36" s="714" t="s">
        <v>17</v>
      </c>
      <c r="S36" s="715">
        <f t="shared" si="12"/>
        <v>100</v>
      </c>
      <c r="T36" s="714" t="s">
        <v>17</v>
      </c>
      <c r="U36" s="715">
        <f t="shared" si="13"/>
        <v>100</v>
      </c>
      <c r="V36" s="714" t="s">
        <v>17</v>
      </c>
      <c r="W36" s="715">
        <f t="shared" si="14"/>
        <v>100</v>
      </c>
      <c r="X36" s="1509"/>
      <c r="Y36" s="3476"/>
      <c r="Z36" s="1510" t="str">
        <f t="shared" si="15"/>
        <v>内部装修</v>
      </c>
      <c r="AA36" s="1507">
        <f t="shared" si="3"/>
        <v>1</v>
      </c>
      <c r="AB36" s="1507">
        <f t="shared" si="4"/>
        <v>1</v>
      </c>
      <c r="AC36" s="1507">
        <f t="shared" si="5"/>
        <v>1</v>
      </c>
    </row>
    <row r="37" spans="1:29" ht="1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6"/>
      <c r="Q37" s="1506" t="str">
        <f t="shared" si="11"/>
        <v>内部装修状况</v>
      </c>
      <c r="R37" s="714" t="s">
        <v>17</v>
      </c>
      <c r="S37" s="715">
        <f t="shared" si="12"/>
        <v>100</v>
      </c>
      <c r="T37" s="714" t="s">
        <v>17</v>
      </c>
      <c r="U37" s="715">
        <f t="shared" si="13"/>
        <v>100</v>
      </c>
      <c r="V37" s="714" t="s">
        <v>17</v>
      </c>
      <c r="W37" s="715">
        <f t="shared" si="14"/>
        <v>100</v>
      </c>
      <c r="X37" s="1509"/>
      <c r="Y37" s="347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6"/>
      <c r="Q38" s="716">
        <f t="shared" si="11"/>
        <v>111</v>
      </c>
      <c r="R38" s="717" t="s">
        <v>17</v>
      </c>
      <c r="S38" s="718">
        <f t="shared" si="12"/>
        <v>100</v>
      </c>
      <c r="T38" s="717" t="s">
        <v>17</v>
      </c>
      <c r="U38" s="718">
        <f t="shared" si="13"/>
        <v>100</v>
      </c>
      <c r="V38" s="717" t="s">
        <v>17</v>
      </c>
      <c r="W38" s="718">
        <f t="shared" si="14"/>
        <v>100</v>
      </c>
      <c r="X38" s="719"/>
      <c r="Y38" s="347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6"/>
      <c r="Q39" s="1506">
        <f t="shared" si="11"/>
        <v>111</v>
      </c>
      <c r="R39" s="714" t="s">
        <v>17</v>
      </c>
      <c r="S39" s="715">
        <f t="shared" si="12"/>
        <v>100</v>
      </c>
      <c r="T39" s="714" t="s">
        <v>17</v>
      </c>
      <c r="U39" s="715">
        <f t="shared" si="13"/>
        <v>100</v>
      </c>
      <c r="V39" s="714" t="s">
        <v>17</v>
      </c>
      <c r="W39" s="715">
        <f t="shared" si="14"/>
        <v>100</v>
      </c>
      <c r="X39" s="1509"/>
      <c r="Y39" s="347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56"/>
      <c r="Q40" s="1506">
        <f t="shared" si="11"/>
        <v>111</v>
      </c>
      <c r="R40" s="714" t="s">
        <v>17</v>
      </c>
      <c r="S40" s="715">
        <f t="shared" si="12"/>
        <v>100</v>
      </c>
      <c r="T40" s="714" t="s">
        <v>17</v>
      </c>
      <c r="U40" s="715">
        <f t="shared" si="13"/>
        <v>100</v>
      </c>
      <c r="V40" s="714" t="s">
        <v>17</v>
      </c>
      <c r="W40" s="715">
        <f t="shared" si="14"/>
        <v>100</v>
      </c>
      <c r="X40" s="1509"/>
      <c r="Y40" s="3556"/>
      <c r="Z40" s="1510">
        <f t="shared" si="15"/>
        <v>111</v>
      </c>
      <c r="AA40" s="1507">
        <f t="shared" si="3"/>
        <v>1</v>
      </c>
      <c r="AB40" s="1507">
        <f t="shared" si="4"/>
        <v>1</v>
      </c>
      <c r="AC40" s="1507">
        <f t="shared" si="5"/>
        <v>1</v>
      </c>
    </row>
    <row r="41" spans="1:29" ht="15">
      <c r="A41" s="438" t="s">
        <v>2335</v>
      </c>
      <c r="B41" s="439"/>
      <c r="C41" s="1288" t="s">
        <v>1</v>
      </c>
      <c r="D41" s="1289"/>
      <c r="E41" s="1290"/>
      <c r="F41" s="1291"/>
      <c r="G41" s="1292"/>
      <c r="H41" s="1293"/>
      <c r="I41" s="1290"/>
      <c r="J41" s="1293"/>
      <c r="K41" s="723"/>
      <c r="L41" s="1057"/>
      <c r="M41" s="1058"/>
      <c r="N41" s="1045"/>
      <c r="O41" s="1058"/>
      <c r="P41" s="3456" t="str">
        <f>A41</f>
        <v>成交单价（元/平方米）</v>
      </c>
      <c r="Q41" s="3456"/>
      <c r="R41" s="3552">
        <f>E41</f>
        <v>0</v>
      </c>
      <c r="S41" s="3552"/>
      <c r="T41" s="3552">
        <f>G41</f>
        <v>0</v>
      </c>
      <c r="U41" s="3552"/>
      <c r="V41" s="3552">
        <f>I41</f>
        <v>0</v>
      </c>
      <c r="W41" s="3552"/>
      <c r="X41" s="699"/>
      <c r="Y41" s="721"/>
      <c r="Z41" s="699"/>
      <c r="AA41" s="699"/>
      <c r="AB41" s="699"/>
      <c r="AC41" s="699"/>
    </row>
    <row r="42" spans="1:29" ht="15.75" thickBot="1">
      <c r="A42" s="445" t="s">
        <v>2427</v>
      </c>
      <c r="B42" s="446"/>
      <c r="C42" s="1294" t="e">
        <f>R43</f>
        <v>#DIV/0!</v>
      </c>
      <c r="D42" s="2508" t="s">
        <v>2816</v>
      </c>
      <c r="E42" s="1295" t="e">
        <f>R42</f>
        <v>#DIV/0!</v>
      </c>
      <c r="F42" s="2509"/>
      <c r="G42" s="1294" t="e">
        <f>T42</f>
        <v>#DIV/0!</v>
      </c>
      <c r="H42" s="2509"/>
      <c r="I42" s="1295" t="e">
        <f>V42</f>
        <v>#DIV/0!</v>
      </c>
      <c r="J42" s="2509"/>
      <c r="K42" s="2511">
        <f>F42+H42+J42</f>
        <v>0</v>
      </c>
      <c r="L42" s="1057"/>
      <c r="M42" s="1058"/>
      <c r="N42" s="1045"/>
      <c r="O42" s="1058"/>
      <c r="P42" s="3456" t="str">
        <f>A42</f>
        <v>比较价值（元/平方米）</v>
      </c>
      <c r="Q42" s="3456"/>
      <c r="R42" s="3552" t="e">
        <f>IF(F1="售价",ROUND(PRODUCT(R41,AA7:AA40),0),ROUND(PRODUCT(R41,AA7:AA40),1))</f>
        <v>#DIV/0!</v>
      </c>
      <c r="S42" s="3552"/>
      <c r="T42" s="3552" t="e">
        <f>IF(F1="售价",ROUND(PRODUCT(T41,AB7:AB40),0),ROUND(PRODUCT(T41,AB7:AB40),1))</f>
        <v>#DIV/0!</v>
      </c>
      <c r="U42" s="3552"/>
      <c r="V42" s="3552" t="e">
        <f>IF(F1="售价",ROUND(PRODUCT(V41,AC7:AC40),0),ROUND(PRODUCT(V41,AC7:AC40),1))</f>
        <v>#DIV/0!</v>
      </c>
      <c r="W42" s="3552"/>
      <c r="X42" s="699"/>
      <c r="Y42" s="699"/>
      <c r="Z42" s="699"/>
      <c r="AA42" s="699"/>
      <c r="AB42" s="699"/>
      <c r="AC42" s="699"/>
    </row>
    <row r="43" spans="1:29" ht="15.75" thickBot="1">
      <c r="A43" s="449" t="s">
        <v>2428</v>
      </c>
      <c r="B43" s="450"/>
      <c r="C43" s="1297" t="e">
        <f>R43</f>
        <v>#DIV/0!</v>
      </c>
      <c r="D43" s="1297"/>
      <c r="E43" s="1297"/>
      <c r="F43" s="1297"/>
      <c r="G43" s="1297"/>
      <c r="H43" s="1297"/>
      <c r="I43" s="1297"/>
      <c r="J43" s="1297"/>
      <c r="K43" s="724"/>
      <c r="L43" s="1057"/>
      <c r="M43" s="1058"/>
      <c r="N43" s="1058"/>
      <c r="O43" s="1058"/>
      <c r="P43" s="3492" t="str">
        <f>A43</f>
        <v>估价对象XX用房的比较价值（楼面单价，元/平方米）</v>
      </c>
      <c r="Q43" s="3493"/>
      <c r="R43" s="3551" t="e">
        <f>IF(F1="售价",ROUND(IF(D42="简单平均",AVERAGE(R42:V42),R42*F42+T42*H42+V42*J42),0),ROUND(IF(D42="简单平均",AVERAGE(R42:V42),R42*F42+T42*H42+V42*J42),1))</f>
        <v>#DIV/0!</v>
      </c>
      <c r="S43" s="3551"/>
      <c r="T43" s="3551"/>
      <c r="U43" s="3551"/>
      <c r="V43" s="3551"/>
      <c r="W43" s="3551"/>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2432</v>
      </c>
      <c r="B51" s="699"/>
      <c r="C51" s="704"/>
      <c r="D51" s="704"/>
      <c r="E51" s="704"/>
      <c r="F51" s="705"/>
      <c r="G51" s="705"/>
      <c r="H51" s="704"/>
      <c r="I51" s="704"/>
      <c r="J51" s="704"/>
      <c r="K51" s="1072"/>
      <c r="L51" s="1073"/>
      <c r="M51" s="1071"/>
      <c r="N51" s="1071"/>
      <c r="O51" s="1071"/>
      <c r="P51" s="460"/>
      <c r="Q51" s="461"/>
    </row>
    <row r="52" spans="1:17" s="465" customFormat="1" ht="15">
      <c r="A52" s="462" t="s">
        <v>2306</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2343</v>
      </c>
      <c r="B54" s="473"/>
      <c r="C54" s="474"/>
      <c r="D54" s="475"/>
      <c r="E54" s="475"/>
      <c r="F54" s="475"/>
      <c r="G54" s="475"/>
      <c r="H54" s="475"/>
      <c r="I54" s="475"/>
      <c r="J54" s="475"/>
      <c r="K54" s="475"/>
      <c r="L54" s="475"/>
      <c r="M54" s="476"/>
      <c r="N54" s="2969"/>
      <c r="O54" s="2970"/>
      <c r="P54" s="461"/>
      <c r="Q54" s="461"/>
    </row>
    <row r="55" spans="1:17" s="113" customFormat="1" ht="15">
      <c r="A55" s="478" t="s">
        <v>2308</v>
      </c>
      <c r="B55" s="467"/>
      <c r="C55" s="479" t="s">
        <v>2410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2346</v>
      </c>
      <c r="B57" s="485" t="s">
        <v>2312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2315</v>
      </c>
      <c r="C59" s="496" t="s">
        <v>2347</v>
      </c>
      <c r="D59" s="496" t="s">
        <v>2348</v>
      </c>
      <c r="E59" s="496" t="s">
        <v>2349</v>
      </c>
      <c r="F59" s="496" t="s">
        <v>2350</v>
      </c>
      <c r="G59" s="496" t="s">
        <v>2351</v>
      </c>
      <c r="H59" s="496" t="s">
        <v>2352</v>
      </c>
      <c r="I59" s="496" t="s">
        <v>2353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2317</v>
      </c>
      <c r="B70" s="485" t="s">
        <v>2463</v>
      </c>
      <c r="C70" s="530" t="s">
        <v>2355</v>
      </c>
      <c r="D70" s="530" t="s">
        <v>2356</v>
      </c>
      <c r="E70" s="530" t="s">
        <v>2357</v>
      </c>
      <c r="F70" s="530" t="s">
        <v>2358</v>
      </c>
      <c r="G70" s="530" t="s">
        <v>2359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2360</v>
      </c>
      <c r="C72" s="535" t="s">
        <v>2355</v>
      </c>
      <c r="D72" s="535" t="s">
        <v>2356</v>
      </c>
      <c r="E72" s="535" t="s">
        <v>2357</v>
      </c>
      <c r="F72" s="535" t="s">
        <v>2358</v>
      </c>
      <c r="G72" s="535" t="s">
        <v>2359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2361</v>
      </c>
      <c r="C74" s="535" t="s">
        <v>2355</v>
      </c>
      <c r="D74" s="535" t="s">
        <v>2356</v>
      </c>
      <c r="E74" s="535" t="s">
        <v>2357</v>
      </c>
      <c r="F74" s="535" t="s">
        <v>2358</v>
      </c>
      <c r="G74" s="535" t="s">
        <v>2359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2447</v>
      </c>
      <c r="C76" s="616" t="s">
        <v>2433</v>
      </c>
      <c r="D76" s="616" t="s">
        <v>2434</v>
      </c>
      <c r="E76" s="616" t="s">
        <v>2435</v>
      </c>
      <c r="F76" s="616" t="s">
        <v>2436</v>
      </c>
      <c r="G76" s="616" t="s">
        <v>2437</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2456</v>
      </c>
      <c r="C78" s="535" t="s">
        <v>2355</v>
      </c>
      <c r="D78" s="535" t="s">
        <v>2356</v>
      </c>
      <c r="E78" s="535" t="s">
        <v>2357</v>
      </c>
      <c r="F78" s="535" t="s">
        <v>2358</v>
      </c>
      <c r="G78" s="535" t="s">
        <v>2359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2321</v>
      </c>
      <c r="B88" s="485" t="s">
        <v>2370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2464</v>
      </c>
      <c r="C106" s="535" t="s">
        <v>2355</v>
      </c>
      <c r="D106" s="535" t="s">
        <v>2356</v>
      </c>
      <c r="E106" s="535" t="s">
        <v>2357</v>
      </c>
      <c r="F106" s="535" t="s">
        <v>2358</v>
      </c>
      <c r="G106" s="535" t="s">
        <v>2359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66"/>
      <c r="F1" s="2035"/>
      <c r="G1" s="1367" t="s">
        <v>2401</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2402</v>
      </c>
      <c r="D3" s="359">
        <f>SUMIF('数据-汇总表'!$C19:$C33,D1,'数据-汇总表'!$E19:$E33)</f>
        <v>0</v>
      </c>
      <c r="E3" s="360" t="s">
        <v>2466</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2403</v>
      </c>
      <c r="B4" s="362"/>
      <c r="C4" s="3453" t="s">
        <v>2404</v>
      </c>
      <c r="D4" s="3480"/>
      <c r="E4" s="3481" t="s">
        <v>2405</v>
      </c>
      <c r="F4" s="3482"/>
      <c r="G4" s="3453" t="s">
        <v>2406</v>
      </c>
      <c r="H4" s="3480"/>
      <c r="I4" s="3453" t="s">
        <v>2407</v>
      </c>
      <c r="J4" s="3480"/>
      <c r="K4" s="567" t="s">
        <v>2408</v>
      </c>
      <c r="L4" s="2914"/>
      <c r="M4" s="2915"/>
      <c r="N4" s="2915"/>
      <c r="O4" s="2915"/>
      <c r="P4" s="3483" t="s">
        <v>2409</v>
      </c>
      <c r="Q4" s="3484"/>
      <c r="R4" s="3460" t="s">
        <v>2405</v>
      </c>
      <c r="S4" s="3461"/>
      <c r="T4" s="3460" t="s">
        <v>2406</v>
      </c>
      <c r="U4" s="3461"/>
      <c r="V4" s="3473" t="s">
        <v>2407</v>
      </c>
      <c r="W4" s="3473"/>
      <c r="X4" s="1509"/>
      <c r="Y4" s="3460" t="s">
        <v>2409</v>
      </c>
      <c r="Z4" s="3461"/>
      <c r="AA4" s="3477" t="s">
        <v>2405</v>
      </c>
      <c r="AB4" s="3478" t="s">
        <v>2406</v>
      </c>
      <c r="AC4" s="3477" t="s">
        <v>2407</v>
      </c>
    </row>
    <row r="5" spans="1:29" ht="15">
      <c r="A5" s="364"/>
      <c r="B5" s="365"/>
      <c r="C5" s="3464" t="s">
        <v>2300</v>
      </c>
      <c r="D5" s="3465"/>
      <c r="E5" s="3489" t="s">
        <v>2301</v>
      </c>
      <c r="F5" s="3490"/>
      <c r="G5" s="3464" t="s">
        <v>2302</v>
      </c>
      <c r="H5" s="3465"/>
      <c r="I5" s="3464" t="s">
        <v>2303</v>
      </c>
      <c r="J5" s="3465"/>
      <c r="K5" s="567"/>
      <c r="L5" s="2914"/>
      <c r="M5" s="2915"/>
      <c r="N5" s="2915"/>
      <c r="O5" s="2915"/>
      <c r="P5" s="3485"/>
      <c r="Q5" s="3486"/>
      <c r="R5" s="3462"/>
      <c r="S5" s="3463"/>
      <c r="T5" s="3462"/>
      <c r="U5" s="3463"/>
      <c r="V5" s="3473"/>
      <c r="W5" s="3473"/>
      <c r="X5" s="1509"/>
      <c r="Y5" s="3462"/>
      <c r="Z5" s="3463"/>
      <c r="AA5" s="3478"/>
      <c r="AB5" s="3478"/>
      <c r="AC5" s="3478"/>
    </row>
    <row r="6" spans="1:29" ht="15.75" thickBot="1">
      <c r="A6" s="366"/>
      <c r="B6" s="367"/>
      <c r="C6" s="3559" t="s">
        <v>2304</v>
      </c>
      <c r="D6" s="3560"/>
      <c r="E6" s="3561" t="s">
        <v>2304</v>
      </c>
      <c r="F6" s="3562"/>
      <c r="G6" s="3559" t="s">
        <v>2304</v>
      </c>
      <c r="H6" s="3560"/>
      <c r="I6" s="3559" t="s">
        <v>2304</v>
      </c>
      <c r="J6" s="3560"/>
      <c r="K6" s="567" t="s">
        <v>2305</v>
      </c>
      <c r="L6" s="2914"/>
      <c r="M6" s="2915"/>
      <c r="N6" s="2915"/>
      <c r="O6" s="2915"/>
      <c r="P6" s="3487"/>
      <c r="Q6" s="3488"/>
      <c r="R6" s="3462"/>
      <c r="S6" s="3463"/>
      <c r="T6" s="3471"/>
      <c r="U6" s="3472"/>
      <c r="V6" s="3473"/>
      <c r="W6" s="3473"/>
      <c r="X6" s="1509"/>
      <c r="Y6" s="3471"/>
      <c r="Z6" s="3472"/>
      <c r="AA6" s="3479"/>
      <c r="AB6" s="3479"/>
      <c r="AC6" s="3479"/>
    </row>
    <row r="7" spans="1:29" s="113" customFormat="1" ht="15.75" thickBot="1">
      <c r="A7" s="368" t="s">
        <v>2306</v>
      </c>
      <c r="B7" s="369"/>
      <c r="C7" s="370">
        <f>'数据-取费表'!B2</f>
        <v>44610</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58" t="s">
        <v>2307</v>
      </c>
      <c r="Q7" s="3468"/>
      <c r="R7" s="710" t="s">
        <v>17</v>
      </c>
      <c r="S7" s="711">
        <f t="shared" ref="S7:S14" si="0">F7</f>
        <v>0</v>
      </c>
      <c r="T7" s="710" t="s">
        <v>17</v>
      </c>
      <c r="U7" s="711">
        <f t="shared" ref="U7:U14" si="1">H7</f>
        <v>0</v>
      </c>
      <c r="V7" s="710" t="s">
        <v>17</v>
      </c>
      <c r="W7" s="711">
        <f t="shared" ref="W7:W14" si="2">J7</f>
        <v>0</v>
      </c>
      <c r="X7" s="712"/>
      <c r="Y7" s="3458" t="s">
        <v>2307</v>
      </c>
      <c r="Z7" s="3459"/>
      <c r="AA7" s="713" t="e">
        <f>D7/F7</f>
        <v>#DIV/0!</v>
      </c>
      <c r="AB7" s="713" t="e">
        <f>D7/H7</f>
        <v>#DIV/0!</v>
      </c>
      <c r="AC7" s="713" t="e">
        <f>D7/J7</f>
        <v>#DIV/0!</v>
      </c>
    </row>
    <row r="8" spans="1:29" s="113" customFormat="1" ht="15.7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58" t="s">
        <v>2310</v>
      </c>
      <c r="Q8" s="3459"/>
      <c r="R8" s="710" t="s">
        <v>17</v>
      </c>
      <c r="S8" s="711">
        <f t="shared" si="0"/>
        <v>0</v>
      </c>
      <c r="T8" s="710" t="s">
        <v>17</v>
      </c>
      <c r="U8" s="711">
        <f t="shared" si="1"/>
        <v>0</v>
      </c>
      <c r="V8" s="710" t="s">
        <v>17</v>
      </c>
      <c r="W8" s="711">
        <f t="shared" si="2"/>
        <v>0</v>
      </c>
      <c r="X8" s="712"/>
      <c r="Y8" s="3458" t="s">
        <v>2310</v>
      </c>
      <c r="Z8" s="3459"/>
      <c r="AA8" s="713" t="e">
        <f t="shared" ref="AA8:AA36" si="3">D8/F8</f>
        <v>#DIV/0!</v>
      </c>
      <c r="AB8" s="713" t="e">
        <f t="shared" ref="AB8:AB36" si="4">D8/H8</f>
        <v>#DIV/0!</v>
      </c>
      <c r="AC8" s="713" t="e">
        <f t="shared" ref="AC8:AC36" si="5">D8/J8</f>
        <v>#DIV/0!</v>
      </c>
    </row>
    <row r="9" spans="1:29" s="113" customFormat="1">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56" t="s">
        <v>2313</v>
      </c>
      <c r="Q9" s="1497" t="str">
        <f t="shared" ref="Q9:Q14" si="6">B9</f>
        <v>用途</v>
      </c>
      <c r="R9" s="710" t="s">
        <v>17</v>
      </c>
      <c r="S9" s="711">
        <f t="shared" si="0"/>
        <v>100</v>
      </c>
      <c r="T9" s="710" t="s">
        <v>17</v>
      </c>
      <c r="U9" s="711">
        <f t="shared" si="1"/>
        <v>100</v>
      </c>
      <c r="V9" s="710" t="s">
        <v>17</v>
      </c>
      <c r="W9" s="711">
        <f t="shared" si="2"/>
        <v>100</v>
      </c>
      <c r="X9" s="712"/>
      <c r="Y9" s="3357" t="s">
        <v>2314</v>
      </c>
      <c r="Z9" s="55" t="str">
        <f t="shared" ref="Z9:Z14" si="7">Q9</f>
        <v>用途</v>
      </c>
      <c r="AA9" s="713">
        <f t="shared" si="3"/>
        <v>1</v>
      </c>
      <c r="AB9" s="713">
        <f t="shared" si="4"/>
        <v>1</v>
      </c>
      <c r="AC9" s="713">
        <f t="shared" si="5"/>
        <v>1</v>
      </c>
    </row>
    <row r="10" spans="1:29" s="386" customFormat="1" ht="27">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56"/>
      <c r="Q10" s="149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56"/>
      <c r="Q11" s="1497">
        <f t="shared" si="6"/>
        <v>111</v>
      </c>
      <c r="R11" s="710" t="s">
        <v>17</v>
      </c>
      <c r="S11" s="711">
        <f t="shared" si="0"/>
        <v>100</v>
      </c>
      <c r="T11" s="710" t="s">
        <v>17</v>
      </c>
      <c r="U11" s="711">
        <f t="shared" si="1"/>
        <v>100</v>
      </c>
      <c r="V11" s="710" t="s">
        <v>17</v>
      </c>
      <c r="W11" s="711">
        <f t="shared" si="2"/>
        <v>100</v>
      </c>
      <c r="X11" s="712"/>
      <c r="Y11" s="335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56"/>
      <c r="Q12" s="149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56"/>
      <c r="Q13" s="149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85.5">
      <c r="A14" s="361" t="s">
        <v>2317</v>
      </c>
      <c r="B14" s="585" t="s">
        <v>2467</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74" t="s">
        <v>2318</v>
      </c>
      <c r="Q14" s="1506" t="str">
        <f t="shared" si="6"/>
        <v>交通便捷度</v>
      </c>
      <c r="R14" s="714" t="s">
        <v>17</v>
      </c>
      <c r="S14" s="715">
        <f t="shared" si="0"/>
        <v>100</v>
      </c>
      <c r="T14" s="714" t="s">
        <v>17</v>
      </c>
      <c r="U14" s="715">
        <f t="shared" si="1"/>
        <v>100</v>
      </c>
      <c r="V14" s="714" t="s">
        <v>17</v>
      </c>
      <c r="W14" s="715">
        <f t="shared" si="2"/>
        <v>100</v>
      </c>
      <c r="X14" s="1509"/>
      <c r="Y14" s="3474" t="s">
        <v>2318</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75"/>
      <c r="Q15" s="1506"/>
      <c r="R15" s="714"/>
      <c r="S15" s="715"/>
      <c r="T15" s="714"/>
      <c r="U15" s="715"/>
      <c r="V15" s="714"/>
      <c r="W15" s="715"/>
      <c r="X15" s="1509"/>
      <c r="Y15" s="3475"/>
      <c r="Z15" s="1510"/>
      <c r="AA15" s="1507">
        <v>1</v>
      </c>
      <c r="AB15" s="1507">
        <v>1</v>
      </c>
      <c r="AC15" s="1507">
        <v>1</v>
      </c>
    </row>
    <row r="16" spans="1:29" ht="42.75">
      <c r="A16" s="364"/>
      <c r="B16" s="587" t="s">
        <v>2446</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75"/>
      <c r="Q16" s="1506" t="str">
        <f>B16</f>
        <v>公共配套设施</v>
      </c>
      <c r="R16" s="714" t="s">
        <v>17</v>
      </c>
      <c r="S16" s="715">
        <f>F16</f>
        <v>100</v>
      </c>
      <c r="T16" s="714" t="s">
        <v>17</v>
      </c>
      <c r="U16" s="715">
        <f>H16</f>
        <v>100</v>
      </c>
      <c r="V16" s="714" t="s">
        <v>17</v>
      </c>
      <c r="W16" s="715">
        <f>J16</f>
        <v>100</v>
      </c>
      <c r="X16" s="1509"/>
      <c r="Y16" s="347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75"/>
      <c r="Q17" s="1506"/>
      <c r="R17" s="714"/>
      <c r="S17" s="715"/>
      <c r="T17" s="714"/>
      <c r="U17" s="715"/>
      <c r="V17" s="714"/>
      <c r="W17" s="715"/>
      <c r="X17" s="1509"/>
      <c r="Y17" s="3475"/>
      <c r="Z17" s="1510"/>
      <c r="AA17" s="1507">
        <v>1</v>
      </c>
      <c r="AB17" s="1507">
        <v>1</v>
      </c>
      <c r="AC17" s="1507">
        <v>1</v>
      </c>
    </row>
    <row r="18" spans="1:29" ht="28.5">
      <c r="A18" s="364"/>
      <c r="B18" s="589" t="s">
        <v>2447</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75"/>
      <c r="Q18" s="1506" t="str">
        <f>B18</f>
        <v>基础设施水平</v>
      </c>
      <c r="R18" s="714" t="s">
        <v>17</v>
      </c>
      <c r="S18" s="715">
        <f>F18</f>
        <v>100</v>
      </c>
      <c r="T18" s="714" t="s">
        <v>17</v>
      </c>
      <c r="U18" s="715">
        <f>H18</f>
        <v>100</v>
      </c>
      <c r="V18" s="714" t="s">
        <v>17</v>
      </c>
      <c r="W18" s="715">
        <f>J18</f>
        <v>100</v>
      </c>
      <c r="X18" s="1509"/>
      <c r="Y18" s="347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75"/>
      <c r="Q19" s="1506"/>
      <c r="R19" s="714"/>
      <c r="S19" s="715"/>
      <c r="T19" s="714"/>
      <c r="U19" s="715"/>
      <c r="V19" s="714"/>
      <c r="W19" s="715"/>
      <c r="X19" s="1509"/>
      <c r="Y19" s="3475"/>
      <c r="Z19" s="1510"/>
      <c r="AA19" s="1507">
        <v>1</v>
      </c>
      <c r="AB19" s="1507">
        <v>1</v>
      </c>
      <c r="AC19" s="1507">
        <v>1</v>
      </c>
    </row>
    <row r="20" spans="1:29" ht="57">
      <c r="A20" s="364"/>
      <c r="B20" s="587" t="s">
        <v>2468</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75"/>
      <c r="Q20" s="1506" t="str">
        <f>B20</f>
        <v>自然及人文环境</v>
      </c>
      <c r="R20" s="714" t="s">
        <v>17</v>
      </c>
      <c r="S20" s="715">
        <f>F20</f>
        <v>100</v>
      </c>
      <c r="T20" s="714" t="s">
        <v>17</v>
      </c>
      <c r="U20" s="715">
        <f>H20</f>
        <v>100</v>
      </c>
      <c r="V20" s="714" t="s">
        <v>17</v>
      </c>
      <c r="W20" s="715">
        <f>J20</f>
        <v>100</v>
      </c>
      <c r="X20" s="1509"/>
      <c r="Y20" s="347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75"/>
      <c r="Q21" s="1506"/>
      <c r="R21" s="714"/>
      <c r="S21" s="715"/>
      <c r="T21" s="714"/>
      <c r="U21" s="715"/>
      <c r="V21" s="714"/>
      <c r="W21" s="715"/>
      <c r="X21" s="1509"/>
      <c r="Y21" s="3475"/>
      <c r="Z21" s="1510"/>
      <c r="AA21" s="1507">
        <v>1</v>
      </c>
      <c r="AB21" s="1507">
        <v>1</v>
      </c>
      <c r="AC21" s="1507">
        <v>1</v>
      </c>
    </row>
    <row r="22" spans="1:29" ht="1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75"/>
      <c r="Q22" s="1506" t="str">
        <f>B22</f>
        <v>楼层</v>
      </c>
      <c r="R22" s="714" t="s">
        <v>17</v>
      </c>
      <c r="S22" s="715">
        <f>F22</f>
        <v>100</v>
      </c>
      <c r="T22" s="714" t="s">
        <v>17</v>
      </c>
      <c r="U22" s="715">
        <f>H22</f>
        <v>100</v>
      </c>
      <c r="V22" s="714" t="s">
        <v>17</v>
      </c>
      <c r="W22" s="715">
        <f>J22</f>
        <v>100</v>
      </c>
      <c r="X22" s="1509"/>
      <c r="Y22" s="347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75"/>
      <c r="Q23" s="1506">
        <f>B23</f>
        <v>111</v>
      </c>
      <c r="R23" s="714" t="s">
        <v>17</v>
      </c>
      <c r="S23" s="715">
        <f>F23</f>
        <v>100</v>
      </c>
      <c r="T23" s="714" t="s">
        <v>17</v>
      </c>
      <c r="U23" s="715">
        <f>H23</f>
        <v>100</v>
      </c>
      <c r="V23" s="714" t="s">
        <v>17</v>
      </c>
      <c r="W23" s="715">
        <f>J23</f>
        <v>100</v>
      </c>
      <c r="X23" s="1509"/>
      <c r="Y23" s="347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75"/>
      <c r="Q24" s="1506">
        <f t="shared" ref="Q24:Q36" si="11">B24</f>
        <v>111</v>
      </c>
      <c r="R24" s="714" t="s">
        <v>17</v>
      </c>
      <c r="S24" s="715">
        <f>F24</f>
        <v>100</v>
      </c>
      <c r="T24" s="714" t="s">
        <v>17</v>
      </c>
      <c r="U24" s="715">
        <f>H24</f>
        <v>100</v>
      </c>
      <c r="V24" s="714" t="s">
        <v>17</v>
      </c>
      <c r="W24" s="715">
        <f>J24</f>
        <v>100</v>
      </c>
      <c r="X24" s="1509"/>
      <c r="Y24" s="347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75"/>
      <c r="Q25" s="1497">
        <f t="shared" si="11"/>
        <v>111</v>
      </c>
      <c r="R25" s="710" t="s">
        <v>17</v>
      </c>
      <c r="S25" s="711">
        <f>F25</f>
        <v>100</v>
      </c>
      <c r="T25" s="710" t="s">
        <v>17</v>
      </c>
      <c r="U25" s="711">
        <f>H25</f>
        <v>100</v>
      </c>
      <c r="V25" s="710" t="s">
        <v>17</v>
      </c>
      <c r="W25" s="711">
        <f>J25</f>
        <v>100</v>
      </c>
      <c r="X25" s="712"/>
      <c r="Y25" s="3475"/>
      <c r="Z25" s="55">
        <f>Q25</f>
        <v>111</v>
      </c>
      <c r="AA25" s="1507">
        <f>D25/F25</f>
        <v>1</v>
      </c>
      <c r="AB25" s="1507">
        <f>D25/H25</f>
        <v>1</v>
      </c>
      <c r="AC25" s="1507">
        <f>D25/J25</f>
        <v>1</v>
      </c>
    </row>
    <row r="26" spans="1:29" ht="28.5">
      <c r="A26" s="608" t="s">
        <v>2321</v>
      </c>
      <c r="B26" s="66" t="s">
        <v>2470</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1" t="s">
        <v>2323</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6" t="s">
        <v>2323</v>
      </c>
      <c r="Z26" s="1510" t="str">
        <f t="shared" ref="Z26:Z36" si="15">Q26</f>
        <v>配套类型</v>
      </c>
      <c r="AA26" s="1507">
        <f t="shared" si="3"/>
        <v>1</v>
      </c>
      <c r="AB26" s="1507">
        <f t="shared" si="4"/>
        <v>1</v>
      </c>
      <c r="AC26" s="1507">
        <f t="shared" si="5"/>
        <v>1</v>
      </c>
    </row>
    <row r="27" spans="1:29" s="430" customFormat="1" ht="1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6"/>
      <c r="Q27" s="716" t="str">
        <f t="shared" si="11"/>
        <v>项目停车位配比</v>
      </c>
      <c r="R27" s="717" t="s">
        <v>17</v>
      </c>
      <c r="S27" s="718">
        <f t="shared" si="12"/>
        <v>100</v>
      </c>
      <c r="T27" s="717" t="s">
        <v>17</v>
      </c>
      <c r="U27" s="718">
        <f t="shared" si="13"/>
        <v>100</v>
      </c>
      <c r="V27" s="717" t="s">
        <v>17</v>
      </c>
      <c r="W27" s="718">
        <f t="shared" si="14"/>
        <v>100</v>
      </c>
      <c r="X27" s="719"/>
      <c r="Y27" s="3476"/>
      <c r="Z27" s="720" t="str">
        <f t="shared" si="15"/>
        <v>项目停车位配比</v>
      </c>
      <c r="AA27" s="1507">
        <f t="shared" si="3"/>
        <v>1</v>
      </c>
      <c r="AB27" s="1507">
        <f t="shared" si="4"/>
        <v>1</v>
      </c>
      <c r="AC27" s="1507">
        <f t="shared" si="5"/>
        <v>1</v>
      </c>
    </row>
    <row r="28" spans="1:29" ht="1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6"/>
      <c r="Q28" s="1506" t="str">
        <f t="shared" si="11"/>
        <v>公共部分装修</v>
      </c>
      <c r="R28" s="714" t="s">
        <v>17</v>
      </c>
      <c r="S28" s="715">
        <f t="shared" si="12"/>
        <v>100</v>
      </c>
      <c r="T28" s="714" t="s">
        <v>17</v>
      </c>
      <c r="U28" s="715">
        <f t="shared" si="13"/>
        <v>100</v>
      </c>
      <c r="V28" s="714" t="s">
        <v>17</v>
      </c>
      <c r="W28" s="715">
        <f t="shared" si="14"/>
        <v>100</v>
      </c>
      <c r="X28" s="1509"/>
      <c r="Y28" s="3476"/>
      <c r="Z28" s="1510" t="str">
        <f t="shared" si="15"/>
        <v>公共部分装修</v>
      </c>
      <c r="AA28" s="1507">
        <f t="shared" si="3"/>
        <v>1</v>
      </c>
      <c r="AB28" s="1507">
        <f t="shared" si="4"/>
        <v>1</v>
      </c>
      <c r="AC28" s="1507">
        <f t="shared" si="5"/>
        <v>1</v>
      </c>
    </row>
    <row r="29" spans="1:29" ht="1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6"/>
      <c r="Q29" s="1506" t="str">
        <f t="shared" si="11"/>
        <v>成新率</v>
      </c>
      <c r="R29" s="714" t="s">
        <v>17</v>
      </c>
      <c r="S29" s="715" t="e">
        <f t="shared" si="12"/>
        <v>#N/A</v>
      </c>
      <c r="T29" s="714" t="s">
        <v>17</v>
      </c>
      <c r="U29" s="715" t="e">
        <f t="shared" si="13"/>
        <v>#N/A</v>
      </c>
      <c r="V29" s="714" t="s">
        <v>17</v>
      </c>
      <c r="W29" s="715" t="e">
        <f t="shared" si="14"/>
        <v>#N/A</v>
      </c>
      <c r="X29" s="1509"/>
      <c r="Y29" s="3476"/>
      <c r="Z29" s="1510" t="str">
        <f t="shared" si="15"/>
        <v>成新率</v>
      </c>
      <c r="AA29" s="1507" t="e">
        <f t="shared" si="3"/>
        <v>#N/A</v>
      </c>
      <c r="AB29" s="1507" t="e">
        <f t="shared" si="4"/>
        <v>#N/A</v>
      </c>
      <c r="AC29" s="1507" t="e">
        <f t="shared" si="5"/>
        <v>#N/A</v>
      </c>
    </row>
    <row r="30" spans="1:29" ht="1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6"/>
      <c r="Q30" s="1506" t="str">
        <f t="shared" si="11"/>
        <v>物业等级</v>
      </c>
      <c r="R30" s="714" t="s">
        <v>17</v>
      </c>
      <c r="S30" s="715">
        <f t="shared" si="12"/>
        <v>100</v>
      </c>
      <c r="T30" s="714" t="s">
        <v>17</v>
      </c>
      <c r="U30" s="715">
        <f t="shared" si="13"/>
        <v>100</v>
      </c>
      <c r="V30" s="714" t="s">
        <v>17</v>
      </c>
      <c r="W30" s="715">
        <f t="shared" si="14"/>
        <v>100</v>
      </c>
      <c r="X30" s="1509"/>
      <c r="Y30" s="3476"/>
      <c r="Z30" s="1510" t="str">
        <f t="shared" si="15"/>
        <v>物业等级</v>
      </c>
      <c r="AA30" s="1507">
        <f t="shared" si="3"/>
        <v>1</v>
      </c>
      <c r="AB30" s="1507">
        <f t="shared" si="4"/>
        <v>1</v>
      </c>
      <c r="AC30" s="1507">
        <f t="shared" si="5"/>
        <v>1</v>
      </c>
    </row>
    <row r="31" spans="1:29" s="113" customFormat="1" ht="1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6"/>
      <c r="Q31" s="1497" t="str">
        <f t="shared" si="11"/>
        <v>停车位面积</v>
      </c>
      <c r="R31" s="710" t="s">
        <v>17</v>
      </c>
      <c r="S31" s="711" t="e">
        <f t="shared" si="12"/>
        <v>#N/A</v>
      </c>
      <c r="T31" s="710" t="s">
        <v>17</v>
      </c>
      <c r="U31" s="711" t="e">
        <f t="shared" si="13"/>
        <v>#N/A</v>
      </c>
      <c r="V31" s="710" t="s">
        <v>17</v>
      </c>
      <c r="W31" s="711" t="e">
        <f t="shared" si="14"/>
        <v>#N/A</v>
      </c>
      <c r="X31" s="712"/>
      <c r="Y31" s="3476"/>
      <c r="Z31" s="55" t="str">
        <f t="shared" si="15"/>
        <v>停车位面积</v>
      </c>
      <c r="AA31" s="713" t="e">
        <f t="shared" si="3"/>
        <v>#N/A</v>
      </c>
      <c r="AB31" s="713" t="e">
        <f t="shared" si="4"/>
        <v>#N/A</v>
      </c>
      <c r="AC31" s="713" t="e">
        <f t="shared" si="5"/>
        <v>#N/A</v>
      </c>
    </row>
    <row r="32" spans="1:29" ht="1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6" t="s">
        <v>2323</v>
      </c>
      <c r="Q32" s="1506" t="str">
        <f t="shared" si="11"/>
        <v>车位类型</v>
      </c>
      <c r="R32" s="714" t="s">
        <v>17</v>
      </c>
      <c r="S32" s="715">
        <f t="shared" si="12"/>
        <v>100</v>
      </c>
      <c r="T32" s="714" t="s">
        <v>17</v>
      </c>
      <c r="U32" s="715">
        <f t="shared" si="13"/>
        <v>100</v>
      </c>
      <c r="V32" s="714" t="s">
        <v>17</v>
      </c>
      <c r="W32" s="715">
        <f t="shared" si="14"/>
        <v>100</v>
      </c>
      <c r="X32" s="1509"/>
      <c r="Y32" s="3476" t="s">
        <v>2323</v>
      </c>
      <c r="Z32" s="1510" t="str">
        <f t="shared" si="15"/>
        <v>车位类型</v>
      </c>
      <c r="AA32" s="1507">
        <f t="shared" si="3"/>
        <v>1</v>
      </c>
      <c r="AB32" s="1507">
        <f t="shared" si="4"/>
        <v>1</v>
      </c>
      <c r="AC32" s="1507">
        <f t="shared" si="5"/>
        <v>1</v>
      </c>
    </row>
    <row r="33" spans="1:29" ht="1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6"/>
      <c r="Q33" s="1506" t="str">
        <f t="shared" si="11"/>
        <v>是否直接入户</v>
      </c>
      <c r="R33" s="714" t="s">
        <v>17</v>
      </c>
      <c r="S33" s="715">
        <f t="shared" si="12"/>
        <v>100</v>
      </c>
      <c r="T33" s="714" t="s">
        <v>17</v>
      </c>
      <c r="U33" s="715">
        <f t="shared" si="13"/>
        <v>100</v>
      </c>
      <c r="V33" s="714" t="s">
        <v>17</v>
      </c>
      <c r="W33" s="715">
        <f t="shared" si="14"/>
        <v>100</v>
      </c>
      <c r="X33" s="1509"/>
      <c r="Y33" s="347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6"/>
      <c r="Q34" s="1506">
        <f t="shared" si="11"/>
        <v>111</v>
      </c>
      <c r="R34" s="714" t="s">
        <v>17</v>
      </c>
      <c r="S34" s="715">
        <f t="shared" si="12"/>
        <v>100</v>
      </c>
      <c r="T34" s="714" t="s">
        <v>17</v>
      </c>
      <c r="U34" s="715">
        <f t="shared" si="13"/>
        <v>100</v>
      </c>
      <c r="V34" s="714" t="s">
        <v>17</v>
      </c>
      <c r="W34" s="715">
        <f t="shared" si="14"/>
        <v>100</v>
      </c>
      <c r="X34" s="1509"/>
      <c r="Y34" s="347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6"/>
      <c r="Q35" s="716">
        <f t="shared" si="11"/>
        <v>111</v>
      </c>
      <c r="R35" s="717" t="s">
        <v>17</v>
      </c>
      <c r="S35" s="718">
        <f t="shared" si="12"/>
        <v>100</v>
      </c>
      <c r="T35" s="717" t="s">
        <v>17</v>
      </c>
      <c r="U35" s="718">
        <f t="shared" si="13"/>
        <v>100</v>
      </c>
      <c r="V35" s="717" t="s">
        <v>17</v>
      </c>
      <c r="W35" s="718">
        <f t="shared" si="14"/>
        <v>100</v>
      </c>
      <c r="X35" s="719"/>
      <c r="Y35" s="347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6"/>
      <c r="Q36" s="1506">
        <f t="shared" si="11"/>
        <v>111</v>
      </c>
      <c r="R36" s="714" t="s">
        <v>17</v>
      </c>
      <c r="S36" s="715">
        <f t="shared" si="12"/>
        <v>100</v>
      </c>
      <c r="T36" s="714" t="s">
        <v>17</v>
      </c>
      <c r="U36" s="715">
        <f t="shared" si="13"/>
        <v>100</v>
      </c>
      <c r="V36" s="714" t="s">
        <v>17</v>
      </c>
      <c r="W36" s="715">
        <f t="shared" si="14"/>
        <v>100</v>
      </c>
      <c r="X36" s="1509"/>
      <c r="Y36" s="3476"/>
      <c r="Z36" s="1510">
        <f t="shared" si="15"/>
        <v>111</v>
      </c>
      <c r="AA36" s="1507">
        <f t="shared" si="3"/>
        <v>1</v>
      </c>
      <c r="AB36" s="1507">
        <f t="shared" si="4"/>
        <v>1</v>
      </c>
      <c r="AC36" s="1507">
        <f t="shared" si="5"/>
        <v>1</v>
      </c>
    </row>
    <row r="37" spans="1:29" ht="15">
      <c r="A37" s="438" t="s">
        <v>2478</v>
      </c>
      <c r="B37" s="2129" t="s">
        <v>2479</v>
      </c>
      <c r="C37" s="1288" t="s">
        <v>1</v>
      </c>
      <c r="D37" s="1289"/>
      <c r="E37" s="1290"/>
      <c r="F37" s="1291"/>
      <c r="G37" s="1292"/>
      <c r="H37" s="1293"/>
      <c r="I37" s="1290"/>
      <c r="J37" s="1293"/>
      <c r="K37" s="576"/>
      <c r="L37" s="2923"/>
      <c r="M37" s="2924"/>
      <c r="N37" s="2915"/>
      <c r="O37" s="2924"/>
      <c r="P37" s="3456" t="str">
        <f>A37</f>
        <v>成交单价</v>
      </c>
      <c r="Q37" s="3456"/>
      <c r="R37" s="3552">
        <f>E37</f>
        <v>0</v>
      </c>
      <c r="S37" s="3552"/>
      <c r="T37" s="3552">
        <f>G37</f>
        <v>0</v>
      </c>
      <c r="U37" s="3552"/>
      <c r="V37" s="3552">
        <f>I37</f>
        <v>0</v>
      </c>
      <c r="W37" s="3552"/>
      <c r="X37" s="699"/>
      <c r="Y37" s="721"/>
      <c r="Z37" s="699"/>
      <c r="AA37" s="699"/>
      <c r="AB37" s="699"/>
      <c r="AC37" s="699"/>
    </row>
    <row r="38" spans="1:29" ht="15.75" thickBot="1">
      <c r="A38" s="445" t="s">
        <v>2480</v>
      </c>
      <c r="B38" s="446" t="str">
        <f>B37</f>
        <v>元/车位</v>
      </c>
      <c r="C38" s="1294" t="e">
        <f>R39</f>
        <v>#DIV/0!</v>
      </c>
      <c r="D38" s="2508" t="s">
        <v>2816</v>
      </c>
      <c r="E38" s="1295" t="e">
        <f>R38</f>
        <v>#DIV/0!</v>
      </c>
      <c r="F38" s="2509"/>
      <c r="G38" s="1294" t="e">
        <f>T38</f>
        <v>#DIV/0!</v>
      </c>
      <c r="H38" s="2509"/>
      <c r="I38" s="1295" t="e">
        <f>V38</f>
        <v>#DIV/0!</v>
      </c>
      <c r="J38" s="2509"/>
      <c r="K38" s="2511">
        <f>F38+H38+J38</f>
        <v>0</v>
      </c>
      <c r="L38" s="2923"/>
      <c r="M38" s="2924"/>
      <c r="N38" s="2924"/>
      <c r="O38" s="2924"/>
      <c r="P38" s="3456" t="str">
        <f>A38</f>
        <v>比较价值（元/平方米）</v>
      </c>
      <c r="Q38" s="3456"/>
      <c r="R38" s="3552" t="e">
        <f>IF(F1="售价",ROUND(PRODUCT(R37,AA7:AA36),0),ROUND(PRODUCT(R37,AA7:AA36),1))</f>
        <v>#DIV/0!</v>
      </c>
      <c r="S38" s="3552"/>
      <c r="T38" s="3552" t="e">
        <f>IF(F1="售价",ROUND(PRODUCT(T37,AB7:AB36),0),ROUND(PRODUCT(T37,AB7:AB36),1))</f>
        <v>#DIV/0!</v>
      </c>
      <c r="U38" s="3552"/>
      <c r="V38" s="3552" t="e">
        <f>IF(F1="售价",ROUND(PRODUCT(V37,AC7:AC36),0),ROUND(PRODUCT(V37,AC7:AC36),1))</f>
        <v>#DIV/0!</v>
      </c>
      <c r="W38" s="3552"/>
      <c r="X38" s="699"/>
      <c r="Y38" s="699"/>
      <c r="Z38" s="699"/>
      <c r="AA38" s="699"/>
      <c r="AB38" s="699"/>
      <c r="AC38" s="699"/>
    </row>
    <row r="39" spans="1:29" ht="15.75" thickBot="1">
      <c r="A39" s="449" t="s">
        <v>2481</v>
      </c>
      <c r="B39" s="450"/>
      <c r="C39" s="1297" t="e">
        <f>R39</f>
        <v>#DIV/0!</v>
      </c>
      <c r="D39" s="1297"/>
      <c r="E39" s="1297"/>
      <c r="F39" s="1297"/>
      <c r="G39" s="1297"/>
      <c r="H39" s="1297"/>
      <c r="I39" s="1297"/>
      <c r="J39" s="1297"/>
      <c r="K39" s="577"/>
      <c r="L39" s="2923"/>
      <c r="M39" s="2924"/>
      <c r="N39" s="2924"/>
      <c r="O39" s="2924"/>
      <c r="P39" s="3492" t="str">
        <f>A39</f>
        <v>估价对象XX用房的比较价值（楼面单价，元/平方米）</v>
      </c>
      <c r="Q39" s="3493"/>
      <c r="R39" s="3578" t="e">
        <f>IF(F1="售价",ROUND(IF(D38="简单平均",AVERAGE(R38:W38),R38*F38+T38*H38+V38*J38),0),ROUND(IF(D38="简单平均",AVERAGE(R38:V38),R38*F38+T38*H38+V38*J38),1))</f>
        <v>#DIV/0!</v>
      </c>
      <c r="S39" s="3578"/>
      <c r="T39" s="3578"/>
      <c r="U39" s="3578"/>
      <c r="V39" s="3578"/>
      <c r="W39" s="3578"/>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2485</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2486</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2343</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2308</v>
      </c>
      <c r="B51" s="467"/>
      <c r="C51" s="479" t="s">
        <v>2410</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2346</v>
      </c>
      <c r="B53" s="485" t="s">
        <v>2312</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2315</v>
      </c>
      <c r="C55" s="496" t="s">
        <v>2347</v>
      </c>
      <c r="D55" s="496" t="s">
        <v>2348</v>
      </c>
      <c r="E55" s="496" t="s">
        <v>2349</v>
      </c>
      <c r="F55" s="496" t="s">
        <v>2350</v>
      </c>
      <c r="G55" s="496" t="s">
        <v>2351</v>
      </c>
      <c r="H55" s="496" t="s">
        <v>2352</v>
      </c>
      <c r="I55" s="496" t="s">
        <v>2353</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2317</v>
      </c>
      <c r="B63" s="485" t="s">
        <v>2360</v>
      </c>
      <c r="C63" s="530" t="s">
        <v>2355</v>
      </c>
      <c r="D63" s="530" t="s">
        <v>2356</v>
      </c>
      <c r="E63" s="530" t="s">
        <v>2357</v>
      </c>
      <c r="F63" s="530" t="s">
        <v>2358</v>
      </c>
      <c r="G63" s="530" t="s">
        <v>2359</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2361</v>
      </c>
      <c r="C65" s="535" t="s">
        <v>2355</v>
      </c>
      <c r="D65" s="535" t="s">
        <v>2356</v>
      </c>
      <c r="E65" s="535" t="s">
        <v>2357</v>
      </c>
      <c r="F65" s="535" t="s">
        <v>2358</v>
      </c>
      <c r="G65" s="535" t="s">
        <v>2359</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2447</v>
      </c>
      <c r="C67" s="616" t="s">
        <v>2433</v>
      </c>
      <c r="D67" s="616" t="s">
        <v>2434</v>
      </c>
      <c r="E67" s="616" t="s">
        <v>2435</v>
      </c>
      <c r="F67" s="616" t="s">
        <v>2436</v>
      </c>
      <c r="G67" s="616" t="s">
        <v>2437</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2367</v>
      </c>
      <c r="C69" s="535" t="s">
        <v>2355</v>
      </c>
      <c r="D69" s="535" t="s">
        <v>2356</v>
      </c>
      <c r="E69" s="535" t="s">
        <v>2357</v>
      </c>
      <c r="F69" s="535" t="s">
        <v>2358</v>
      </c>
      <c r="G69" s="535" t="s">
        <v>2359</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2487</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2321</v>
      </c>
      <c r="B79" s="485" t="s">
        <v>2488</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2489</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2374</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2491</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2493</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2494</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2402</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2403</v>
      </c>
      <c r="B4" s="362"/>
      <c r="C4" s="3453" t="s">
        <v>2404</v>
      </c>
      <c r="D4" s="3480"/>
      <c r="E4" s="3481" t="s">
        <v>2405</v>
      </c>
      <c r="F4" s="3482"/>
      <c r="G4" s="3453" t="s">
        <v>2406</v>
      </c>
      <c r="H4" s="3480"/>
      <c r="I4" s="3453" t="s">
        <v>2407</v>
      </c>
      <c r="J4" s="3480"/>
      <c r="K4" s="567" t="s">
        <v>2408</v>
      </c>
      <c r="L4" s="2914"/>
      <c r="M4" s="2915"/>
      <c r="N4" s="2915"/>
      <c r="O4" s="2915"/>
      <c r="P4" s="3483" t="s">
        <v>2409</v>
      </c>
      <c r="Q4" s="3484"/>
      <c r="R4" s="3460" t="s">
        <v>2405</v>
      </c>
      <c r="S4" s="3461"/>
      <c r="T4" s="3460" t="s">
        <v>2406</v>
      </c>
      <c r="U4" s="3461"/>
      <c r="V4" s="3473" t="s">
        <v>2407</v>
      </c>
      <c r="W4" s="3473"/>
      <c r="X4" s="1509"/>
      <c r="Y4" s="3460" t="s">
        <v>2409</v>
      </c>
      <c r="Z4" s="3461"/>
      <c r="AA4" s="3477" t="s">
        <v>2405</v>
      </c>
      <c r="AB4" s="3478" t="s">
        <v>2406</v>
      </c>
      <c r="AC4" s="3477" t="s">
        <v>2407</v>
      </c>
    </row>
    <row r="5" spans="1:29" ht="15">
      <c r="A5" s="364"/>
      <c r="B5" s="365"/>
      <c r="C5" s="3464" t="s">
        <v>2300</v>
      </c>
      <c r="D5" s="3465"/>
      <c r="E5" s="3489" t="s">
        <v>2301</v>
      </c>
      <c r="F5" s="3490"/>
      <c r="G5" s="3464" t="s">
        <v>2302</v>
      </c>
      <c r="H5" s="3465"/>
      <c r="I5" s="3464" t="s">
        <v>2303</v>
      </c>
      <c r="J5" s="3465"/>
      <c r="K5" s="567"/>
      <c r="L5" s="2914"/>
      <c r="M5" s="2915"/>
      <c r="N5" s="2915"/>
      <c r="O5" s="2915"/>
      <c r="P5" s="3485"/>
      <c r="Q5" s="3486"/>
      <c r="R5" s="3462"/>
      <c r="S5" s="3463"/>
      <c r="T5" s="3462"/>
      <c r="U5" s="3463"/>
      <c r="V5" s="3473"/>
      <c r="W5" s="3473"/>
      <c r="X5" s="1509"/>
      <c r="Y5" s="3462"/>
      <c r="Z5" s="3463"/>
      <c r="AA5" s="3478"/>
      <c r="AB5" s="3478"/>
      <c r="AC5" s="3478"/>
    </row>
    <row r="6" spans="1:29" ht="15.75" thickBot="1">
      <c r="A6" s="366"/>
      <c r="B6" s="367"/>
      <c r="C6" s="3559" t="s">
        <v>2304</v>
      </c>
      <c r="D6" s="3560"/>
      <c r="E6" s="3561" t="s">
        <v>2304</v>
      </c>
      <c r="F6" s="3562"/>
      <c r="G6" s="3559" t="s">
        <v>2304</v>
      </c>
      <c r="H6" s="3560"/>
      <c r="I6" s="3559" t="s">
        <v>2304</v>
      </c>
      <c r="J6" s="3560"/>
      <c r="K6" s="567" t="s">
        <v>2305</v>
      </c>
      <c r="L6" s="2914"/>
      <c r="M6" s="2915"/>
      <c r="N6" s="2915"/>
      <c r="O6" s="2915"/>
      <c r="P6" s="3487"/>
      <c r="Q6" s="3488"/>
      <c r="R6" s="3462"/>
      <c r="S6" s="3463"/>
      <c r="T6" s="3471"/>
      <c r="U6" s="3472"/>
      <c r="V6" s="3473"/>
      <c r="W6" s="3473"/>
      <c r="X6" s="1509"/>
      <c r="Y6" s="3471"/>
      <c r="Z6" s="3472"/>
      <c r="AA6" s="3479"/>
      <c r="AB6" s="3479"/>
      <c r="AC6" s="3479"/>
    </row>
    <row r="7" spans="1:29" s="113" customFormat="1" ht="15.75" thickBot="1">
      <c r="A7" s="368" t="s">
        <v>2306</v>
      </c>
      <c r="B7" s="369"/>
      <c r="C7" s="370">
        <f>'数据-取费表'!B2</f>
        <v>44610</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58" t="s">
        <v>2307</v>
      </c>
      <c r="Q7" s="3468"/>
      <c r="R7" s="710" t="s">
        <v>17</v>
      </c>
      <c r="S7" s="711">
        <f t="shared" ref="S7:S14" si="0">F7</f>
        <v>0</v>
      </c>
      <c r="T7" s="710" t="s">
        <v>17</v>
      </c>
      <c r="U7" s="711">
        <f t="shared" ref="U7:U14" si="1">H7</f>
        <v>0</v>
      </c>
      <c r="V7" s="710" t="s">
        <v>17</v>
      </c>
      <c r="W7" s="711">
        <f t="shared" ref="W7:W14" si="2">J7</f>
        <v>0</v>
      </c>
      <c r="X7" s="712"/>
      <c r="Y7" s="3458" t="s">
        <v>2307</v>
      </c>
      <c r="Z7" s="3459"/>
      <c r="AA7" s="713" t="e">
        <f>D7/F7</f>
        <v>#DIV/0!</v>
      </c>
      <c r="AB7" s="713" t="e">
        <f>D7/H7</f>
        <v>#DIV/0!</v>
      </c>
      <c r="AC7" s="713" t="e">
        <f>D7/J7</f>
        <v>#DIV/0!</v>
      </c>
    </row>
    <row r="8" spans="1:29" s="113" customFormat="1" ht="15.7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58" t="s">
        <v>2310</v>
      </c>
      <c r="Q8" s="3459"/>
      <c r="R8" s="710" t="s">
        <v>17</v>
      </c>
      <c r="S8" s="711">
        <f t="shared" si="0"/>
        <v>0</v>
      </c>
      <c r="T8" s="710" t="s">
        <v>17</v>
      </c>
      <c r="U8" s="711">
        <f t="shared" si="1"/>
        <v>0</v>
      </c>
      <c r="V8" s="710" t="s">
        <v>17</v>
      </c>
      <c r="W8" s="711">
        <f t="shared" si="2"/>
        <v>0</v>
      </c>
      <c r="X8" s="712"/>
      <c r="Y8" s="3458" t="s">
        <v>2310</v>
      </c>
      <c r="Z8" s="3459"/>
      <c r="AA8" s="713" t="e">
        <f t="shared" ref="AA8:AA34" si="3">D8/F8</f>
        <v>#DIV/0!</v>
      </c>
      <c r="AB8" s="713" t="e">
        <f t="shared" ref="AB8:AB34" si="4">D8/H8</f>
        <v>#DIV/0!</v>
      </c>
      <c r="AC8" s="713" t="e">
        <f t="shared" ref="AC8:AC34" si="5">D8/J8</f>
        <v>#DIV/0!</v>
      </c>
    </row>
    <row r="9" spans="1:29" s="113" customFormat="1">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56" t="s">
        <v>2313</v>
      </c>
      <c r="Q9" s="1497" t="str">
        <f t="shared" ref="Q9:Q14" si="6">B9</f>
        <v>用途</v>
      </c>
      <c r="R9" s="710" t="s">
        <v>17</v>
      </c>
      <c r="S9" s="711">
        <f t="shared" si="0"/>
        <v>100</v>
      </c>
      <c r="T9" s="710" t="s">
        <v>17</v>
      </c>
      <c r="U9" s="711">
        <f t="shared" si="1"/>
        <v>100</v>
      </c>
      <c r="V9" s="710" t="s">
        <v>17</v>
      </c>
      <c r="W9" s="711">
        <f t="shared" si="2"/>
        <v>100</v>
      </c>
      <c r="X9" s="712"/>
      <c r="Y9" s="3357" t="s">
        <v>2314</v>
      </c>
      <c r="Z9" s="55" t="str">
        <f t="shared" ref="Z9:Z14" si="7">Q9</f>
        <v>用途</v>
      </c>
      <c r="AA9" s="713">
        <f t="shared" si="3"/>
        <v>1</v>
      </c>
      <c r="AB9" s="713">
        <f t="shared" si="4"/>
        <v>1</v>
      </c>
      <c r="AC9" s="713">
        <f t="shared" si="5"/>
        <v>1</v>
      </c>
    </row>
    <row r="10" spans="1:29" s="386" customFormat="1" ht="27">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56"/>
      <c r="Q10" s="1497" t="str">
        <f t="shared" si="6"/>
        <v>土地使用年限（年）</v>
      </c>
      <c r="R10" s="710" t="s">
        <v>17</v>
      </c>
      <c r="S10" s="711">
        <f t="shared" si="0"/>
        <v>100</v>
      </c>
      <c r="T10" s="710" t="s">
        <v>17</v>
      </c>
      <c r="U10" s="711">
        <f t="shared" si="1"/>
        <v>100</v>
      </c>
      <c r="V10" s="710" t="s">
        <v>17</v>
      </c>
      <c r="W10" s="711">
        <f t="shared" si="2"/>
        <v>100</v>
      </c>
      <c r="X10" s="712"/>
      <c r="Y10" s="3357"/>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56"/>
      <c r="Q11" s="1497">
        <f t="shared" si="6"/>
        <v>111</v>
      </c>
      <c r="R11" s="710" t="s">
        <v>17</v>
      </c>
      <c r="S11" s="711">
        <f t="shared" si="0"/>
        <v>100</v>
      </c>
      <c r="T11" s="710" t="s">
        <v>17</v>
      </c>
      <c r="U11" s="711">
        <f t="shared" si="1"/>
        <v>100</v>
      </c>
      <c r="V11" s="710" t="s">
        <v>17</v>
      </c>
      <c r="W11" s="711">
        <f t="shared" si="2"/>
        <v>100</v>
      </c>
      <c r="X11" s="712"/>
      <c r="Y11" s="3357"/>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56"/>
      <c r="Q12" s="1497">
        <f t="shared" si="6"/>
        <v>111</v>
      </c>
      <c r="R12" s="710" t="s">
        <v>17</v>
      </c>
      <c r="S12" s="711">
        <f t="shared" si="0"/>
        <v>100</v>
      </c>
      <c r="T12" s="710" t="s">
        <v>17</v>
      </c>
      <c r="U12" s="711">
        <f t="shared" si="1"/>
        <v>100</v>
      </c>
      <c r="V12" s="710" t="s">
        <v>17</v>
      </c>
      <c r="W12" s="711">
        <f t="shared" si="2"/>
        <v>100</v>
      </c>
      <c r="X12" s="712"/>
      <c r="Y12" s="3357"/>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56"/>
      <c r="Q13" s="1497">
        <f t="shared" si="6"/>
        <v>111</v>
      </c>
      <c r="R13" s="710" t="s">
        <v>17</v>
      </c>
      <c r="S13" s="711">
        <f t="shared" si="0"/>
        <v>100</v>
      </c>
      <c r="T13" s="710" t="s">
        <v>17</v>
      </c>
      <c r="U13" s="711">
        <f t="shared" si="1"/>
        <v>100</v>
      </c>
      <c r="V13" s="710" t="s">
        <v>17</v>
      </c>
      <c r="W13" s="711">
        <f t="shared" si="2"/>
        <v>100</v>
      </c>
      <c r="X13" s="712"/>
      <c r="Y13" s="3357"/>
      <c r="Z13" s="55">
        <f t="shared" si="7"/>
        <v>111</v>
      </c>
      <c r="AA13" s="713">
        <f t="shared" si="3"/>
        <v>1</v>
      </c>
      <c r="AB13" s="713">
        <f t="shared" si="4"/>
        <v>1</v>
      </c>
      <c r="AC13" s="713">
        <f t="shared" si="5"/>
        <v>1</v>
      </c>
    </row>
    <row r="14" spans="1:29" ht="85.5">
      <c r="A14" s="399" t="s">
        <v>2317</v>
      </c>
      <c r="B14" s="65" t="s">
        <v>2467</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74" t="s">
        <v>2318</v>
      </c>
      <c r="Q14" s="1506" t="str">
        <f t="shared" si="6"/>
        <v>交通便捷度</v>
      </c>
      <c r="R14" s="714" t="s">
        <v>17</v>
      </c>
      <c r="S14" s="715">
        <f t="shared" si="0"/>
        <v>100</v>
      </c>
      <c r="T14" s="714" t="s">
        <v>17</v>
      </c>
      <c r="U14" s="715">
        <f t="shared" si="1"/>
        <v>100</v>
      </c>
      <c r="V14" s="714" t="s">
        <v>17</v>
      </c>
      <c r="W14" s="715">
        <f t="shared" si="2"/>
        <v>100</v>
      </c>
      <c r="X14" s="1509"/>
      <c r="Y14" s="3474" t="s">
        <v>2318</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75"/>
      <c r="Q15" s="1506"/>
      <c r="R15" s="714"/>
      <c r="S15" s="715"/>
      <c r="T15" s="714"/>
      <c r="U15" s="715"/>
      <c r="V15" s="714"/>
      <c r="W15" s="715"/>
      <c r="X15" s="1509"/>
      <c r="Y15" s="3475"/>
      <c r="Z15" s="1510"/>
      <c r="AA15" s="1507">
        <v>1</v>
      </c>
      <c r="AB15" s="1507">
        <v>1</v>
      </c>
      <c r="AC15" s="1507">
        <v>1</v>
      </c>
    </row>
    <row r="16" spans="1:29" ht="42.75">
      <c r="A16" s="387"/>
      <c r="B16" s="410" t="s">
        <v>2446</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75"/>
      <c r="Q16" s="1506" t="str">
        <f>B16</f>
        <v>公共配套设施</v>
      </c>
      <c r="R16" s="714" t="s">
        <v>17</v>
      </c>
      <c r="S16" s="715">
        <f>F16</f>
        <v>100</v>
      </c>
      <c r="T16" s="714" t="s">
        <v>17</v>
      </c>
      <c r="U16" s="715">
        <f>H16</f>
        <v>100</v>
      </c>
      <c r="V16" s="714" t="s">
        <v>17</v>
      </c>
      <c r="W16" s="715">
        <f>J16</f>
        <v>100</v>
      </c>
      <c r="X16" s="1509"/>
      <c r="Y16" s="347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75"/>
      <c r="Q17" s="1506"/>
      <c r="R17" s="714"/>
      <c r="S17" s="715"/>
      <c r="T17" s="714"/>
      <c r="U17" s="715"/>
      <c r="V17" s="714"/>
      <c r="W17" s="715"/>
      <c r="X17" s="1509"/>
      <c r="Y17" s="3475"/>
      <c r="Z17" s="1510"/>
      <c r="AA17" s="1507">
        <v>1</v>
      </c>
      <c r="AB17" s="1507">
        <v>1</v>
      </c>
      <c r="AC17" s="1507">
        <v>1</v>
      </c>
    </row>
    <row r="18" spans="1:29" ht="28.5">
      <c r="A18" s="387"/>
      <c r="B18" s="1265" t="s">
        <v>2447</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75"/>
      <c r="Q18" s="1506" t="str">
        <f>B18</f>
        <v>基础设施水平</v>
      </c>
      <c r="R18" s="714" t="s">
        <v>17</v>
      </c>
      <c r="S18" s="715">
        <f>F18</f>
        <v>100</v>
      </c>
      <c r="T18" s="714" t="s">
        <v>17</v>
      </c>
      <c r="U18" s="715">
        <f>H18</f>
        <v>100</v>
      </c>
      <c r="V18" s="714" t="s">
        <v>17</v>
      </c>
      <c r="W18" s="715">
        <f>J18</f>
        <v>100</v>
      </c>
      <c r="X18" s="1509"/>
      <c r="Y18" s="347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75"/>
      <c r="Q19" s="1506"/>
      <c r="R19" s="714"/>
      <c r="S19" s="715"/>
      <c r="T19" s="714"/>
      <c r="U19" s="715"/>
      <c r="V19" s="714"/>
      <c r="W19" s="715"/>
      <c r="X19" s="1509"/>
      <c r="Y19" s="3475"/>
      <c r="Z19" s="1510"/>
      <c r="AA19" s="1507">
        <v>1</v>
      </c>
      <c r="AB19" s="1507">
        <v>1</v>
      </c>
      <c r="AC19" s="1507">
        <v>1</v>
      </c>
    </row>
    <row r="20" spans="1:29" ht="57">
      <c r="A20" s="387"/>
      <c r="B20" s="410" t="s">
        <v>2468</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75"/>
      <c r="Q20" s="1506" t="str">
        <f>B20</f>
        <v>自然及人文环境</v>
      </c>
      <c r="R20" s="714" t="s">
        <v>17</v>
      </c>
      <c r="S20" s="715">
        <f>F20</f>
        <v>100</v>
      </c>
      <c r="T20" s="714" t="s">
        <v>17</v>
      </c>
      <c r="U20" s="715">
        <f>H20</f>
        <v>100</v>
      </c>
      <c r="V20" s="714" t="s">
        <v>17</v>
      </c>
      <c r="W20" s="715">
        <f>J20</f>
        <v>100</v>
      </c>
      <c r="X20" s="1509"/>
      <c r="Y20" s="347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75"/>
      <c r="Q21" s="1506"/>
      <c r="R21" s="714"/>
      <c r="S21" s="715"/>
      <c r="T21" s="714"/>
      <c r="U21" s="715"/>
      <c r="V21" s="714"/>
      <c r="W21" s="715"/>
      <c r="X21" s="1509"/>
      <c r="Y21" s="3475"/>
      <c r="Z21" s="1510"/>
      <c r="AA21" s="1507">
        <v>1</v>
      </c>
      <c r="AB21" s="1507">
        <v>1</v>
      </c>
      <c r="AC21" s="1507">
        <v>1</v>
      </c>
    </row>
    <row r="22" spans="1:29" ht="1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75"/>
      <c r="Q22" s="1506" t="str">
        <f>B22</f>
        <v>楼层</v>
      </c>
      <c r="R22" s="714" t="s">
        <v>17</v>
      </c>
      <c r="S22" s="715">
        <f>F22</f>
        <v>100</v>
      </c>
      <c r="T22" s="714" t="s">
        <v>17</v>
      </c>
      <c r="U22" s="715">
        <f>H22</f>
        <v>100</v>
      </c>
      <c r="V22" s="714" t="s">
        <v>17</v>
      </c>
      <c r="W22" s="715">
        <f>J22</f>
        <v>100</v>
      </c>
      <c r="X22" s="1509"/>
      <c r="Y22" s="347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75"/>
      <c r="Q23" s="1506">
        <f>B23</f>
        <v>111</v>
      </c>
      <c r="R23" s="714" t="s">
        <v>17</v>
      </c>
      <c r="S23" s="715">
        <f>F23</f>
        <v>100</v>
      </c>
      <c r="T23" s="714" t="s">
        <v>17</v>
      </c>
      <c r="U23" s="715">
        <f>H23</f>
        <v>100</v>
      </c>
      <c r="V23" s="714" t="s">
        <v>17</v>
      </c>
      <c r="W23" s="715">
        <f>J23</f>
        <v>100</v>
      </c>
      <c r="X23" s="1509"/>
      <c r="Y23" s="347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75"/>
      <c r="Q24" s="1506">
        <f t="shared" ref="Q24:Q34" si="11">B24</f>
        <v>111</v>
      </c>
      <c r="R24" s="714" t="s">
        <v>17</v>
      </c>
      <c r="S24" s="715">
        <f>F24</f>
        <v>100</v>
      </c>
      <c r="T24" s="714" t="s">
        <v>17</v>
      </c>
      <c r="U24" s="715">
        <f>H24</f>
        <v>100</v>
      </c>
      <c r="V24" s="714" t="s">
        <v>17</v>
      </c>
      <c r="W24" s="715">
        <f>J24</f>
        <v>100</v>
      </c>
      <c r="X24" s="1509"/>
      <c r="Y24" s="347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75"/>
      <c r="Q25" s="1497">
        <f t="shared" si="11"/>
        <v>111</v>
      </c>
      <c r="R25" s="710" t="s">
        <v>17</v>
      </c>
      <c r="S25" s="711">
        <f>F25</f>
        <v>100</v>
      </c>
      <c r="T25" s="710" t="s">
        <v>17</v>
      </c>
      <c r="U25" s="711">
        <f>H25</f>
        <v>100</v>
      </c>
      <c r="V25" s="710" t="s">
        <v>17</v>
      </c>
      <c r="W25" s="711">
        <f>J25</f>
        <v>100</v>
      </c>
      <c r="X25" s="712"/>
      <c r="Y25" s="3475"/>
      <c r="Z25" s="55">
        <f>Q25</f>
        <v>111</v>
      </c>
      <c r="AA25" s="1507">
        <f>D25/F25</f>
        <v>1</v>
      </c>
      <c r="AB25" s="1507">
        <f>D25/H25</f>
        <v>1</v>
      </c>
      <c r="AC25" s="1507">
        <f>D25/J25</f>
        <v>1</v>
      </c>
    </row>
    <row r="26" spans="1:29" ht="28.5">
      <c r="A26" s="425" t="s">
        <v>2321</v>
      </c>
      <c r="B26" s="67" t="s">
        <v>2472</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1" t="s">
        <v>2323</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6" t="s">
        <v>2323</v>
      </c>
      <c r="Z26" s="1510" t="str">
        <f t="shared" ref="Z26:Z34" si="15">Q26</f>
        <v>公共部分装修</v>
      </c>
      <c r="AA26" s="1507">
        <f t="shared" si="3"/>
        <v>1</v>
      </c>
      <c r="AB26" s="1507">
        <f t="shared" si="4"/>
        <v>1</v>
      </c>
      <c r="AC26" s="1507">
        <f t="shared" si="5"/>
        <v>1</v>
      </c>
    </row>
    <row r="27" spans="1:29" s="430" customFormat="1" ht="1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6"/>
      <c r="Q27" s="716" t="str">
        <f t="shared" si="11"/>
        <v>成新率</v>
      </c>
      <c r="R27" s="717" t="s">
        <v>17</v>
      </c>
      <c r="S27" s="718" t="e">
        <f t="shared" si="12"/>
        <v>#N/A</v>
      </c>
      <c r="T27" s="717" t="s">
        <v>17</v>
      </c>
      <c r="U27" s="718" t="e">
        <f t="shared" si="13"/>
        <v>#N/A</v>
      </c>
      <c r="V27" s="717" t="s">
        <v>17</v>
      </c>
      <c r="W27" s="718" t="e">
        <f t="shared" si="14"/>
        <v>#N/A</v>
      </c>
      <c r="X27" s="719"/>
      <c r="Y27" s="3476"/>
      <c r="Z27" s="720" t="str">
        <f t="shared" si="15"/>
        <v>成新率</v>
      </c>
      <c r="AA27" s="1507" t="e">
        <f t="shared" si="3"/>
        <v>#N/A</v>
      </c>
      <c r="AB27" s="1507" t="e">
        <f t="shared" si="4"/>
        <v>#N/A</v>
      </c>
      <c r="AC27" s="1507" t="e">
        <f t="shared" si="5"/>
        <v>#N/A</v>
      </c>
    </row>
    <row r="28" spans="1:29" ht="1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6"/>
      <c r="Q28" s="1506" t="str">
        <f t="shared" si="11"/>
        <v>物业等级</v>
      </c>
      <c r="R28" s="714" t="s">
        <v>17</v>
      </c>
      <c r="S28" s="715">
        <f t="shared" si="12"/>
        <v>100</v>
      </c>
      <c r="T28" s="714" t="s">
        <v>17</v>
      </c>
      <c r="U28" s="715">
        <f t="shared" si="13"/>
        <v>100</v>
      </c>
      <c r="V28" s="714" t="s">
        <v>17</v>
      </c>
      <c r="W28" s="715">
        <f t="shared" si="14"/>
        <v>100</v>
      </c>
      <c r="X28" s="1509"/>
      <c r="Y28" s="3476"/>
      <c r="Z28" s="1510" t="str">
        <f t="shared" si="15"/>
        <v>物业等级</v>
      </c>
      <c r="AA28" s="1507">
        <f t="shared" si="3"/>
        <v>1</v>
      </c>
      <c r="AB28" s="1507">
        <f t="shared" si="4"/>
        <v>1</v>
      </c>
      <c r="AC28" s="1507">
        <f t="shared" si="5"/>
        <v>1</v>
      </c>
    </row>
    <row r="29" spans="1:29" ht="1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6"/>
      <c r="Q29" s="1506" t="str">
        <f t="shared" si="11"/>
        <v>有无电梯</v>
      </c>
      <c r="R29" s="714" t="s">
        <v>17</v>
      </c>
      <c r="S29" s="715">
        <f t="shared" si="12"/>
        <v>100</v>
      </c>
      <c r="T29" s="714" t="s">
        <v>17</v>
      </c>
      <c r="U29" s="715">
        <f t="shared" si="13"/>
        <v>100</v>
      </c>
      <c r="V29" s="714" t="s">
        <v>17</v>
      </c>
      <c r="W29" s="715">
        <f t="shared" si="14"/>
        <v>100</v>
      </c>
      <c r="X29" s="1509"/>
      <c r="Y29" s="3476"/>
      <c r="Z29" s="1510" t="str">
        <f t="shared" si="15"/>
        <v>有无电梯</v>
      </c>
      <c r="AA29" s="1507">
        <f t="shared" si="3"/>
        <v>1</v>
      </c>
      <c r="AB29" s="1507">
        <f t="shared" si="4"/>
        <v>1</v>
      </c>
      <c r="AC29" s="1507">
        <f t="shared" si="5"/>
        <v>1</v>
      </c>
    </row>
    <row r="30" spans="1:29" ht="1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6"/>
      <c r="Q30" s="1506" t="str">
        <f t="shared" si="11"/>
        <v>建筑面积</v>
      </c>
      <c r="R30" s="714" t="s">
        <v>17</v>
      </c>
      <c r="S30" s="715" t="e">
        <f t="shared" si="12"/>
        <v>#N/A</v>
      </c>
      <c r="T30" s="714" t="s">
        <v>17</v>
      </c>
      <c r="U30" s="715" t="e">
        <f t="shared" si="13"/>
        <v>#N/A</v>
      </c>
      <c r="V30" s="714" t="s">
        <v>17</v>
      </c>
      <c r="W30" s="715" t="e">
        <f t="shared" si="14"/>
        <v>#N/A</v>
      </c>
      <c r="X30" s="1509"/>
      <c r="Y30" s="3476"/>
      <c r="Z30" s="1510" t="str">
        <f t="shared" si="15"/>
        <v>建筑面积</v>
      </c>
      <c r="AA30" s="1507" t="e">
        <f t="shared" si="3"/>
        <v>#N/A</v>
      </c>
      <c r="AB30" s="1507" t="e">
        <f t="shared" si="4"/>
        <v>#N/A</v>
      </c>
      <c r="AC30" s="1507" t="e">
        <f t="shared" si="5"/>
        <v>#N/A</v>
      </c>
    </row>
    <row r="31" spans="1:29" s="113" customFormat="1" ht="1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6"/>
      <c r="Q31" s="1497" t="str">
        <f t="shared" si="11"/>
        <v>是否封闭</v>
      </c>
      <c r="R31" s="710" t="s">
        <v>17</v>
      </c>
      <c r="S31" s="711">
        <f t="shared" si="12"/>
        <v>100</v>
      </c>
      <c r="T31" s="710" t="s">
        <v>17</v>
      </c>
      <c r="U31" s="711">
        <f t="shared" si="13"/>
        <v>100</v>
      </c>
      <c r="V31" s="710" t="s">
        <v>17</v>
      </c>
      <c r="W31" s="711">
        <f t="shared" si="14"/>
        <v>100</v>
      </c>
      <c r="X31" s="712"/>
      <c r="Y31" s="347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6" t="s">
        <v>2323</v>
      </c>
      <c r="Q32" s="1506">
        <f t="shared" si="11"/>
        <v>111</v>
      </c>
      <c r="R32" s="714" t="s">
        <v>17</v>
      </c>
      <c r="S32" s="715">
        <f t="shared" si="12"/>
        <v>100</v>
      </c>
      <c r="T32" s="714" t="s">
        <v>17</v>
      </c>
      <c r="U32" s="715">
        <f t="shared" si="13"/>
        <v>100</v>
      </c>
      <c r="V32" s="714" t="s">
        <v>17</v>
      </c>
      <c r="W32" s="715">
        <f t="shared" si="14"/>
        <v>100</v>
      </c>
      <c r="X32" s="1509"/>
      <c r="Y32" s="3476" t="s">
        <v>2323</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6"/>
      <c r="Q33" s="1506">
        <f t="shared" si="11"/>
        <v>111</v>
      </c>
      <c r="R33" s="714" t="s">
        <v>17</v>
      </c>
      <c r="S33" s="715">
        <f t="shared" si="12"/>
        <v>100</v>
      </c>
      <c r="T33" s="714" t="s">
        <v>17</v>
      </c>
      <c r="U33" s="715">
        <f t="shared" si="13"/>
        <v>100</v>
      </c>
      <c r="V33" s="714" t="s">
        <v>17</v>
      </c>
      <c r="W33" s="715">
        <f t="shared" si="14"/>
        <v>100</v>
      </c>
      <c r="X33" s="1509"/>
      <c r="Y33" s="347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6"/>
      <c r="Q34" s="1506">
        <f t="shared" si="11"/>
        <v>111</v>
      </c>
      <c r="R34" s="714" t="s">
        <v>17</v>
      </c>
      <c r="S34" s="715">
        <f t="shared" si="12"/>
        <v>100</v>
      </c>
      <c r="T34" s="714" t="s">
        <v>17</v>
      </c>
      <c r="U34" s="715">
        <f t="shared" si="13"/>
        <v>100</v>
      </c>
      <c r="V34" s="714" t="s">
        <v>17</v>
      </c>
      <c r="W34" s="715">
        <f t="shared" si="14"/>
        <v>100</v>
      </c>
      <c r="X34" s="1509"/>
      <c r="Y34" s="3476"/>
      <c r="Z34" s="1510">
        <f t="shared" si="15"/>
        <v>111</v>
      </c>
      <c r="AA34" s="1507">
        <f t="shared" si="3"/>
        <v>1</v>
      </c>
      <c r="AB34" s="1507">
        <f t="shared" si="4"/>
        <v>1</v>
      </c>
      <c r="AC34" s="1507">
        <f t="shared" si="5"/>
        <v>1</v>
      </c>
    </row>
    <row r="35" spans="1:30" ht="15">
      <c r="A35" s="438" t="s">
        <v>2335</v>
      </c>
      <c r="B35" s="439"/>
      <c r="C35" s="1288" t="s">
        <v>1</v>
      </c>
      <c r="D35" s="1289"/>
      <c r="E35" s="1290"/>
      <c r="F35" s="1291"/>
      <c r="G35" s="1292"/>
      <c r="H35" s="1293"/>
      <c r="I35" s="1290"/>
      <c r="J35" s="1293"/>
      <c r="K35" s="723"/>
      <c r="L35" s="2923"/>
      <c r="M35" s="2924"/>
      <c r="N35" s="2915"/>
      <c r="O35" s="2924"/>
      <c r="P35" s="3456" t="str">
        <f>A35</f>
        <v>成交单价（元/平方米）</v>
      </c>
      <c r="Q35" s="3456"/>
      <c r="R35" s="3552">
        <f>E35</f>
        <v>0</v>
      </c>
      <c r="S35" s="3552"/>
      <c r="T35" s="3552">
        <f>G35</f>
        <v>0</v>
      </c>
      <c r="U35" s="3552"/>
      <c r="V35" s="3552">
        <f>I35</f>
        <v>0</v>
      </c>
      <c r="W35" s="3552"/>
      <c r="X35" s="699"/>
      <c r="Y35" s="721"/>
      <c r="Z35" s="699"/>
      <c r="AA35" s="699"/>
      <c r="AB35" s="699"/>
      <c r="AC35" s="699"/>
    </row>
    <row r="36" spans="1:30" ht="15.75" thickBot="1">
      <c r="A36" s="445" t="s">
        <v>2427</v>
      </c>
      <c r="B36" s="446"/>
      <c r="C36" s="1294" t="e">
        <f>R37</f>
        <v>#DIV/0!</v>
      </c>
      <c r="D36" s="2508" t="s">
        <v>2816</v>
      </c>
      <c r="E36" s="1295" t="e">
        <f>R36</f>
        <v>#DIV/0!</v>
      </c>
      <c r="F36" s="2509"/>
      <c r="G36" s="1294" t="e">
        <f>T36</f>
        <v>#DIV/0!</v>
      </c>
      <c r="H36" s="2509"/>
      <c r="I36" s="1295" t="e">
        <f>V36</f>
        <v>#DIV/0!</v>
      </c>
      <c r="J36" s="2509"/>
      <c r="K36" s="2511">
        <f>F36+H36+J36</f>
        <v>0</v>
      </c>
      <c r="L36" s="2923"/>
      <c r="M36" s="2924"/>
      <c r="N36" s="2915"/>
      <c r="O36" s="2924"/>
      <c r="P36" s="3456" t="str">
        <f>A36</f>
        <v>比较价值（元/平方米）</v>
      </c>
      <c r="Q36" s="3456"/>
      <c r="R36" s="3552" t="e">
        <f>IF(F1="售价",ROUND(PRODUCT(R35,AA7:AA34),0),ROUND(PRODUCT(R35,AA7:AA34),1))</f>
        <v>#DIV/0!</v>
      </c>
      <c r="S36" s="3552"/>
      <c r="T36" s="3552" t="e">
        <f>IF(F1="售价",ROUND(PRODUCT(T35,AB7:AB34),0),ROUND(PRODUCT(T35,AB7:AB34),1))</f>
        <v>#DIV/0!</v>
      </c>
      <c r="U36" s="3552"/>
      <c r="V36" s="3552" t="e">
        <f>IF(F1="售价",ROUND(PRODUCT(V35,AC7:AC34),0),ROUND(PRODUCT(V35,AC7:AC34),1))</f>
        <v>#DIV/0!</v>
      </c>
      <c r="W36" s="3552"/>
      <c r="X36" s="699"/>
      <c r="Y36" s="699"/>
      <c r="Z36" s="699"/>
      <c r="AA36" s="699"/>
      <c r="AB36" s="699"/>
      <c r="AC36" s="699"/>
    </row>
    <row r="37" spans="1:30" ht="15.75" thickBot="1">
      <c r="A37" s="449" t="s">
        <v>2428</v>
      </c>
      <c r="B37" s="450"/>
      <c r="C37" s="1297" t="e">
        <f>R37</f>
        <v>#DIV/0!</v>
      </c>
      <c r="D37" s="1297"/>
      <c r="E37" s="1297"/>
      <c r="F37" s="1297"/>
      <c r="G37" s="1297"/>
      <c r="H37" s="1297"/>
      <c r="I37" s="1297"/>
      <c r="J37" s="1297"/>
      <c r="K37" s="724"/>
      <c r="L37" s="2923"/>
      <c r="M37" s="2924"/>
      <c r="N37" s="2924"/>
      <c r="O37" s="2924"/>
      <c r="P37" s="3492" t="str">
        <f>A37</f>
        <v>估价对象XX用房的比较价值（楼面单价，元/平方米）</v>
      </c>
      <c r="Q37" s="3493"/>
      <c r="R37" s="3578" t="e">
        <f>IF(F1="售价",ROUND(IF(D36="简单平均",AVERAGE(R36:W36),R36*F36+T36*H36+V36*J36),0),ROUND(IF(D36="简单平均",AVERAGE(R36:V36),R36*F36+T36*H36+V36*J36),1))</f>
        <v>#DIV/0!</v>
      </c>
      <c r="S37" s="3578"/>
      <c r="T37" s="3578"/>
      <c r="U37" s="3578"/>
      <c r="V37" s="3578"/>
      <c r="W37" s="3578"/>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2432</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2306</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2343</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2308</v>
      </c>
      <c r="B49" s="467"/>
      <c r="C49" s="479" t="s">
        <v>2410</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2346</v>
      </c>
      <c r="B51" s="485" t="s">
        <v>2312</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2315</v>
      </c>
      <c r="C53" s="496" t="s">
        <v>2347</v>
      </c>
      <c r="D53" s="496" t="s">
        <v>2348</v>
      </c>
      <c r="E53" s="496" t="s">
        <v>2349</v>
      </c>
      <c r="F53" s="496" t="s">
        <v>2350</v>
      </c>
      <c r="G53" s="496" t="s">
        <v>2351</v>
      </c>
      <c r="H53" s="496" t="s">
        <v>2352</v>
      </c>
      <c r="I53" s="496" t="s">
        <v>2353</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2317</v>
      </c>
      <c r="B61" s="485" t="s">
        <v>2360</v>
      </c>
      <c r="C61" s="530" t="s">
        <v>2355</v>
      </c>
      <c r="D61" s="530" t="s">
        <v>2356</v>
      </c>
      <c r="E61" s="530" t="s">
        <v>2357</v>
      </c>
      <c r="F61" s="530" t="s">
        <v>2358</v>
      </c>
      <c r="G61" s="530" t="s">
        <v>2359</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2498</v>
      </c>
      <c r="C63" s="535" t="s">
        <v>2355</v>
      </c>
      <c r="D63" s="535" t="s">
        <v>2356</v>
      </c>
      <c r="E63" s="535" t="s">
        <v>2357</v>
      </c>
      <c r="F63" s="535" t="s">
        <v>2358</v>
      </c>
      <c r="G63" s="535" t="s">
        <v>2359</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2447</v>
      </c>
      <c r="C65" s="616" t="s">
        <v>2433</v>
      </c>
      <c r="D65" s="616" t="s">
        <v>2434</v>
      </c>
      <c r="E65" s="616" t="s">
        <v>2435</v>
      </c>
      <c r="F65" s="616" t="s">
        <v>2436</v>
      </c>
      <c r="G65" s="616" t="s">
        <v>2437</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2367</v>
      </c>
      <c r="C67" s="535" t="s">
        <v>2355</v>
      </c>
      <c r="D67" s="535" t="s">
        <v>2356</v>
      </c>
      <c r="E67" s="535" t="s">
        <v>2357</v>
      </c>
      <c r="F67" s="535" t="s">
        <v>2358</v>
      </c>
      <c r="G67" s="535" t="s">
        <v>2359</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2487</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2321</v>
      </c>
      <c r="B77" s="485" t="s">
        <v>2374</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2491</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2499</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2501</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2403</v>
      </c>
      <c r="B4" s="362"/>
      <c r="C4" s="3453" t="s">
        <v>2404</v>
      </c>
      <c r="D4" s="3480"/>
      <c r="E4" s="3481" t="s">
        <v>2405</v>
      </c>
      <c r="F4" s="3482"/>
      <c r="G4" s="3453" t="s">
        <v>2406</v>
      </c>
      <c r="H4" s="3480"/>
      <c r="I4" s="3453" t="s">
        <v>2407</v>
      </c>
      <c r="J4" s="3480"/>
      <c r="K4" s="567" t="s">
        <v>2408</v>
      </c>
      <c r="L4" s="2914"/>
      <c r="M4" s="2915"/>
      <c r="N4" s="2915"/>
      <c r="O4" s="2915"/>
      <c r="P4" s="3483" t="s">
        <v>2409</v>
      </c>
      <c r="Q4" s="3484"/>
      <c r="R4" s="3460" t="s">
        <v>2405</v>
      </c>
      <c r="S4" s="3461"/>
      <c r="T4" s="3460" t="s">
        <v>2406</v>
      </c>
      <c r="U4" s="3461"/>
      <c r="V4" s="3473" t="s">
        <v>2407</v>
      </c>
      <c r="W4" s="3473"/>
      <c r="X4" s="1509"/>
      <c r="Y4" s="3460" t="s">
        <v>2409</v>
      </c>
      <c r="Z4" s="3461"/>
      <c r="AA4" s="3477" t="s">
        <v>2405</v>
      </c>
      <c r="AB4" s="3478" t="s">
        <v>2406</v>
      </c>
      <c r="AC4" s="3477" t="s">
        <v>2407</v>
      </c>
    </row>
    <row r="5" spans="1:30" ht="15">
      <c r="A5" s="364"/>
      <c r="B5" s="365"/>
      <c r="C5" s="3464" t="s">
        <v>2300</v>
      </c>
      <c r="D5" s="3465"/>
      <c r="E5" s="3489" t="s">
        <v>2301</v>
      </c>
      <c r="F5" s="3490"/>
      <c r="G5" s="3464" t="s">
        <v>2302</v>
      </c>
      <c r="H5" s="3465"/>
      <c r="I5" s="3464" t="s">
        <v>2303</v>
      </c>
      <c r="J5" s="3465"/>
      <c r="K5" s="567"/>
      <c r="L5" s="2914"/>
      <c r="M5" s="2915"/>
      <c r="N5" s="2915"/>
      <c r="O5" s="2915"/>
      <c r="P5" s="3485"/>
      <c r="Q5" s="3486"/>
      <c r="R5" s="3462"/>
      <c r="S5" s="3463"/>
      <c r="T5" s="3462"/>
      <c r="U5" s="3463"/>
      <c r="V5" s="3473"/>
      <c r="W5" s="3473"/>
      <c r="X5" s="1509"/>
      <c r="Y5" s="3462"/>
      <c r="Z5" s="3463"/>
      <c r="AA5" s="3478"/>
      <c r="AB5" s="3478"/>
      <c r="AC5" s="3478"/>
    </row>
    <row r="6" spans="1:30" ht="15.75" thickBot="1">
      <c r="A6" s="366"/>
      <c r="B6" s="367"/>
      <c r="C6" s="3559" t="s">
        <v>2304</v>
      </c>
      <c r="D6" s="3560"/>
      <c r="E6" s="3561" t="s">
        <v>2304</v>
      </c>
      <c r="F6" s="3562"/>
      <c r="G6" s="3559" t="s">
        <v>2304</v>
      </c>
      <c r="H6" s="3560"/>
      <c r="I6" s="3559" t="s">
        <v>2304</v>
      </c>
      <c r="J6" s="3560"/>
      <c r="K6" s="567" t="s">
        <v>2305</v>
      </c>
      <c r="L6" s="2914"/>
      <c r="M6" s="2915"/>
      <c r="N6" s="2915"/>
      <c r="O6" s="2915"/>
      <c r="P6" s="3487"/>
      <c r="Q6" s="3488"/>
      <c r="R6" s="3462"/>
      <c r="S6" s="3463"/>
      <c r="T6" s="3471"/>
      <c r="U6" s="3472"/>
      <c r="V6" s="3473"/>
      <c r="W6" s="3473"/>
      <c r="X6" s="1509"/>
      <c r="Y6" s="3471"/>
      <c r="Z6" s="3472"/>
      <c r="AA6" s="3479"/>
      <c r="AB6" s="3479"/>
      <c r="AC6" s="3479"/>
    </row>
    <row r="7" spans="1:30" s="113" customFormat="1" ht="15.75" thickBot="1">
      <c r="A7" s="368" t="s">
        <v>2306</v>
      </c>
      <c r="B7" s="369"/>
      <c r="C7" s="370">
        <f>'数据-取费表'!B2</f>
        <v>44610</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58" t="s">
        <v>2307</v>
      </c>
      <c r="Q7" s="3468"/>
      <c r="R7" s="710" t="s">
        <v>17</v>
      </c>
      <c r="S7" s="711">
        <f t="shared" ref="S7:S15" si="0">F7</f>
        <v>0</v>
      </c>
      <c r="T7" s="710" t="s">
        <v>17</v>
      </c>
      <c r="U7" s="711">
        <f t="shared" ref="U7:U15" si="1">H7</f>
        <v>0</v>
      </c>
      <c r="V7" s="710" t="s">
        <v>17</v>
      </c>
      <c r="W7" s="711">
        <f t="shared" ref="W7:W15" si="2">J7</f>
        <v>0</v>
      </c>
      <c r="X7" s="712"/>
      <c r="Y7" s="3458" t="s">
        <v>2307</v>
      </c>
      <c r="Z7" s="3459"/>
      <c r="AA7" s="713" t="e">
        <f>D7/F7</f>
        <v>#DIV/0!</v>
      </c>
      <c r="AB7" s="713" t="e">
        <f>D7/H7</f>
        <v>#DIV/0!</v>
      </c>
      <c r="AC7" s="713" t="e">
        <f>D7/J7</f>
        <v>#DIV/0!</v>
      </c>
    </row>
    <row r="8" spans="1:30" s="113" customFormat="1" ht="15.7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58" t="s">
        <v>2310</v>
      </c>
      <c r="Q8" s="3459"/>
      <c r="R8" s="710" t="s">
        <v>17</v>
      </c>
      <c r="S8" s="711">
        <f t="shared" si="0"/>
        <v>0</v>
      </c>
      <c r="T8" s="710" t="s">
        <v>17</v>
      </c>
      <c r="U8" s="711">
        <f t="shared" si="1"/>
        <v>0</v>
      </c>
      <c r="V8" s="710" t="s">
        <v>17</v>
      </c>
      <c r="W8" s="711">
        <f t="shared" si="2"/>
        <v>0</v>
      </c>
      <c r="X8" s="712"/>
      <c r="Y8" s="3458" t="s">
        <v>2310</v>
      </c>
      <c r="Z8" s="3459"/>
      <c r="AA8" s="713" t="e">
        <f t="shared" ref="AA8:AA45" si="3">D8/F8</f>
        <v>#DIV/0!</v>
      </c>
      <c r="AB8" s="713" t="e">
        <f t="shared" ref="AB8:AB45" si="4">D8/H8</f>
        <v>#DIV/0!</v>
      </c>
      <c r="AC8" s="713" t="e">
        <f t="shared" ref="AC8:AC45" si="5">D8/J8</f>
        <v>#DIV/0!</v>
      </c>
    </row>
    <row r="9" spans="1:30" s="113" customFormat="1">
      <c r="A9" s="375" t="s">
        <v>2311</v>
      </c>
      <c r="B9" s="67" t="s">
        <v>2312</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56" t="s">
        <v>2313</v>
      </c>
      <c r="Q9" s="1497" t="str">
        <f t="shared" ref="Q9:Q15" si="6">B9</f>
        <v>用途</v>
      </c>
      <c r="R9" s="710" t="s">
        <v>17</v>
      </c>
      <c r="S9" s="711">
        <f t="shared" si="0"/>
        <v>100</v>
      </c>
      <c r="T9" s="710" t="s">
        <v>17</v>
      </c>
      <c r="U9" s="711">
        <f t="shared" si="1"/>
        <v>100</v>
      </c>
      <c r="V9" s="710" t="s">
        <v>17</v>
      </c>
      <c r="W9" s="711">
        <f t="shared" si="2"/>
        <v>100</v>
      </c>
      <c r="X9" s="712"/>
      <c r="Y9" s="3357" t="s">
        <v>2314</v>
      </c>
      <c r="Z9" s="55" t="str">
        <f t="shared" ref="Z9:Z15" si="7">Q9</f>
        <v>用途</v>
      </c>
      <c r="AA9" s="713">
        <f t="shared" si="3"/>
        <v>1</v>
      </c>
      <c r="AB9" s="713">
        <f t="shared" si="4"/>
        <v>1</v>
      </c>
      <c r="AC9" s="713">
        <f t="shared" si="5"/>
        <v>1</v>
      </c>
    </row>
    <row r="10" spans="1:30" s="386" customFormat="1" ht="27">
      <c r="A10" s="380"/>
      <c r="B10" s="381" t="s">
        <v>2315</v>
      </c>
      <c r="C10" s="391"/>
      <c r="D10" s="132">
        <v>100</v>
      </c>
      <c r="E10" s="424"/>
      <c r="F10" s="132">
        <f>ROUND(100/'数据-取费表'!G16,0)</f>
        <v>107</v>
      </c>
      <c r="G10" s="422"/>
      <c r="H10" s="132">
        <f>ROUND(100/'数据-取费表'!G16,0)</f>
        <v>107</v>
      </c>
      <c r="I10" s="422"/>
      <c r="J10" s="132">
        <f>ROUND(100/'数据-取费表'!G16,0)</f>
        <v>107</v>
      </c>
      <c r="K10" s="628"/>
      <c r="L10" s="2918"/>
      <c r="M10" s="2919"/>
      <c r="N10" s="2919"/>
      <c r="O10" s="2972"/>
      <c r="P10" s="3456"/>
      <c r="Q10" s="1497" t="str">
        <f t="shared" si="6"/>
        <v>土地使用年限（年）</v>
      </c>
      <c r="R10" s="710" t="s">
        <v>17</v>
      </c>
      <c r="S10" s="711">
        <f t="shared" si="0"/>
        <v>107</v>
      </c>
      <c r="T10" s="710" t="s">
        <v>17</v>
      </c>
      <c r="U10" s="711">
        <f t="shared" si="1"/>
        <v>107</v>
      </c>
      <c r="V10" s="710" t="s">
        <v>17</v>
      </c>
      <c r="W10" s="711">
        <f t="shared" si="2"/>
        <v>107</v>
      </c>
      <c r="X10" s="712"/>
      <c r="Y10" s="3357"/>
      <c r="Z10" s="55" t="str">
        <f t="shared" si="7"/>
        <v>土地使用年限（年）</v>
      </c>
      <c r="AA10" s="713">
        <f t="shared" si="3"/>
        <v>0.93457943925233644</v>
      </c>
      <c r="AB10" s="713">
        <f t="shared" si="4"/>
        <v>0.93457943925233644</v>
      </c>
      <c r="AC10" s="713">
        <f t="shared" si="5"/>
        <v>0.93457943925233644</v>
      </c>
    </row>
    <row r="11" spans="1:30" ht="1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56"/>
      <c r="Q11" s="1497" t="str">
        <f t="shared" si="6"/>
        <v>容积率</v>
      </c>
      <c r="R11" s="710" t="s">
        <v>17</v>
      </c>
      <c r="S11" s="711" t="e">
        <f t="shared" si="0"/>
        <v>#N/A</v>
      </c>
      <c r="T11" s="710" t="s">
        <v>17</v>
      </c>
      <c r="U11" s="711" t="e">
        <f t="shared" si="1"/>
        <v>#N/A</v>
      </c>
      <c r="V11" s="710" t="s">
        <v>17</v>
      </c>
      <c r="W11" s="711" t="e">
        <f t="shared" si="2"/>
        <v>#N/A</v>
      </c>
      <c r="X11" s="712"/>
      <c r="Y11" s="3357"/>
      <c r="Z11" s="55" t="str">
        <f t="shared" si="7"/>
        <v>容积率</v>
      </c>
      <c r="AA11" s="713" t="e">
        <f t="shared" si="3"/>
        <v>#N/A</v>
      </c>
      <c r="AB11" s="713" t="e">
        <f t="shared" si="4"/>
        <v>#N/A</v>
      </c>
      <c r="AC11" s="713" t="e">
        <f t="shared" si="5"/>
        <v>#N/A</v>
      </c>
    </row>
    <row r="12" spans="1:30" s="113" customFormat="1" ht="15">
      <c r="A12" s="390"/>
      <c r="B12" s="2049" t="s">
        <v>2505</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56"/>
      <c r="Q12" s="1497" t="str">
        <f t="shared" si="6"/>
        <v>配建</v>
      </c>
      <c r="R12" s="710" t="s">
        <v>17</v>
      </c>
      <c r="S12" s="711">
        <f t="shared" si="0"/>
        <v>100</v>
      </c>
      <c r="T12" s="710" t="s">
        <v>17</v>
      </c>
      <c r="U12" s="711">
        <f t="shared" si="1"/>
        <v>100</v>
      </c>
      <c r="V12" s="710" t="s">
        <v>17</v>
      </c>
      <c r="W12" s="711">
        <f t="shared" si="2"/>
        <v>100</v>
      </c>
      <c r="X12" s="712"/>
      <c r="Y12" s="3357"/>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56"/>
      <c r="Q13" s="1497">
        <f t="shared" si="6"/>
        <v>111</v>
      </c>
      <c r="R13" s="710" t="s">
        <v>17</v>
      </c>
      <c r="S13" s="711">
        <f t="shared" si="0"/>
        <v>100</v>
      </c>
      <c r="T13" s="710" t="s">
        <v>17</v>
      </c>
      <c r="U13" s="711">
        <f t="shared" si="1"/>
        <v>100</v>
      </c>
      <c r="V13" s="710" t="s">
        <v>17</v>
      </c>
      <c r="W13" s="711">
        <f t="shared" si="2"/>
        <v>100</v>
      </c>
      <c r="X13" s="712"/>
      <c r="Y13" s="3357"/>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56"/>
      <c r="Q14" s="1497">
        <f t="shared" si="6"/>
        <v>111</v>
      </c>
      <c r="R14" s="710" t="s">
        <v>17</v>
      </c>
      <c r="S14" s="711">
        <f t="shared" si="0"/>
        <v>100</v>
      </c>
      <c r="T14" s="710" t="s">
        <v>17</v>
      </c>
      <c r="U14" s="711">
        <f t="shared" si="1"/>
        <v>100</v>
      </c>
      <c r="V14" s="710" t="s">
        <v>17</v>
      </c>
      <c r="W14" s="711">
        <f t="shared" si="2"/>
        <v>100</v>
      </c>
      <c r="X14" s="712"/>
      <c r="Y14" s="3357"/>
      <c r="Z14" s="55">
        <f t="shared" si="7"/>
        <v>111</v>
      </c>
      <c r="AA14" s="713">
        <f>D14/F14</f>
        <v>1</v>
      </c>
      <c r="AB14" s="713">
        <f>D14/H14</f>
        <v>1</v>
      </c>
      <c r="AC14" s="713">
        <f>D14/J14</f>
        <v>1</v>
      </c>
    </row>
    <row r="15" spans="1:30" ht="99.75">
      <c r="A15" s="399" t="s">
        <v>2317</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74" t="s">
        <v>2318</v>
      </c>
      <c r="Q15" s="1506" t="str">
        <f t="shared" si="6"/>
        <v>居住社区成熟度</v>
      </c>
      <c r="R15" s="714" t="s">
        <v>17</v>
      </c>
      <c r="S15" s="715">
        <f t="shared" si="0"/>
        <v>100</v>
      </c>
      <c r="T15" s="714" t="s">
        <v>17</v>
      </c>
      <c r="U15" s="715">
        <f t="shared" si="1"/>
        <v>100</v>
      </c>
      <c r="V15" s="714" t="s">
        <v>17</v>
      </c>
      <c r="W15" s="715">
        <f t="shared" si="2"/>
        <v>100</v>
      </c>
      <c r="X15" s="1509"/>
      <c r="Y15" s="3474" t="s">
        <v>2318</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75"/>
      <c r="Q16" s="1506"/>
      <c r="R16" s="714"/>
      <c r="S16" s="715"/>
      <c r="T16" s="714"/>
      <c r="U16" s="715"/>
      <c r="V16" s="714"/>
      <c r="W16" s="715"/>
      <c r="X16" s="1509"/>
      <c r="Y16" s="3475"/>
      <c r="Z16" s="1510"/>
      <c r="AA16" s="1507">
        <v>1</v>
      </c>
      <c r="AB16" s="1507">
        <v>1</v>
      </c>
      <c r="AC16" s="1507">
        <v>1</v>
      </c>
    </row>
    <row r="17" spans="1:29" ht="71.25">
      <c r="A17" s="387"/>
      <c r="B17" s="410" t="s">
        <v>2411</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75"/>
      <c r="Q17" s="1506" t="str">
        <f>B17</f>
        <v>商业繁华度</v>
      </c>
      <c r="R17" s="714" t="s">
        <v>17</v>
      </c>
      <c r="S17" s="715">
        <f>F17</f>
        <v>100</v>
      </c>
      <c r="T17" s="714" t="s">
        <v>17</v>
      </c>
      <c r="U17" s="715">
        <f>H17</f>
        <v>100</v>
      </c>
      <c r="V17" s="714" t="s">
        <v>17</v>
      </c>
      <c r="W17" s="715">
        <f>J17</f>
        <v>100</v>
      </c>
      <c r="X17" s="1509"/>
      <c r="Y17" s="347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75"/>
      <c r="Q18" s="1506"/>
      <c r="R18" s="714"/>
      <c r="S18" s="715"/>
      <c r="T18" s="714"/>
      <c r="U18" s="715"/>
      <c r="V18" s="714"/>
      <c r="W18" s="715"/>
      <c r="X18" s="1509"/>
      <c r="Y18" s="3475"/>
      <c r="Z18" s="1510"/>
      <c r="AA18" s="1507">
        <v>1</v>
      </c>
      <c r="AB18" s="1507">
        <v>1</v>
      </c>
      <c r="AC18" s="1507">
        <v>1</v>
      </c>
    </row>
    <row r="19" spans="1:29" ht="71.25">
      <c r="A19" s="387"/>
      <c r="B19" s="410" t="s">
        <v>2445</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75"/>
      <c r="Q19" s="1506" t="str">
        <f>B19</f>
        <v>办公集聚程度</v>
      </c>
      <c r="R19" s="714" t="s">
        <v>17</v>
      </c>
      <c r="S19" s="715">
        <f>F19</f>
        <v>100</v>
      </c>
      <c r="T19" s="714" t="s">
        <v>17</v>
      </c>
      <c r="U19" s="715">
        <f>H19</f>
        <v>100</v>
      </c>
      <c r="V19" s="714" t="s">
        <v>17</v>
      </c>
      <c r="W19" s="715">
        <f>J19</f>
        <v>100</v>
      </c>
      <c r="X19" s="1509"/>
      <c r="Y19" s="347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75"/>
      <c r="Q20" s="1506"/>
      <c r="R20" s="714"/>
      <c r="S20" s="715"/>
      <c r="T20" s="714"/>
      <c r="U20" s="715"/>
      <c r="V20" s="714"/>
      <c r="W20" s="715"/>
      <c r="X20" s="1509"/>
      <c r="Y20" s="3475"/>
      <c r="Z20" s="1510"/>
      <c r="AA20" s="1507">
        <v>1</v>
      </c>
      <c r="AB20" s="1507">
        <v>1</v>
      </c>
      <c r="AC20" s="1507">
        <v>1</v>
      </c>
    </row>
    <row r="21" spans="1:29" ht="85.5">
      <c r="A21" s="387"/>
      <c r="B21" s="410" t="s">
        <v>2467</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75"/>
      <c r="Q21" s="1506" t="str">
        <f>B21</f>
        <v>交通便捷度</v>
      </c>
      <c r="R21" s="714" t="s">
        <v>17</v>
      </c>
      <c r="S21" s="715">
        <f>F21</f>
        <v>100</v>
      </c>
      <c r="T21" s="714" t="s">
        <v>17</v>
      </c>
      <c r="U21" s="715">
        <f>H21</f>
        <v>100</v>
      </c>
      <c r="V21" s="714" t="s">
        <v>17</v>
      </c>
      <c r="W21" s="715">
        <f>J21</f>
        <v>100</v>
      </c>
      <c r="X21" s="1509"/>
      <c r="Y21" s="347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75"/>
      <c r="Q22" s="1506"/>
      <c r="R22" s="714"/>
      <c r="S22" s="715"/>
      <c r="T22" s="714"/>
      <c r="U22" s="715"/>
      <c r="V22" s="714"/>
      <c r="W22" s="715"/>
      <c r="X22" s="1509"/>
      <c r="Y22" s="3475"/>
      <c r="Z22" s="1510"/>
      <c r="AA22" s="1507">
        <v>1</v>
      </c>
      <c r="AB22" s="1507">
        <v>1</v>
      </c>
      <c r="AC22" s="1507">
        <v>1</v>
      </c>
    </row>
    <row r="23" spans="1:29" ht="15">
      <c r="A23" s="364"/>
      <c r="B23" s="410" t="s">
        <v>2506</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75"/>
      <c r="Q23" s="1506" t="str">
        <f t="shared" ref="Q23:Q37" si="8">B23</f>
        <v>区域土地利用方向</v>
      </c>
      <c r="R23" s="714" t="s">
        <v>17</v>
      </c>
      <c r="S23" s="715">
        <f>F23</f>
        <v>100</v>
      </c>
      <c r="T23" s="714" t="s">
        <v>17</v>
      </c>
      <c r="U23" s="715">
        <f>H23</f>
        <v>100</v>
      </c>
      <c r="V23" s="714" t="s">
        <v>17</v>
      </c>
      <c r="W23" s="715">
        <f>J23</f>
        <v>100</v>
      </c>
      <c r="X23" s="1509"/>
      <c r="Y23" s="347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75"/>
      <c r="Q24" s="1506"/>
      <c r="R24" s="714"/>
      <c r="S24" s="715"/>
      <c r="T24" s="714"/>
      <c r="U24" s="715"/>
      <c r="V24" s="714"/>
      <c r="W24" s="715"/>
      <c r="X24" s="1509"/>
      <c r="Y24" s="3475"/>
      <c r="Z24" s="1510"/>
      <c r="AA24" s="1507"/>
      <c r="AB24" s="1507"/>
      <c r="AC24" s="1507"/>
    </row>
    <row r="25" spans="1:29" ht="57">
      <c r="A25" s="364"/>
      <c r="B25" s="1265" t="s">
        <v>2507</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75"/>
      <c r="Q25" s="1506" t="str">
        <f t="shared" si="8"/>
        <v>自然及人文环境状况</v>
      </c>
      <c r="R25" s="714" t="s">
        <v>17</v>
      </c>
      <c r="S25" s="715">
        <f>F25</f>
        <v>100</v>
      </c>
      <c r="T25" s="714" t="s">
        <v>17</v>
      </c>
      <c r="U25" s="715">
        <f>H25</f>
        <v>100</v>
      </c>
      <c r="V25" s="714" t="s">
        <v>17</v>
      </c>
      <c r="W25" s="715">
        <f>J25</f>
        <v>100</v>
      </c>
      <c r="X25" s="1509"/>
      <c r="Y25" s="347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75"/>
      <c r="Q26" s="1506"/>
      <c r="R26" s="714"/>
      <c r="S26" s="715"/>
      <c r="T26" s="714"/>
      <c r="U26" s="715"/>
      <c r="V26" s="714"/>
      <c r="W26" s="715"/>
      <c r="X26" s="1509"/>
      <c r="Y26" s="3475"/>
      <c r="Z26" s="1510"/>
      <c r="AA26" s="1507">
        <v>1</v>
      </c>
      <c r="AB26" s="1507">
        <v>1</v>
      </c>
      <c r="AC26" s="1507">
        <v>1</v>
      </c>
    </row>
    <row r="27" spans="1:29" s="113" customFormat="1" ht="42.75">
      <c r="A27" s="605"/>
      <c r="B27" s="1265" t="s">
        <v>2412</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75"/>
      <c r="Q27" s="1497" t="str">
        <f t="shared" si="8"/>
        <v>公共配套设施</v>
      </c>
      <c r="R27" s="710" t="s">
        <v>17</v>
      </c>
      <c r="S27" s="711">
        <f>F27</f>
        <v>100</v>
      </c>
      <c r="T27" s="710" t="s">
        <v>17</v>
      </c>
      <c r="U27" s="711">
        <f>H27</f>
        <v>100</v>
      </c>
      <c r="V27" s="710" t="s">
        <v>17</v>
      </c>
      <c r="W27" s="711">
        <f>J27</f>
        <v>100</v>
      </c>
      <c r="X27" s="712"/>
      <c r="Y27" s="347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75"/>
      <c r="Q28" s="1497"/>
      <c r="R28" s="710"/>
      <c r="S28" s="711"/>
      <c r="T28" s="710"/>
      <c r="U28" s="711"/>
      <c r="V28" s="710"/>
      <c r="W28" s="711"/>
      <c r="X28" s="712"/>
      <c r="Y28" s="3475"/>
      <c r="Z28" s="55"/>
      <c r="AA28" s="1507">
        <v>1</v>
      </c>
      <c r="AB28" s="1507">
        <v>1</v>
      </c>
      <c r="AC28" s="1507">
        <v>1</v>
      </c>
    </row>
    <row r="29" spans="1:29" s="113" customFormat="1" ht="28.5">
      <c r="A29" s="605"/>
      <c r="B29" s="1265" t="s">
        <v>2413</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75"/>
      <c r="Q29" s="1497" t="str">
        <f t="shared" ref="Q29" si="9">B29</f>
        <v>基础设施水平</v>
      </c>
      <c r="R29" s="710" t="s">
        <v>17</v>
      </c>
      <c r="S29" s="711">
        <f>F29</f>
        <v>100</v>
      </c>
      <c r="T29" s="710" t="s">
        <v>17</v>
      </c>
      <c r="U29" s="711">
        <f>H29</f>
        <v>100</v>
      </c>
      <c r="V29" s="710" t="s">
        <v>17</v>
      </c>
      <c r="W29" s="711">
        <f>J29</f>
        <v>100</v>
      </c>
      <c r="X29" s="712"/>
      <c r="Y29" s="347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75"/>
      <c r="Q30" s="1497"/>
      <c r="R30" s="710"/>
      <c r="S30" s="711"/>
      <c r="T30" s="710"/>
      <c r="U30" s="711"/>
      <c r="V30" s="710"/>
      <c r="W30" s="711"/>
      <c r="X30" s="712"/>
      <c r="Y30" s="3475"/>
      <c r="Z30" s="55"/>
      <c r="AA30" s="1507">
        <v>1</v>
      </c>
      <c r="AB30" s="1507">
        <v>1</v>
      </c>
      <c r="AC30" s="1507">
        <v>1</v>
      </c>
    </row>
    <row r="31" spans="1:29" ht="1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7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5"/>
      <c r="Z31" s="1510" t="str">
        <f t="shared" ref="Z31:Z45" si="13">Q31</f>
        <v>临街状况</v>
      </c>
      <c r="AA31" s="1507">
        <f t="shared" si="3"/>
        <v>1</v>
      </c>
      <c r="AB31" s="1507">
        <f t="shared" si="4"/>
        <v>1</v>
      </c>
      <c r="AC31" s="1507">
        <f t="shared" si="5"/>
        <v>1</v>
      </c>
    </row>
    <row r="32" spans="1:29" ht="27">
      <c r="A32" s="387"/>
      <c r="B32" s="1265"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75"/>
      <c r="Q32" s="1506" t="str">
        <f t="shared" si="8"/>
        <v>毗邻道路的类型与等级</v>
      </c>
      <c r="R32" s="714" t="s">
        <v>17</v>
      </c>
      <c r="S32" s="715">
        <f t="shared" si="10"/>
        <v>100</v>
      </c>
      <c r="T32" s="714" t="s">
        <v>17</v>
      </c>
      <c r="U32" s="715">
        <f t="shared" si="11"/>
        <v>100</v>
      </c>
      <c r="V32" s="714" t="s">
        <v>17</v>
      </c>
      <c r="W32" s="715">
        <f t="shared" si="12"/>
        <v>100</v>
      </c>
      <c r="X32" s="1509"/>
      <c r="Y32" s="347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75"/>
      <c r="Q33" s="1506"/>
      <c r="R33" s="714"/>
      <c r="S33" s="715"/>
      <c r="T33" s="714"/>
      <c r="U33" s="715"/>
      <c r="V33" s="714"/>
      <c r="W33" s="715"/>
      <c r="X33" s="1509"/>
      <c r="Y33" s="3475"/>
      <c r="Z33" s="1510"/>
      <c r="AA33" s="1507">
        <v>1</v>
      </c>
      <c r="AB33" s="1507">
        <v>1</v>
      </c>
      <c r="AC33" s="1507">
        <v>1</v>
      </c>
    </row>
    <row r="34" spans="1:29" ht="1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75"/>
      <c r="Q34" s="1506" t="str">
        <f t="shared" si="8"/>
        <v>土地级别</v>
      </c>
      <c r="R34" s="714" t="s">
        <v>17</v>
      </c>
      <c r="S34" s="715">
        <f t="shared" si="10"/>
        <v>100</v>
      </c>
      <c r="T34" s="714" t="s">
        <v>17</v>
      </c>
      <c r="U34" s="715">
        <f t="shared" si="11"/>
        <v>100</v>
      </c>
      <c r="V34" s="714" t="s">
        <v>17</v>
      </c>
      <c r="W34" s="715">
        <f t="shared" si="12"/>
        <v>100</v>
      </c>
      <c r="X34" s="1509"/>
      <c r="Y34" s="347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75"/>
      <c r="Q35" s="1506">
        <f t="shared" si="8"/>
        <v>111</v>
      </c>
      <c r="R35" s="714" t="s">
        <v>17</v>
      </c>
      <c r="S35" s="715">
        <f t="shared" si="10"/>
        <v>100</v>
      </c>
      <c r="T35" s="714" t="s">
        <v>17</v>
      </c>
      <c r="U35" s="715">
        <f t="shared" si="11"/>
        <v>100</v>
      </c>
      <c r="V35" s="714" t="s">
        <v>17</v>
      </c>
      <c r="W35" s="715">
        <f t="shared" si="12"/>
        <v>100</v>
      </c>
      <c r="X35" s="1509"/>
      <c r="Y35" s="347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1" t="s">
        <v>2323</v>
      </c>
      <c r="Q36" s="1506">
        <f t="shared" si="8"/>
        <v>111</v>
      </c>
      <c r="R36" s="714" t="s">
        <v>17</v>
      </c>
      <c r="S36" s="715">
        <f t="shared" si="10"/>
        <v>100</v>
      </c>
      <c r="T36" s="714" t="s">
        <v>17</v>
      </c>
      <c r="U36" s="715">
        <f t="shared" si="11"/>
        <v>100</v>
      </c>
      <c r="V36" s="714" t="s">
        <v>17</v>
      </c>
      <c r="W36" s="715">
        <f t="shared" si="12"/>
        <v>100</v>
      </c>
      <c r="X36" s="1509"/>
      <c r="Y36" s="3476" t="s">
        <v>2323</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6"/>
      <c r="Q37" s="1506">
        <f t="shared" si="8"/>
        <v>111</v>
      </c>
      <c r="R37" s="717" t="s">
        <v>17</v>
      </c>
      <c r="S37" s="718">
        <f t="shared" si="10"/>
        <v>100</v>
      </c>
      <c r="T37" s="717" t="s">
        <v>17</v>
      </c>
      <c r="U37" s="718">
        <f t="shared" si="11"/>
        <v>100</v>
      </c>
      <c r="V37" s="717" t="s">
        <v>17</v>
      </c>
      <c r="W37" s="718">
        <f t="shared" si="12"/>
        <v>100</v>
      </c>
      <c r="X37" s="719"/>
      <c r="Y37" s="3476"/>
      <c r="Z37" s="720">
        <f t="shared" si="13"/>
        <v>111</v>
      </c>
      <c r="AA37" s="1507">
        <f t="shared" si="3"/>
        <v>1</v>
      </c>
      <c r="AB37" s="1507">
        <f t="shared" si="4"/>
        <v>1</v>
      </c>
      <c r="AC37" s="1507">
        <f t="shared" si="5"/>
        <v>1</v>
      </c>
    </row>
    <row r="38" spans="1:29" ht="15">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6"/>
      <c r="Q38" s="1506" t="str">
        <f>B38</f>
        <v>宗地面积</v>
      </c>
      <c r="R38" s="714" t="s">
        <v>17</v>
      </c>
      <c r="S38" s="715" t="e">
        <f t="shared" si="10"/>
        <v>#N/A</v>
      </c>
      <c r="T38" s="714" t="s">
        <v>17</v>
      </c>
      <c r="U38" s="715" t="e">
        <f t="shared" si="11"/>
        <v>#N/A</v>
      </c>
      <c r="V38" s="714" t="s">
        <v>17</v>
      </c>
      <c r="W38" s="715" t="e">
        <f t="shared" si="12"/>
        <v>#N/A</v>
      </c>
      <c r="X38" s="1509"/>
      <c r="Y38" s="3476"/>
      <c r="Z38" s="1510" t="str">
        <f t="shared" si="13"/>
        <v>宗地面积</v>
      </c>
      <c r="AA38" s="1507" t="e">
        <f t="shared" si="3"/>
        <v>#N/A</v>
      </c>
      <c r="AB38" s="1507" t="e">
        <f t="shared" si="4"/>
        <v>#N/A</v>
      </c>
      <c r="AC38" s="1507" t="e">
        <f t="shared" si="5"/>
        <v>#N/A</v>
      </c>
    </row>
    <row r="39" spans="1:29" ht="15">
      <c r="A39" s="431"/>
      <c r="B39" s="381" t="s">
        <v>2510</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6"/>
      <c r="Q39" s="1506" t="str">
        <f t="shared" ref="Q39:Q45" si="14">B39</f>
        <v>宗地形状</v>
      </c>
      <c r="R39" s="714" t="s">
        <v>17</v>
      </c>
      <c r="S39" s="715">
        <f t="shared" si="10"/>
        <v>100</v>
      </c>
      <c r="T39" s="714" t="s">
        <v>17</v>
      </c>
      <c r="U39" s="715">
        <f t="shared" si="11"/>
        <v>100</v>
      </c>
      <c r="V39" s="714" t="s">
        <v>17</v>
      </c>
      <c r="W39" s="715">
        <f t="shared" si="12"/>
        <v>100</v>
      </c>
      <c r="X39" s="1509"/>
      <c r="Y39" s="3476"/>
      <c r="Z39" s="1510" t="str">
        <f t="shared" si="13"/>
        <v>宗地形状</v>
      </c>
      <c r="AA39" s="1507">
        <f t="shared" si="3"/>
        <v>1</v>
      </c>
      <c r="AB39" s="1507">
        <f t="shared" si="4"/>
        <v>1</v>
      </c>
      <c r="AC39" s="1507">
        <f t="shared" si="5"/>
        <v>1</v>
      </c>
    </row>
    <row r="40" spans="1:29" ht="15">
      <c r="A40" s="431"/>
      <c r="B40" s="381" t="s">
        <v>2511</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6"/>
      <c r="Q40" s="1506" t="str">
        <f t="shared" si="14"/>
        <v>临街宽度及深度</v>
      </c>
      <c r="R40" s="714" t="s">
        <v>17</v>
      </c>
      <c r="S40" s="715">
        <f t="shared" si="10"/>
        <v>100</v>
      </c>
      <c r="T40" s="714" t="s">
        <v>17</v>
      </c>
      <c r="U40" s="715">
        <f t="shared" si="11"/>
        <v>100</v>
      </c>
      <c r="V40" s="714" t="s">
        <v>17</v>
      </c>
      <c r="W40" s="715">
        <f t="shared" si="12"/>
        <v>100</v>
      </c>
      <c r="X40" s="1509"/>
      <c r="Y40" s="3476"/>
      <c r="Z40" s="1510" t="str">
        <f t="shared" si="13"/>
        <v>临街宽度及深度</v>
      </c>
      <c r="AA40" s="1507">
        <f t="shared" si="3"/>
        <v>1</v>
      </c>
      <c r="AB40" s="1507">
        <f t="shared" si="4"/>
        <v>1</v>
      </c>
      <c r="AC40" s="1507">
        <f t="shared" si="5"/>
        <v>1</v>
      </c>
    </row>
    <row r="41" spans="1:29" s="113" customFormat="1" ht="15">
      <c r="A41" s="432"/>
      <c r="B41" s="381" t="s">
        <v>2512</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6"/>
      <c r="Q41" s="1506" t="str">
        <f t="shared" si="14"/>
        <v>宗地开发程度</v>
      </c>
      <c r="R41" s="710" t="s">
        <v>17</v>
      </c>
      <c r="S41" s="711">
        <f t="shared" si="10"/>
        <v>100</v>
      </c>
      <c r="T41" s="710" t="s">
        <v>17</v>
      </c>
      <c r="U41" s="711">
        <f t="shared" si="11"/>
        <v>100</v>
      </c>
      <c r="V41" s="710" t="s">
        <v>17</v>
      </c>
      <c r="W41" s="711">
        <f t="shared" si="12"/>
        <v>100</v>
      </c>
      <c r="X41" s="712"/>
      <c r="Y41" s="3476"/>
      <c r="Z41" s="55" t="str">
        <f t="shared" si="13"/>
        <v>宗地开发程度</v>
      </c>
      <c r="AA41" s="713">
        <f t="shared" si="3"/>
        <v>1</v>
      </c>
      <c r="AB41" s="713">
        <f t="shared" si="4"/>
        <v>1</v>
      </c>
      <c r="AC41" s="713">
        <f t="shared" si="5"/>
        <v>1</v>
      </c>
    </row>
    <row r="42" spans="1:29" ht="15">
      <c r="A42" s="431"/>
      <c r="B42" s="381" t="s">
        <v>2513</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6" t="s">
        <v>2323</v>
      </c>
      <c r="Q42" s="1506" t="str">
        <f t="shared" si="14"/>
        <v>工程地质条件</v>
      </c>
      <c r="R42" s="714" t="s">
        <v>17</v>
      </c>
      <c r="S42" s="715">
        <f t="shared" si="10"/>
        <v>100</v>
      </c>
      <c r="T42" s="714" t="s">
        <v>17</v>
      </c>
      <c r="U42" s="715">
        <f t="shared" si="11"/>
        <v>100</v>
      </c>
      <c r="V42" s="714" t="s">
        <v>17</v>
      </c>
      <c r="W42" s="715">
        <f t="shared" si="12"/>
        <v>100</v>
      </c>
      <c r="X42" s="1509"/>
      <c r="Y42" s="3476" t="s">
        <v>2323</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6"/>
      <c r="Q43" s="1506">
        <f t="shared" si="14"/>
        <v>111</v>
      </c>
      <c r="R43" s="714" t="s">
        <v>17</v>
      </c>
      <c r="S43" s="715">
        <f t="shared" si="10"/>
        <v>100</v>
      </c>
      <c r="T43" s="714" t="s">
        <v>17</v>
      </c>
      <c r="U43" s="715">
        <f t="shared" si="11"/>
        <v>100</v>
      </c>
      <c r="V43" s="714" t="s">
        <v>17</v>
      </c>
      <c r="W43" s="715">
        <f t="shared" si="12"/>
        <v>100</v>
      </c>
      <c r="X43" s="1509"/>
      <c r="Y43" s="347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6"/>
      <c r="Q44" s="1506">
        <f t="shared" si="14"/>
        <v>111</v>
      </c>
      <c r="R44" s="714" t="s">
        <v>17</v>
      </c>
      <c r="S44" s="715">
        <f t="shared" si="10"/>
        <v>100</v>
      </c>
      <c r="T44" s="714" t="s">
        <v>17</v>
      </c>
      <c r="U44" s="715">
        <f t="shared" si="11"/>
        <v>100</v>
      </c>
      <c r="V44" s="714" t="s">
        <v>17</v>
      </c>
      <c r="W44" s="715">
        <f t="shared" si="12"/>
        <v>100</v>
      </c>
      <c r="X44" s="1509"/>
      <c r="Y44" s="347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6"/>
      <c r="Q45" s="1506">
        <f t="shared" si="14"/>
        <v>111</v>
      </c>
      <c r="R45" s="717" t="s">
        <v>17</v>
      </c>
      <c r="S45" s="718">
        <f t="shared" si="10"/>
        <v>100</v>
      </c>
      <c r="T45" s="717" t="s">
        <v>17</v>
      </c>
      <c r="U45" s="718">
        <f t="shared" si="11"/>
        <v>100</v>
      </c>
      <c r="V45" s="717" t="s">
        <v>17</v>
      </c>
      <c r="W45" s="718">
        <f t="shared" si="12"/>
        <v>100</v>
      </c>
      <c r="X45" s="719"/>
      <c r="Y45" s="3476"/>
      <c r="Z45" s="720">
        <f t="shared" si="13"/>
        <v>111</v>
      </c>
      <c r="AA45" s="1507">
        <f t="shared" si="3"/>
        <v>1</v>
      </c>
      <c r="AB45" s="1507">
        <f t="shared" si="4"/>
        <v>1</v>
      </c>
      <c r="AC45" s="1507">
        <f t="shared" si="5"/>
        <v>1</v>
      </c>
    </row>
    <row r="46" spans="1:29" ht="15">
      <c r="A46" s="438" t="s">
        <v>2478</v>
      </c>
      <c r="B46" s="2138" t="s">
        <v>2514</v>
      </c>
      <c r="C46" s="638" t="s">
        <v>1</v>
      </c>
      <c r="D46" s="440"/>
      <c r="E46" s="441"/>
      <c r="F46" s="442"/>
      <c r="G46" s="443"/>
      <c r="H46" s="444"/>
      <c r="I46" s="441"/>
      <c r="J46" s="444"/>
      <c r="K46" s="723"/>
      <c r="L46" s="2923"/>
      <c r="M46" s="2924"/>
      <c r="N46" s="2915"/>
      <c r="O46" s="2924"/>
      <c r="P46" s="3456" t="str">
        <f>A46</f>
        <v>成交单价</v>
      </c>
      <c r="Q46" s="3456"/>
      <c r="R46" s="3473">
        <f>E46</f>
        <v>0</v>
      </c>
      <c r="S46" s="3473"/>
      <c r="T46" s="3473">
        <f>G46</f>
        <v>0</v>
      </c>
      <c r="U46" s="3473"/>
      <c r="V46" s="3473">
        <f>I46</f>
        <v>0</v>
      </c>
      <c r="W46" s="3473"/>
      <c r="X46" s="699"/>
      <c r="Y46" s="721"/>
      <c r="Z46" s="699"/>
      <c r="AA46" s="699"/>
      <c r="AB46" s="699"/>
      <c r="AC46" s="699"/>
    </row>
    <row r="47" spans="1:29" ht="15.75" thickBot="1">
      <c r="A47" s="445" t="s">
        <v>2427</v>
      </c>
      <c r="B47" s="639"/>
      <c r="C47" s="448" t="e">
        <f>R48</f>
        <v>#DIV/0!</v>
      </c>
      <c r="D47" s="2508" t="s">
        <v>2816</v>
      </c>
      <c r="E47" s="448" t="e">
        <f>R47</f>
        <v>#DIV/0!</v>
      </c>
      <c r="F47" s="2509"/>
      <c r="G47" s="447" t="e">
        <f>T47</f>
        <v>#DIV/0!</v>
      </c>
      <c r="H47" s="2509"/>
      <c r="I47" s="448" t="e">
        <f>V47</f>
        <v>#DIV/0!</v>
      </c>
      <c r="J47" s="2509"/>
      <c r="K47" s="2511">
        <f>F47+H47+J47</f>
        <v>0</v>
      </c>
      <c r="L47" s="2923"/>
      <c r="M47" s="2924"/>
      <c r="N47" s="2924"/>
      <c r="O47" s="2924"/>
      <c r="P47" s="3456" t="str">
        <f>A47</f>
        <v>比较价值（元/平方米）</v>
      </c>
      <c r="Q47" s="3456"/>
      <c r="R47" s="3495" t="e">
        <f>ROUND(PRODUCT(R46,AA7:AA45),0)</f>
        <v>#DIV/0!</v>
      </c>
      <c r="S47" s="3495"/>
      <c r="T47" s="3495" t="e">
        <f>ROUND(PRODUCT(T46,AB7:AB45),0)</f>
        <v>#DIV/0!</v>
      </c>
      <c r="U47" s="3495"/>
      <c r="V47" s="3495" t="e">
        <f>ROUND(PRODUCT(V46,AC7:AC45),0)</f>
        <v>#DIV/0!</v>
      </c>
      <c r="W47" s="3495"/>
      <c r="X47" s="699"/>
      <c r="Y47" s="699"/>
      <c r="Z47" s="699"/>
      <c r="AA47" s="699"/>
      <c r="AB47" s="699"/>
      <c r="AC47" s="699"/>
    </row>
    <row r="48" spans="1:29" ht="15.75" thickBot="1">
      <c r="A48" s="449" t="s">
        <v>2515</v>
      </c>
      <c r="B48" s="450"/>
      <c r="C48" s="451" t="e">
        <f>R48</f>
        <v>#DIV/0!</v>
      </c>
      <c r="D48" s="451"/>
      <c r="E48" s="451"/>
      <c r="F48" s="451"/>
      <c r="G48" s="451"/>
      <c r="H48" s="451"/>
      <c r="I48" s="451"/>
      <c r="J48" s="451"/>
      <c r="K48" s="724"/>
      <c r="L48" s="2923"/>
      <c r="M48" s="2924"/>
      <c r="N48" s="2924"/>
      <c r="O48" s="2924"/>
      <c r="P48" s="3492" t="str">
        <f>A48</f>
        <v>估价对象XX用房的比较价值（楼面单价，元/平方米）</v>
      </c>
      <c r="Q48" s="3493"/>
      <c r="R48" s="3494" t="e">
        <f>ROUND(IF(D47="简单平均",AVERAGE(R47:W47),R47*F47+T47*H47+V47*J47),0)</f>
        <v>#DIV/0!</v>
      </c>
      <c r="S48" s="3494"/>
      <c r="T48" s="3494"/>
      <c r="U48" s="3494"/>
      <c r="V48" s="3494"/>
      <c r="W48" s="3494"/>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2516</v>
      </c>
      <c r="B55" s="641" t="s">
        <v>2517</v>
      </c>
      <c r="C55" s="2139" t="s">
        <v>2518</v>
      </c>
      <c r="D55" s="2140" t="s">
        <v>2519</v>
      </c>
      <c r="E55" s="642" t="s">
        <v>2520</v>
      </c>
      <c r="F55" s="1021" t="s">
        <v>2521</v>
      </c>
      <c r="G55" s="3453" t="s">
        <v>2522</v>
      </c>
      <c r="H55" s="3454"/>
      <c r="I55" s="140" t="s">
        <v>2523</v>
      </c>
      <c r="J55" s="2141">
        <f>项目基本情况!F35</f>
        <v>0</v>
      </c>
      <c r="K55" s="2142" t="s">
        <v>2524</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2525</v>
      </c>
      <c r="B56" s="645" t="e">
        <f>C48</f>
        <v>#DIV/0!</v>
      </c>
      <c r="C56" s="646">
        <v>1</v>
      </c>
      <c r="D56" s="1075">
        <v>1</v>
      </c>
      <c r="E56" s="646">
        <f>'数据-汇总表'!E8+'数据-汇总表'!E9</f>
        <v>23225</v>
      </c>
      <c r="F56" s="1017" t="e">
        <f t="shared" ref="F56:F65" si="15">ROUND(B56*E56/10000,0)</f>
        <v>#DIV/0!</v>
      </c>
      <c r="G56" s="3455"/>
      <c r="H56" s="3456"/>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2526</v>
      </c>
      <c r="B57" s="224" t="e">
        <f>ROUND($C$48*C57*D57,0)</f>
        <v>#DIV/0!</v>
      </c>
      <c r="C57" s="176">
        <f t="shared" ref="C57:C65" si="16">IF($C$55="北京市系数",I57,J57)</f>
        <v>0</v>
      </c>
      <c r="D57" s="1076">
        <v>0.25</v>
      </c>
      <c r="E57" s="650"/>
      <c r="F57" s="1017" t="e">
        <f t="shared" si="15"/>
        <v>#DIV/0!</v>
      </c>
      <c r="G57" s="3457" t="s">
        <v>2527</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2528</v>
      </c>
      <c r="B58" s="224" t="e">
        <f t="shared" ref="B58:B65" si="17">ROUND($C$48*C58*D58,0)</f>
        <v>#DIV/0!</v>
      </c>
      <c r="C58" s="176">
        <f t="shared" si="16"/>
        <v>0</v>
      </c>
      <c r="D58" s="1076">
        <v>0.25</v>
      </c>
      <c r="E58" s="650"/>
      <c r="F58" s="1017" t="e">
        <f t="shared" si="15"/>
        <v>#DIV/0!</v>
      </c>
      <c r="G58" s="3457"/>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2529</v>
      </c>
      <c r="B59" s="224" t="e">
        <f t="shared" si="17"/>
        <v>#DIV/0!</v>
      </c>
      <c r="C59" s="176">
        <f t="shared" si="16"/>
        <v>0</v>
      </c>
      <c r="D59" s="1076">
        <v>0.25</v>
      </c>
      <c r="E59" s="650"/>
      <c r="F59" s="1017" t="e">
        <f t="shared" si="15"/>
        <v>#DIV/0!</v>
      </c>
      <c r="G59" s="3457"/>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2530</v>
      </c>
      <c r="B60" s="224" t="e">
        <f t="shared" si="17"/>
        <v>#DIV/0!</v>
      </c>
      <c r="C60" s="176">
        <f t="shared" si="16"/>
        <v>0</v>
      </c>
      <c r="D60" s="1076">
        <v>0.25</v>
      </c>
      <c r="E60" s="650"/>
      <c r="F60" s="1017" t="e">
        <f t="shared" si="15"/>
        <v>#DIV/0!</v>
      </c>
      <c r="G60" s="3457"/>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2531</v>
      </c>
      <c r="B61" s="224" t="e">
        <f t="shared" si="17"/>
        <v>#DIV/0!</v>
      </c>
      <c r="C61" s="176">
        <f t="shared" si="16"/>
        <v>0</v>
      </c>
      <c r="D61" s="1076">
        <v>0.25</v>
      </c>
      <c r="E61" s="223">
        <f>'数据-汇总表'!E11</f>
        <v>0</v>
      </c>
      <c r="F61" s="1017" t="e">
        <f t="shared" si="15"/>
        <v>#DIV/0!</v>
      </c>
      <c r="G61" s="2143" t="s">
        <v>2532</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2533</v>
      </c>
      <c r="B62" s="224" t="e">
        <f t="shared" si="17"/>
        <v>#DIV/0!</v>
      </c>
      <c r="C62" s="176">
        <f t="shared" si="16"/>
        <v>0</v>
      </c>
      <c r="D62" s="1076">
        <v>0.25</v>
      </c>
      <c r="E62" s="223">
        <f>'数据-汇总表'!E12</f>
        <v>0</v>
      </c>
      <c r="F62" s="1017" t="e">
        <f t="shared" si="15"/>
        <v>#DIV/0!</v>
      </c>
      <c r="G62" s="1023" t="s">
        <v>2534</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2535</v>
      </c>
      <c r="B63" s="224" t="e">
        <f t="shared" si="17"/>
        <v>#DIV/0!</v>
      </c>
      <c r="C63" s="176">
        <f t="shared" si="16"/>
        <v>0</v>
      </c>
      <c r="D63" s="1076">
        <v>0.25</v>
      </c>
      <c r="E63" s="223">
        <f>'数据-汇总表'!E13</f>
        <v>0</v>
      </c>
      <c r="F63" s="1017" t="e">
        <f t="shared" si="15"/>
        <v>#DIV/0!</v>
      </c>
      <c r="G63" s="1023" t="s">
        <v>2536</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2537</v>
      </c>
      <c r="B64" s="224" t="e">
        <f t="shared" si="17"/>
        <v>#DIV/0!</v>
      </c>
      <c r="C64" s="176">
        <f t="shared" si="16"/>
        <v>0</v>
      </c>
      <c r="D64" s="1076">
        <v>0.25</v>
      </c>
      <c r="E64" s="223">
        <f>'数据-汇总表'!E14</f>
        <v>0</v>
      </c>
      <c r="F64" s="1017" t="e">
        <f t="shared" si="15"/>
        <v>#DIV/0!</v>
      </c>
      <c r="G64" s="2143" t="s">
        <v>2527</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2538</v>
      </c>
      <c r="B65" s="224" t="e">
        <f t="shared" si="17"/>
        <v>#DIV/0!</v>
      </c>
      <c r="C65" s="176">
        <f t="shared" si="16"/>
        <v>0</v>
      </c>
      <c r="D65" s="1076">
        <v>0.25</v>
      </c>
      <c r="E65" s="223">
        <f>'数据-汇总表'!E15</f>
        <v>0</v>
      </c>
      <c r="F65" s="1017" t="e">
        <f t="shared" si="15"/>
        <v>#DIV/0!</v>
      </c>
      <c r="G65" s="2144" t="s">
        <v>2532</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2539</v>
      </c>
      <c r="B66" s="652" t="s">
        <v>28</v>
      </c>
      <c r="C66" s="652" t="s">
        <v>29</v>
      </c>
      <c r="D66" s="652" t="s">
        <v>997</v>
      </c>
      <c r="E66" s="652">
        <f>IF(B46="楼面地价",SUM(E56:E65),'数据-汇总表'!D3)</f>
        <v>23225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4"/>
      <c r="Q68" s="2924"/>
      <c r="R68" s="2924"/>
      <c r="S68" s="2924"/>
      <c r="T68" s="2924"/>
      <c r="U68" s="2924"/>
      <c r="V68" s="2924"/>
      <c r="W68" s="2924"/>
      <c r="X68" s="2924"/>
      <c r="Y68" s="2924"/>
      <c r="Z68" s="2924"/>
      <c r="AA68" s="2924"/>
      <c r="AB68" s="2924"/>
      <c r="AC68" s="2924"/>
    </row>
    <row r="69" spans="1:29" ht="21.75" thickBot="1">
      <c r="A69" s="703" t="s">
        <v>2432</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2540</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2541</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2343</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2308</v>
      </c>
      <c r="B73" s="467"/>
      <c r="C73" s="479" t="s">
        <v>2410</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2346</v>
      </c>
      <c r="B75" s="485" t="s">
        <v>2312</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2315</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2317</v>
      </c>
      <c r="B88" s="485" t="s">
        <v>2354</v>
      </c>
      <c r="C88" s="530" t="s">
        <v>2355</v>
      </c>
      <c r="D88" s="530" t="s">
        <v>2356</v>
      </c>
      <c r="E88" s="530" t="s">
        <v>2357</v>
      </c>
      <c r="F88" s="530" t="s">
        <v>2358</v>
      </c>
      <c r="G88" s="530" t="s">
        <v>2359</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2542</v>
      </c>
      <c r="C90" s="535" t="s">
        <v>2355</v>
      </c>
      <c r="D90" s="535" t="s">
        <v>2356</v>
      </c>
      <c r="E90" s="535" t="s">
        <v>2357</v>
      </c>
      <c r="F90" s="535" t="s">
        <v>2358</v>
      </c>
      <c r="G90" s="535" t="s">
        <v>2359</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2455</v>
      </c>
      <c r="C92" s="535" t="s">
        <v>2355</v>
      </c>
      <c r="D92" s="535" t="s">
        <v>2356</v>
      </c>
      <c r="E92" s="535" t="s">
        <v>2357</v>
      </c>
      <c r="F92" s="535" t="s">
        <v>2358</v>
      </c>
      <c r="G92" s="535" t="s">
        <v>2359</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2360</v>
      </c>
      <c r="C94" s="535" t="s">
        <v>2355</v>
      </c>
      <c r="D94" s="535" t="s">
        <v>2356</v>
      </c>
      <c r="E94" s="535" t="s">
        <v>2357</v>
      </c>
      <c r="F94" s="535" t="s">
        <v>2358</v>
      </c>
      <c r="G94" s="535" t="s">
        <v>2359</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2543</v>
      </c>
      <c r="C96" s="535" t="s">
        <v>2355</v>
      </c>
      <c r="D96" s="535" t="s">
        <v>2356</v>
      </c>
      <c r="E96" s="535" t="s">
        <v>2357</v>
      </c>
      <c r="F96" s="535" t="s">
        <v>2358</v>
      </c>
      <c r="G96" s="535" t="s">
        <v>2359</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2544</v>
      </c>
      <c r="C98" s="530" t="s">
        <v>2355</v>
      </c>
      <c r="D98" s="530" t="s">
        <v>2356</v>
      </c>
      <c r="E98" s="530" t="s">
        <v>2357</v>
      </c>
      <c r="F98" s="530" t="s">
        <v>2358</v>
      </c>
      <c r="G98" s="530" t="s">
        <v>2359</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2412</v>
      </c>
      <c r="C100" s="530" t="s">
        <v>2355</v>
      </c>
      <c r="D100" s="530" t="s">
        <v>2356</v>
      </c>
      <c r="E100" s="530" t="s">
        <v>2357</v>
      </c>
      <c r="F100" s="530" t="s">
        <v>2358</v>
      </c>
      <c r="G100" s="530" t="s">
        <v>2359</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2413</v>
      </c>
      <c r="C102" s="616" t="s">
        <v>2433</v>
      </c>
      <c r="D102" s="616" t="s">
        <v>2434</v>
      </c>
      <c r="E102" s="616" t="s">
        <v>2435</v>
      </c>
      <c r="F102" s="616" t="s">
        <v>2436</v>
      </c>
      <c r="G102" s="616" t="s">
        <v>2437</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2449</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2508</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2550</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2551</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2552</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2553</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2801</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9" t="s">
        <v>183</v>
      </c>
      <c r="B18" s="821" t="s">
        <v>560</v>
      </c>
      <c r="C18" s="822" t="s">
        <v>561</v>
      </c>
      <c r="D18" s="823"/>
      <c r="E18" s="821">
        <v>1</v>
      </c>
      <c r="F18" s="824" t="s">
        <v>562</v>
      </c>
      <c r="G18" s="825"/>
      <c r="H18" s="817"/>
      <c r="I18" s="817"/>
    </row>
    <row r="19" spans="1:9" s="826" customFormat="1" ht="19.5" customHeight="1">
      <c r="A19" s="3579"/>
      <c r="B19" s="3579" t="s">
        <v>563</v>
      </c>
      <c r="C19" s="822" t="s">
        <v>564</v>
      </c>
      <c r="D19" s="823"/>
      <c r="E19" s="821">
        <v>0.9</v>
      </c>
      <c r="F19" s="824" t="s">
        <v>565</v>
      </c>
      <c r="G19" s="825"/>
      <c r="H19" s="817"/>
      <c r="I19" s="817"/>
    </row>
    <row r="20" spans="1:9" s="826" customFormat="1" ht="19.5" customHeight="1">
      <c r="A20" s="3579"/>
      <c r="B20" s="3579"/>
      <c r="C20" s="822" t="s">
        <v>566</v>
      </c>
      <c r="D20" s="823"/>
      <c r="E20" s="821">
        <v>1.1000000000000001</v>
      </c>
      <c r="F20" s="824" t="s">
        <v>567</v>
      </c>
      <c r="G20" s="825"/>
      <c r="H20" s="817"/>
      <c r="I20" s="817"/>
    </row>
    <row r="21" spans="1:9" s="826" customFormat="1" ht="19.5" customHeight="1">
      <c r="A21" s="3579"/>
      <c r="B21" s="3579"/>
      <c r="C21" s="822" t="s">
        <v>568</v>
      </c>
      <c r="D21" s="823"/>
      <c r="E21" s="821">
        <v>0.8</v>
      </c>
      <c r="F21" s="824" t="s">
        <v>569</v>
      </c>
      <c r="G21" s="825"/>
      <c r="H21" s="817"/>
      <c r="I21" s="817"/>
    </row>
    <row r="22" spans="1:9" s="826" customFormat="1" ht="19.5" customHeight="1">
      <c r="A22" s="3579"/>
      <c r="B22" s="3579"/>
      <c r="C22" s="822" t="s">
        <v>570</v>
      </c>
      <c r="D22" s="823"/>
      <c r="E22" s="821">
        <v>0.5</v>
      </c>
      <c r="F22" s="824"/>
      <c r="G22" s="825"/>
      <c r="H22" s="817"/>
      <c r="I22" s="817"/>
    </row>
    <row r="23" spans="1:9" s="826" customFormat="1" ht="19.5" customHeight="1">
      <c r="A23" s="3579" t="s">
        <v>184</v>
      </c>
      <c r="B23" s="821" t="s">
        <v>560</v>
      </c>
      <c r="C23" s="822" t="s">
        <v>571</v>
      </c>
      <c r="D23" s="823"/>
      <c r="E23" s="821">
        <v>1</v>
      </c>
      <c r="F23" s="824" t="s">
        <v>572</v>
      </c>
      <c r="G23" s="825"/>
      <c r="H23" s="817"/>
      <c r="I23" s="817"/>
    </row>
    <row r="24" spans="1:9" s="826" customFormat="1" ht="19.5" customHeight="1">
      <c r="A24" s="3579"/>
      <c r="B24" s="3579" t="s">
        <v>563</v>
      </c>
      <c r="C24" s="822" t="s">
        <v>573</v>
      </c>
      <c r="D24" s="823"/>
      <c r="E24" s="821">
        <v>0.5</v>
      </c>
      <c r="F24" s="824"/>
      <c r="G24" s="825"/>
      <c r="H24" s="817"/>
      <c r="I24" s="817"/>
    </row>
    <row r="25" spans="1:9" s="826" customFormat="1" ht="19.5" customHeight="1">
      <c r="A25" s="3579"/>
      <c r="B25" s="3579"/>
      <c r="C25" s="822" t="s">
        <v>574</v>
      </c>
      <c r="D25" s="823"/>
      <c r="E25" s="821">
        <v>1.1000000000000001</v>
      </c>
      <c r="F25" s="824"/>
      <c r="G25" s="825"/>
      <c r="H25" s="817"/>
      <c r="I25" s="817"/>
    </row>
    <row r="26" spans="1:9" s="826" customFormat="1" ht="19.5" customHeight="1">
      <c r="A26" s="3579"/>
      <c r="B26" s="3579"/>
      <c r="C26" s="822" t="s">
        <v>575</v>
      </c>
      <c r="D26" s="823"/>
      <c r="E26" s="821">
        <v>1.1000000000000001</v>
      </c>
      <c r="F26" s="824"/>
      <c r="G26" s="825"/>
      <c r="H26" s="817"/>
      <c r="I26" s="817"/>
    </row>
    <row r="27" spans="1:9" s="826" customFormat="1" ht="19.5" customHeight="1">
      <c r="A27" s="3579"/>
      <c r="B27" s="3579"/>
      <c r="C27" s="822" t="s">
        <v>576</v>
      </c>
      <c r="D27" s="823"/>
      <c r="E27" s="821">
        <v>0.9</v>
      </c>
      <c r="F27" s="824" t="s">
        <v>577</v>
      </c>
      <c r="G27" s="825"/>
      <c r="H27" s="817"/>
      <c r="I27" s="817"/>
    </row>
    <row r="28" spans="1:9" s="826" customFormat="1" ht="19.5" customHeight="1">
      <c r="A28" s="3579"/>
      <c r="B28" s="3579"/>
      <c r="C28" s="822" t="s">
        <v>578</v>
      </c>
      <c r="D28" s="823"/>
      <c r="E28" s="821">
        <v>0.9</v>
      </c>
      <c r="F28" s="824" t="s">
        <v>579</v>
      </c>
      <c r="G28" s="825"/>
      <c r="H28" s="817"/>
      <c r="I28" s="817"/>
    </row>
    <row r="29" spans="1:9" s="826" customFormat="1" ht="19.5" customHeight="1">
      <c r="A29" s="3579"/>
      <c r="B29" s="3579"/>
      <c r="C29" s="822" t="s">
        <v>580</v>
      </c>
      <c r="D29" s="823"/>
      <c r="E29" s="821">
        <v>0.9</v>
      </c>
      <c r="F29" s="824" t="s">
        <v>581</v>
      </c>
      <c r="G29" s="825"/>
      <c r="H29" s="817"/>
      <c r="I29" s="817"/>
    </row>
    <row r="30" spans="1:9" s="826" customFormat="1" ht="19.5" customHeight="1">
      <c r="A30" s="3579"/>
      <c r="B30" s="3579"/>
      <c r="C30" s="822" t="s">
        <v>582</v>
      </c>
      <c r="D30" s="823"/>
      <c r="E30" s="821">
        <v>0.9</v>
      </c>
      <c r="F30" s="824" t="s">
        <v>583</v>
      </c>
      <c r="G30" s="825"/>
      <c r="H30" s="817"/>
      <c r="I30" s="817"/>
    </row>
    <row r="31" spans="1:9" s="826" customFormat="1" ht="19.5" customHeight="1">
      <c r="A31" s="3579"/>
      <c r="B31" s="3579"/>
      <c r="C31" s="822" t="s">
        <v>584</v>
      </c>
      <c r="D31" s="823"/>
      <c r="E31" s="821">
        <v>0.8</v>
      </c>
      <c r="F31" s="824" t="s">
        <v>585</v>
      </c>
      <c r="G31" s="825"/>
      <c r="H31" s="817"/>
      <c r="I31" s="817"/>
    </row>
    <row r="32" spans="1:9" s="826" customFormat="1" ht="19.5" customHeight="1">
      <c r="A32" s="3579"/>
      <c r="B32" s="3579"/>
      <c r="C32" s="822" t="s">
        <v>586</v>
      </c>
      <c r="D32" s="823"/>
      <c r="E32" s="821">
        <v>0.8</v>
      </c>
      <c r="F32" s="824" t="s">
        <v>587</v>
      </c>
      <c r="G32" s="825"/>
      <c r="H32" s="817"/>
      <c r="I32" s="817"/>
    </row>
    <row r="33" spans="1:9" s="826" customFormat="1" ht="19.5" customHeight="1">
      <c r="A33" s="3579" t="s">
        <v>185</v>
      </c>
      <c r="B33" s="821" t="s">
        <v>560</v>
      </c>
      <c r="C33" s="822" t="s">
        <v>588</v>
      </c>
      <c r="D33" s="823"/>
      <c r="E33" s="821">
        <v>1</v>
      </c>
      <c r="F33" s="824" t="s">
        <v>589</v>
      </c>
      <c r="G33" s="825"/>
      <c r="H33" s="817"/>
      <c r="I33" s="817"/>
    </row>
    <row r="34" spans="1:9" s="826" customFormat="1" ht="19.5" customHeight="1">
      <c r="A34" s="3579"/>
      <c r="B34" s="821" t="s">
        <v>563</v>
      </c>
      <c r="C34" s="822" t="s">
        <v>590</v>
      </c>
      <c r="D34" s="823"/>
      <c r="E34" s="821">
        <v>1.5</v>
      </c>
      <c r="F34" s="824" t="s">
        <v>591</v>
      </c>
      <c r="G34" s="825"/>
      <c r="H34" s="817"/>
      <c r="I34" s="817"/>
    </row>
    <row r="35" spans="1:9" s="826" customFormat="1" ht="19.5" customHeight="1">
      <c r="A35" s="3579" t="s">
        <v>186</v>
      </c>
      <c r="B35" s="821" t="s">
        <v>560</v>
      </c>
      <c r="C35" s="822" t="s">
        <v>592</v>
      </c>
      <c r="D35" s="823"/>
      <c r="E35" s="821">
        <v>1</v>
      </c>
      <c r="F35" s="824" t="s">
        <v>593</v>
      </c>
      <c r="G35" s="825"/>
      <c r="H35" s="817"/>
      <c r="I35" s="817"/>
    </row>
    <row r="36" spans="1:9" s="826" customFormat="1" ht="19.5" customHeight="1">
      <c r="A36" s="3579"/>
      <c r="B36" s="3579" t="s">
        <v>563</v>
      </c>
      <c r="C36" s="822" t="s">
        <v>594</v>
      </c>
      <c r="D36" s="823"/>
      <c r="E36" s="821">
        <v>1</v>
      </c>
      <c r="F36" s="824" t="s">
        <v>595</v>
      </c>
      <c r="G36" s="825"/>
      <c r="H36" s="817"/>
      <c r="I36" s="817"/>
    </row>
    <row r="37" spans="1:9" s="826" customFormat="1" ht="19.5" customHeight="1">
      <c r="A37" s="3579"/>
      <c r="B37" s="3579"/>
      <c r="C37" s="822" t="s">
        <v>596</v>
      </c>
      <c r="D37" s="823"/>
      <c r="E37" s="821">
        <v>1.5</v>
      </c>
      <c r="F37" s="824" t="s">
        <v>597</v>
      </c>
      <c r="G37" s="825"/>
      <c r="H37" s="817"/>
      <c r="I37" s="817"/>
    </row>
    <row r="38" spans="1:9" s="826" customFormat="1" ht="19.5" customHeight="1">
      <c r="A38" s="3579"/>
      <c r="B38" s="3579"/>
      <c r="C38" s="822" t="s">
        <v>598</v>
      </c>
      <c r="D38" s="823"/>
      <c r="E38" s="821">
        <v>1</v>
      </c>
      <c r="F38" s="824" t="s">
        <v>599</v>
      </c>
      <c r="G38" s="825"/>
      <c r="H38" s="817"/>
      <c r="I38" s="817"/>
    </row>
    <row r="39" spans="1:9" s="826" customFormat="1" ht="19.5" customHeight="1">
      <c r="A39" s="3579"/>
      <c r="B39" s="357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9" t="s">
        <v>614</v>
      </c>
      <c r="C61" s="757" t="s">
        <v>615</v>
      </c>
      <c r="D61" s="757" t="s">
        <v>616</v>
      </c>
      <c r="E61" s="834">
        <v>0.5</v>
      </c>
      <c r="F61" s="821">
        <v>80</v>
      </c>
    </row>
    <row r="62" spans="1:8" s="817" customFormat="1" ht="24">
      <c r="A62" s="821">
        <v>2</v>
      </c>
      <c r="B62" s="3579"/>
      <c r="C62" s="757" t="s">
        <v>617</v>
      </c>
      <c r="D62" s="757" t="s">
        <v>618</v>
      </c>
      <c r="E62" s="834">
        <v>0.5</v>
      </c>
      <c r="F62" s="821">
        <v>80</v>
      </c>
    </row>
    <row r="63" spans="1:8" s="817" customFormat="1" ht="36">
      <c r="A63" s="821">
        <v>3</v>
      </c>
      <c r="B63" s="3579"/>
      <c r="C63" s="757" t="s">
        <v>619</v>
      </c>
      <c r="D63" s="757" t="s">
        <v>620</v>
      </c>
      <c r="E63" s="834">
        <v>0.5</v>
      </c>
      <c r="F63" s="821">
        <v>80</v>
      </c>
    </row>
    <row r="64" spans="1:8" s="817" customFormat="1" ht="36">
      <c r="A64" s="821">
        <v>4</v>
      </c>
      <c r="B64" s="3579"/>
      <c r="C64" s="757" t="s">
        <v>621</v>
      </c>
      <c r="D64" s="757" t="s">
        <v>622</v>
      </c>
      <c r="E64" s="834">
        <v>0.4</v>
      </c>
      <c r="F64" s="821">
        <v>60</v>
      </c>
    </row>
    <row r="65" spans="1:6" s="817" customFormat="1" ht="36">
      <c r="A65" s="821">
        <v>5</v>
      </c>
      <c r="B65" s="3579"/>
      <c r="C65" s="757" t="s">
        <v>623</v>
      </c>
      <c r="D65" s="757" t="s">
        <v>624</v>
      </c>
      <c r="E65" s="834">
        <v>0.2</v>
      </c>
      <c r="F65" s="821">
        <v>30</v>
      </c>
    </row>
    <row r="66" spans="1:6" s="817" customFormat="1" ht="36">
      <c r="A66" s="821">
        <v>6</v>
      </c>
      <c r="B66" s="3579"/>
      <c r="C66" s="757" t="s">
        <v>625</v>
      </c>
      <c r="D66" s="757" t="s">
        <v>626</v>
      </c>
      <c r="E66" s="834">
        <v>0.3</v>
      </c>
      <c r="F66" s="821">
        <v>50</v>
      </c>
    </row>
    <row r="67" spans="1:6" s="817" customFormat="1" ht="36">
      <c r="A67" s="821">
        <v>7</v>
      </c>
      <c r="B67" s="3579"/>
      <c r="C67" s="757" t="s">
        <v>627</v>
      </c>
      <c r="D67" s="757" t="s">
        <v>628</v>
      </c>
      <c r="E67" s="834">
        <v>0.2</v>
      </c>
      <c r="F67" s="821">
        <v>30</v>
      </c>
    </row>
    <row r="68" spans="1:6" s="817" customFormat="1" ht="36">
      <c r="A68" s="821">
        <v>8</v>
      </c>
      <c r="B68" s="3579"/>
      <c r="C68" s="757" t="s">
        <v>629</v>
      </c>
      <c r="D68" s="757" t="s">
        <v>630</v>
      </c>
      <c r="E68" s="834">
        <v>0.2</v>
      </c>
      <c r="F68" s="821">
        <v>30</v>
      </c>
    </row>
    <row r="69" spans="1:6" s="817" customFormat="1" ht="36">
      <c r="A69" s="821">
        <v>9</v>
      </c>
      <c r="B69" s="3579"/>
      <c r="C69" s="757" t="s">
        <v>631</v>
      </c>
      <c r="D69" s="757" t="s">
        <v>632</v>
      </c>
      <c r="E69" s="834">
        <v>0.2</v>
      </c>
      <c r="F69" s="821">
        <v>30</v>
      </c>
    </row>
    <row r="70" spans="1:6" s="817" customFormat="1" ht="48">
      <c r="A70" s="821">
        <v>10</v>
      </c>
      <c r="B70" s="3579"/>
      <c r="C70" s="757" t="s">
        <v>633</v>
      </c>
      <c r="D70" s="757" t="s">
        <v>634</v>
      </c>
      <c r="E70" s="834">
        <v>0.2</v>
      </c>
      <c r="F70" s="821">
        <v>30</v>
      </c>
    </row>
    <row r="71" spans="1:6" s="817" customFormat="1" ht="48">
      <c r="A71" s="821">
        <v>11</v>
      </c>
      <c r="B71" s="3579"/>
      <c r="C71" s="757" t="s">
        <v>635</v>
      </c>
      <c r="D71" s="757" t="s">
        <v>636</v>
      </c>
      <c r="E71" s="834">
        <v>0.2</v>
      </c>
      <c r="F71" s="821">
        <v>30</v>
      </c>
    </row>
    <row r="72" spans="1:6" s="817" customFormat="1" ht="36">
      <c r="A72" s="821">
        <v>12</v>
      </c>
      <c r="B72" s="3579"/>
      <c r="C72" s="757" t="s">
        <v>637</v>
      </c>
      <c r="D72" s="757" t="s">
        <v>638</v>
      </c>
      <c r="E72" s="834">
        <v>0.5</v>
      </c>
      <c r="F72" s="821">
        <v>80</v>
      </c>
    </row>
    <row r="73" spans="1:6" s="817" customFormat="1" ht="24">
      <c r="A73" s="821">
        <v>13</v>
      </c>
      <c r="B73" s="3579"/>
      <c r="C73" s="757" t="s">
        <v>639</v>
      </c>
      <c r="D73" s="757" t="s">
        <v>640</v>
      </c>
      <c r="E73" s="834">
        <v>0.4</v>
      </c>
      <c r="F73" s="821">
        <v>60</v>
      </c>
    </row>
    <row r="74" spans="1:6" s="817" customFormat="1" ht="24">
      <c r="A74" s="821">
        <v>14</v>
      </c>
      <c r="B74" s="3579"/>
      <c r="C74" s="757" t="s">
        <v>641</v>
      </c>
      <c r="D74" s="757" t="s">
        <v>642</v>
      </c>
      <c r="E74" s="834">
        <v>0.2</v>
      </c>
      <c r="F74" s="821">
        <v>30</v>
      </c>
    </row>
    <row r="75" spans="1:6" s="817" customFormat="1" ht="24">
      <c r="A75" s="821">
        <v>15</v>
      </c>
      <c r="B75" s="3579"/>
      <c r="C75" s="757" t="s">
        <v>643</v>
      </c>
      <c r="D75" s="757" t="s">
        <v>644</v>
      </c>
      <c r="E75" s="834">
        <v>0.2</v>
      </c>
      <c r="F75" s="821">
        <v>30</v>
      </c>
    </row>
    <row r="76" spans="1:6" s="817" customFormat="1" ht="24">
      <c r="A76" s="821">
        <v>16</v>
      </c>
      <c r="B76" s="3579" t="s">
        <v>645</v>
      </c>
      <c r="C76" s="757" t="s">
        <v>646</v>
      </c>
      <c r="D76" s="757" t="s">
        <v>647</v>
      </c>
      <c r="E76" s="834">
        <v>0.5</v>
      </c>
      <c r="F76" s="821">
        <v>80</v>
      </c>
    </row>
    <row r="77" spans="1:6" s="817" customFormat="1" ht="24">
      <c r="A77" s="821">
        <v>17</v>
      </c>
      <c r="B77" s="3579"/>
      <c r="C77" s="757" t="s">
        <v>648</v>
      </c>
      <c r="D77" s="757" t="s">
        <v>649</v>
      </c>
      <c r="E77" s="834">
        <v>0.5</v>
      </c>
      <c r="F77" s="821">
        <v>80</v>
      </c>
    </row>
    <row r="78" spans="1:6" s="817" customFormat="1" ht="24">
      <c r="A78" s="821">
        <v>18</v>
      </c>
      <c r="B78" s="3579"/>
      <c r="C78" s="757" t="s">
        <v>650</v>
      </c>
      <c r="D78" s="757" t="s">
        <v>651</v>
      </c>
      <c r="E78" s="834">
        <v>0.2</v>
      </c>
      <c r="F78" s="821">
        <v>30</v>
      </c>
    </row>
    <row r="79" spans="1:6" s="817" customFormat="1" ht="24">
      <c r="A79" s="821">
        <v>19</v>
      </c>
      <c r="B79" s="3579"/>
      <c r="C79" s="757" t="s">
        <v>652</v>
      </c>
      <c r="D79" s="757" t="s">
        <v>653</v>
      </c>
      <c r="E79" s="834">
        <v>0.5</v>
      </c>
      <c r="F79" s="821">
        <v>80</v>
      </c>
    </row>
    <row r="80" spans="1:6" s="817" customFormat="1" ht="36">
      <c r="A80" s="821">
        <v>20</v>
      </c>
      <c r="B80" s="3579"/>
      <c r="C80" s="757" t="s">
        <v>654</v>
      </c>
      <c r="D80" s="757" t="s">
        <v>655</v>
      </c>
      <c r="E80" s="834">
        <v>0.2</v>
      </c>
      <c r="F80" s="821">
        <v>30</v>
      </c>
    </row>
    <row r="81" spans="1:6" s="817" customFormat="1" ht="36">
      <c r="A81" s="821">
        <v>21</v>
      </c>
      <c r="B81" s="3579"/>
      <c r="C81" s="757" t="s">
        <v>656</v>
      </c>
      <c r="D81" s="757" t="s">
        <v>657</v>
      </c>
      <c r="E81" s="834">
        <v>0.2</v>
      </c>
      <c r="F81" s="821">
        <v>30</v>
      </c>
    </row>
    <row r="82" spans="1:6" s="817" customFormat="1" ht="48">
      <c r="A82" s="821">
        <v>22</v>
      </c>
      <c r="B82" s="3579"/>
      <c r="C82" s="757" t="s">
        <v>658</v>
      </c>
      <c r="D82" s="757" t="s">
        <v>659</v>
      </c>
      <c r="E82" s="834">
        <v>0.2</v>
      </c>
      <c r="F82" s="821">
        <v>30</v>
      </c>
    </row>
    <row r="83" spans="1:6" s="817" customFormat="1" ht="48">
      <c r="A83" s="821">
        <v>23</v>
      </c>
      <c r="B83" s="3579"/>
      <c r="C83" s="757" t="s">
        <v>660</v>
      </c>
      <c r="D83" s="757" t="s">
        <v>661</v>
      </c>
      <c r="E83" s="834">
        <v>0.2</v>
      </c>
      <c r="F83" s="821">
        <v>30</v>
      </c>
    </row>
    <row r="84" spans="1:6" s="817" customFormat="1" ht="36">
      <c r="A84" s="821">
        <v>24</v>
      </c>
      <c r="B84" s="3579"/>
      <c r="C84" s="757" t="s">
        <v>662</v>
      </c>
      <c r="D84" s="757" t="s">
        <v>663</v>
      </c>
      <c r="E84" s="834">
        <v>0.2</v>
      </c>
      <c r="F84" s="821">
        <v>30</v>
      </c>
    </row>
    <row r="85" spans="1:6" s="817" customFormat="1" ht="36">
      <c r="A85" s="821">
        <v>25</v>
      </c>
      <c r="B85" s="3579"/>
      <c r="C85" s="757" t="s">
        <v>664</v>
      </c>
      <c r="D85" s="757" t="s">
        <v>665</v>
      </c>
      <c r="E85" s="834">
        <v>0.5</v>
      </c>
      <c r="F85" s="821">
        <v>80</v>
      </c>
    </row>
    <row r="86" spans="1:6" s="817" customFormat="1" ht="36">
      <c r="A86" s="821">
        <v>26</v>
      </c>
      <c r="B86" s="3579"/>
      <c r="C86" s="757" t="s">
        <v>666</v>
      </c>
      <c r="D86" s="757" t="s">
        <v>667</v>
      </c>
      <c r="E86" s="834">
        <v>0.2</v>
      </c>
      <c r="F86" s="821">
        <v>30</v>
      </c>
    </row>
    <row r="87" spans="1:6" s="817" customFormat="1" ht="36">
      <c r="A87" s="821">
        <v>27</v>
      </c>
      <c r="B87" s="3579"/>
      <c r="C87" s="757" t="s">
        <v>668</v>
      </c>
      <c r="D87" s="757" t="s">
        <v>669</v>
      </c>
      <c r="E87" s="834">
        <v>0.2</v>
      </c>
      <c r="F87" s="821">
        <v>30</v>
      </c>
    </row>
    <row r="88" spans="1:6" s="817" customFormat="1" ht="36">
      <c r="A88" s="821">
        <v>28</v>
      </c>
      <c r="B88" s="3579"/>
      <c r="C88" s="757" t="s">
        <v>670</v>
      </c>
      <c r="D88" s="757" t="s">
        <v>671</v>
      </c>
      <c r="E88" s="834">
        <v>0.2</v>
      </c>
      <c r="F88" s="821">
        <v>30</v>
      </c>
    </row>
    <row r="89" spans="1:6" s="817" customFormat="1" ht="24">
      <c r="A89" s="821">
        <v>29</v>
      </c>
      <c r="B89" s="3579"/>
      <c r="C89" s="757" t="s">
        <v>672</v>
      </c>
      <c r="D89" s="757" t="s">
        <v>673</v>
      </c>
      <c r="E89" s="834">
        <v>0.2</v>
      </c>
      <c r="F89" s="821">
        <v>30</v>
      </c>
    </row>
    <row r="90" spans="1:6" s="817" customFormat="1" ht="24">
      <c r="A90" s="821">
        <v>30</v>
      </c>
      <c r="B90" s="3579"/>
      <c r="C90" s="757" t="s">
        <v>674</v>
      </c>
      <c r="D90" s="757" t="s">
        <v>675</v>
      </c>
      <c r="E90" s="834">
        <v>0.2</v>
      </c>
      <c r="F90" s="821">
        <v>30</v>
      </c>
    </row>
    <row r="91" spans="1:6" s="817" customFormat="1" ht="36">
      <c r="A91" s="821">
        <v>31</v>
      </c>
      <c r="B91" s="3579"/>
      <c r="C91" s="757" t="s">
        <v>676</v>
      </c>
      <c r="D91" s="757" t="s">
        <v>677</v>
      </c>
      <c r="E91" s="834">
        <v>0.2</v>
      </c>
      <c r="F91" s="821">
        <v>30</v>
      </c>
    </row>
    <row r="92" spans="1:6" s="817" customFormat="1" ht="24">
      <c r="A92" s="821">
        <v>32</v>
      </c>
      <c r="B92" s="3579" t="s">
        <v>678</v>
      </c>
      <c r="C92" s="821" t="s">
        <v>679</v>
      </c>
      <c r="D92" s="757" t="s">
        <v>680</v>
      </c>
      <c r="E92" s="834">
        <v>0.2</v>
      </c>
      <c r="F92" s="821">
        <v>30</v>
      </c>
    </row>
    <row r="93" spans="1:6" s="817" customFormat="1" ht="36">
      <c r="A93" s="821">
        <v>33</v>
      </c>
      <c r="B93" s="3579"/>
      <c r="C93" s="821" t="s">
        <v>681</v>
      </c>
      <c r="D93" s="757" t="s">
        <v>682</v>
      </c>
      <c r="E93" s="834">
        <v>0.2</v>
      </c>
      <c r="F93" s="821">
        <v>30</v>
      </c>
    </row>
    <row r="94" spans="1:6" s="817" customFormat="1" ht="48">
      <c r="A94" s="821">
        <v>34</v>
      </c>
      <c r="B94" s="3579"/>
      <c r="C94" s="821" t="s">
        <v>683</v>
      </c>
      <c r="D94" s="757" t="s">
        <v>684</v>
      </c>
      <c r="E94" s="834">
        <v>0.2</v>
      </c>
      <c r="F94" s="821">
        <v>30</v>
      </c>
    </row>
    <row r="95" spans="1:6" s="817" customFormat="1" ht="36">
      <c r="A95" s="821">
        <v>35</v>
      </c>
      <c r="B95" s="3579"/>
      <c r="C95" s="821" t="s">
        <v>685</v>
      </c>
      <c r="D95" s="757" t="s">
        <v>686</v>
      </c>
      <c r="E95" s="834">
        <v>0.2</v>
      </c>
      <c r="F95" s="821">
        <v>30</v>
      </c>
    </row>
    <row r="96" spans="1:6" s="817" customFormat="1" ht="48">
      <c r="A96" s="821">
        <v>36</v>
      </c>
      <c r="B96" s="3579"/>
      <c r="C96" s="757" t="s">
        <v>687</v>
      </c>
      <c r="D96" s="757" t="s">
        <v>688</v>
      </c>
      <c r="E96" s="834">
        <v>0.2</v>
      </c>
      <c r="F96" s="821">
        <v>30</v>
      </c>
    </row>
    <row r="97" spans="1:6" s="817" customFormat="1" ht="36">
      <c r="A97" s="821">
        <v>37</v>
      </c>
      <c r="B97" s="3579"/>
      <c r="C97" s="821" t="s">
        <v>689</v>
      </c>
      <c r="D97" s="757" t="s">
        <v>690</v>
      </c>
      <c r="E97" s="834">
        <v>0.2</v>
      </c>
      <c r="F97" s="821">
        <v>30</v>
      </c>
    </row>
    <row r="98" spans="1:6" s="817" customFormat="1" ht="36">
      <c r="A98" s="821">
        <v>38</v>
      </c>
      <c r="B98" s="3579"/>
      <c r="C98" s="821" t="s">
        <v>691</v>
      </c>
      <c r="D98" s="757" t="s">
        <v>692</v>
      </c>
      <c r="E98" s="834">
        <v>0.2</v>
      </c>
      <c r="F98" s="821">
        <v>30</v>
      </c>
    </row>
    <row r="99" spans="1:6" s="817" customFormat="1" ht="36">
      <c r="A99" s="821">
        <v>39</v>
      </c>
      <c r="B99" s="3579" t="s">
        <v>693</v>
      </c>
      <c r="C99" s="821" t="s">
        <v>694</v>
      </c>
      <c r="D99" s="757" t="s">
        <v>695</v>
      </c>
      <c r="E99" s="834">
        <v>0.3</v>
      </c>
      <c r="F99" s="821">
        <v>50</v>
      </c>
    </row>
    <row r="100" spans="1:6" s="817" customFormat="1" ht="24">
      <c r="A100" s="821">
        <v>40</v>
      </c>
      <c r="B100" s="3579"/>
      <c r="C100" s="821" t="s">
        <v>696</v>
      </c>
      <c r="D100" s="757" t="s">
        <v>697</v>
      </c>
      <c r="E100" s="834">
        <v>0.2</v>
      </c>
      <c r="F100" s="821">
        <v>30</v>
      </c>
    </row>
    <row r="101" spans="1:6" s="817" customFormat="1" ht="36">
      <c r="A101" s="821">
        <v>41</v>
      </c>
      <c r="B101" s="357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9" t="s">
        <v>708</v>
      </c>
      <c r="C105" s="821" t="s">
        <v>709</v>
      </c>
      <c r="D105" s="757" t="s">
        <v>710</v>
      </c>
      <c r="E105" s="834">
        <v>0.2</v>
      </c>
      <c r="F105" s="821">
        <v>30</v>
      </c>
    </row>
    <row r="106" spans="1:6" s="817" customFormat="1" ht="36">
      <c r="A106" s="821">
        <v>46</v>
      </c>
      <c r="B106" s="3579"/>
      <c r="C106" s="821" t="s">
        <v>711</v>
      </c>
      <c r="D106" s="757" t="s">
        <v>712</v>
      </c>
      <c r="E106" s="834">
        <v>0.2</v>
      </c>
      <c r="F106" s="821">
        <v>30</v>
      </c>
    </row>
    <row r="107" spans="1:6" s="817" customFormat="1" ht="36">
      <c r="A107" s="821">
        <v>47</v>
      </c>
      <c r="B107" s="3579" t="s">
        <v>713</v>
      </c>
      <c r="C107" s="821" t="s">
        <v>714</v>
      </c>
      <c r="D107" s="757" t="s">
        <v>715</v>
      </c>
      <c r="E107" s="834">
        <v>0.3</v>
      </c>
      <c r="F107" s="821">
        <v>50</v>
      </c>
    </row>
    <row r="108" spans="1:6" s="817" customFormat="1" ht="36">
      <c r="A108" s="821">
        <v>48</v>
      </c>
      <c r="B108" s="357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9" t="s">
        <v>724</v>
      </c>
      <c r="C111" s="821" t="s">
        <v>725</v>
      </c>
      <c r="D111" s="757" t="s">
        <v>726</v>
      </c>
      <c r="E111" s="834">
        <v>0.2</v>
      </c>
      <c r="F111" s="821">
        <v>30</v>
      </c>
    </row>
    <row r="112" spans="1:6" s="817" customFormat="1" ht="24">
      <c r="A112" s="821">
        <v>52</v>
      </c>
      <c r="B112" s="3579"/>
      <c r="C112" s="821" t="s">
        <v>727</v>
      </c>
      <c r="D112" s="757" t="s">
        <v>728</v>
      </c>
      <c r="E112" s="834">
        <v>0.2</v>
      </c>
      <c r="F112" s="821">
        <v>30</v>
      </c>
    </row>
    <row r="113" spans="1:6" s="817" customFormat="1" ht="24">
      <c r="A113" s="821">
        <v>53</v>
      </c>
      <c r="B113" s="357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9" t="s">
        <v>737</v>
      </c>
      <c r="C116" s="821" t="s">
        <v>738</v>
      </c>
      <c r="D116" s="757" t="s">
        <v>739</v>
      </c>
      <c r="E116" s="834">
        <v>0.2</v>
      </c>
      <c r="F116" s="821">
        <v>30</v>
      </c>
    </row>
    <row r="117" spans="1:6" ht="36">
      <c r="A117" s="821">
        <v>57</v>
      </c>
      <c r="B117" s="357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4" workbookViewId="0">
      <selection activeCell="K324" sqref="K324"/>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1.548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2758</v>
      </c>
      <c r="B1" s="2333"/>
      <c r="C1" s="2333"/>
      <c r="D1" s="2333"/>
      <c r="E1" s="2333"/>
      <c r="F1" s="2994"/>
      <c r="G1" s="2994"/>
      <c r="H1" s="2994"/>
      <c r="I1" s="2994"/>
      <c r="J1" s="2994"/>
      <c r="K1" s="2994"/>
      <c r="L1" s="2994"/>
      <c r="M1" s="2994"/>
      <c r="N1" s="2994"/>
      <c r="O1" s="2994"/>
      <c r="P1" s="2994"/>
    </row>
    <row r="2" spans="1:16" ht="15.75">
      <c r="A2" s="2331" t="s">
        <v>2750</v>
      </c>
      <c r="B2" s="2798">
        <f ca="1">SUMIF(B6:B13,"&lt;&gt;#ref!",B6:B13)</f>
        <v>2569</v>
      </c>
      <c r="C2" s="2331" t="s">
        <v>2751</v>
      </c>
      <c r="D2" s="2331" t="s">
        <v>2752</v>
      </c>
      <c r="E2" s="2808">
        <f ca="1">SUMIF(E6:E13,"&lt;&gt;#ref!",E6:E13)</f>
        <v>23225</v>
      </c>
      <c r="F2" s="2994"/>
      <c r="G2" s="2994"/>
      <c r="H2" s="2994"/>
      <c r="I2" s="2994"/>
      <c r="J2" s="2994"/>
      <c r="K2" s="2994"/>
      <c r="L2" s="2994"/>
      <c r="M2" s="2994"/>
      <c r="N2" s="2994"/>
      <c r="O2" s="2994"/>
      <c r="P2" s="2994"/>
    </row>
    <row r="3" spans="1:16" ht="15.75">
      <c r="A3" s="2331" t="s">
        <v>2753</v>
      </c>
      <c r="B3" s="2798">
        <f ca="1">ROUND(B2*10000/E2,0)</f>
        <v>1106</v>
      </c>
      <c r="C3" s="2331" t="s">
        <v>2759</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2754</v>
      </c>
      <c r="B5" s="2806" t="s">
        <v>2755</v>
      </c>
      <c r="C5" s="2332"/>
      <c r="D5" s="2994"/>
      <c r="E5" s="2807" t="s">
        <v>2756</v>
      </c>
      <c r="F5" s="2994"/>
      <c r="G5" s="2994"/>
      <c r="H5" s="2994"/>
      <c r="I5" s="2994"/>
      <c r="J5" s="2994"/>
      <c r="K5" s="2994"/>
      <c r="L5" s="2994"/>
      <c r="M5" s="2994"/>
      <c r="N5" s="2994"/>
      <c r="O5" s="2994"/>
      <c r="P5" s="2994"/>
    </row>
    <row r="6" spans="1:16" ht="15.75">
      <c r="A6" s="2805" t="s">
        <v>2757</v>
      </c>
      <c r="B6" s="2798">
        <f ca="1">SUMIF(INDIRECT("'"&amp;A6&amp;"'"&amp;"!A:A"),"总价",INDIRECT("'"&amp;A6&amp;"'"&amp;"!B:B"))</f>
        <v>2569</v>
      </c>
      <c r="C6" s="2331" t="s">
        <v>2751</v>
      </c>
      <c r="D6" s="2994"/>
      <c r="E6" s="2808">
        <f ca="1">SUMIF(INDIRECT("'"&amp;A6&amp;"'"&amp;"!C:C"),"建筑面积",INDIRECT("'"&amp;A6&amp;"'"&amp;"!D:D"))</f>
        <v>23225</v>
      </c>
      <c r="F6" s="2994"/>
      <c r="G6" s="2994"/>
      <c r="H6" s="2994"/>
      <c r="I6" s="2994"/>
      <c r="J6" s="2994"/>
      <c r="K6" s="2994"/>
      <c r="L6" s="2994"/>
      <c r="M6" s="2994"/>
      <c r="N6" s="2994"/>
      <c r="O6" s="2994"/>
      <c r="P6" s="2994"/>
    </row>
    <row r="7" spans="1:16" ht="15.75">
      <c r="A7" s="2805"/>
      <c r="B7" s="2798" t="e">
        <f ca="1">SUMIF(INDIRECT("'"&amp;A7&amp;"'"&amp;"!A:A"),"总价",INDIRECT("'"&amp;A7&amp;"'"&amp;"!B:B"))</f>
        <v>#REF!</v>
      </c>
      <c r="C7" s="2331" t="s">
        <v>2751</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2751</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2751</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2751</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2751</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2751</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2751</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24" sqref="D24"/>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85" t="s">
        <v>1058</v>
      </c>
      <c r="C1" s="3585"/>
      <c r="D1" s="3585"/>
      <c r="E1" s="3585"/>
      <c r="F1" s="3585"/>
      <c r="G1" s="3584" t="s">
        <v>1059</v>
      </c>
      <c r="H1" s="3584"/>
      <c r="I1" s="3584"/>
      <c r="J1" s="3584"/>
      <c r="K1" s="3584"/>
      <c r="L1" s="3584"/>
      <c r="N1" s="3584" t="s">
        <v>1060</v>
      </c>
      <c r="O1" s="3584"/>
      <c r="P1" s="3584"/>
      <c r="Q1" s="3584"/>
      <c r="S1" s="3584" t="s">
        <v>1061</v>
      </c>
      <c r="T1" s="3584"/>
      <c r="U1" s="3584"/>
      <c r="V1" s="3584"/>
      <c r="X1" s="3583" t="s">
        <v>1062</v>
      </c>
      <c r="Y1" s="3584"/>
      <c r="Z1" s="3584"/>
      <c r="AA1" s="3584"/>
      <c r="AB1" s="3584"/>
      <c r="AD1" s="3583" t="s">
        <v>1063</v>
      </c>
      <c r="AE1" s="3584"/>
      <c r="AF1" s="3584"/>
      <c r="AG1" s="3584"/>
      <c r="AH1" s="3584"/>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2791</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3123</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2792</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3122</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2999</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2998</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2997</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2995</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2994</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2808</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2806</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2805</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2804</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2802</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2800</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2803</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81">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2798</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81"/>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2797</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81"/>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2790</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90"/>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2788</v>
      </c>
      <c r="B22" s="2408">
        <v>439</v>
      </c>
      <c r="C22" s="2408">
        <v>327</v>
      </c>
      <c r="D22" s="2408">
        <f>C22</f>
        <v>327</v>
      </c>
      <c r="E22" s="2408">
        <v>627</v>
      </c>
      <c r="F22" s="2409">
        <v>283</v>
      </c>
      <c r="G22" s="3586">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2789</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81"/>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81"/>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90"/>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86">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81"/>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81"/>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82"/>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80">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81"/>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81"/>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82"/>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80">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81"/>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81"/>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82"/>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87">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88"/>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88"/>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89"/>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80">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81"/>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81"/>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82"/>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80">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81">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81">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82">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80">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81">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81">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82">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80">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81">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81">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82">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80">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81">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81">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82">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80">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81">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81">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82">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80">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81">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81">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82">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80">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81">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81">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82">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80">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81">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81">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82">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80">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81">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81">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82">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80">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81">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81">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82">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2760</v>
      </c>
      <c r="C1" s="3594" t="s">
        <v>2761</v>
      </c>
      <c r="D1" s="3595"/>
      <c r="E1" s="3595"/>
      <c r="F1" s="3595"/>
      <c r="G1" s="3595"/>
      <c r="H1" s="3595"/>
      <c r="I1" s="3595"/>
      <c r="J1" s="3595"/>
      <c r="K1" s="3595"/>
      <c r="L1" s="3595"/>
      <c r="M1" s="3595"/>
      <c r="N1" s="3595"/>
      <c r="O1" s="3595"/>
      <c r="P1" s="3595"/>
      <c r="Q1" s="3595"/>
      <c r="R1" s="3595"/>
      <c r="S1" s="3596"/>
      <c r="T1" s="1114" t="s">
        <v>2762</v>
      </c>
    </row>
    <row r="2" spans="1:45" s="663" customFormat="1">
      <c r="A2" s="1115"/>
      <c r="B2" s="659" t="s">
        <v>2763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2764</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2765</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2766</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2767</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2768</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2769</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2770</v>
      </c>
      <c r="B17" s="2335" t="s">
        <v>2771</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2772</v>
      </c>
      <c r="E19" s="1494"/>
      <c r="F19" s="1494"/>
      <c r="G19" s="1494"/>
      <c r="H19" s="1190"/>
      <c r="I19" s="164"/>
      <c r="J19" s="164"/>
      <c r="K19" s="164"/>
      <c r="L19" s="164"/>
      <c r="M19" s="164"/>
      <c r="N19" s="164"/>
      <c r="O19" s="164"/>
      <c r="P19" s="164"/>
      <c r="Q19" s="164"/>
      <c r="R19" s="727"/>
      <c r="S19" s="134"/>
    </row>
    <row r="20" spans="1:45" ht="16.5" thickBot="1">
      <c r="A20" s="671" t="s">
        <v>2773</v>
      </c>
      <c r="B20" s="300" t="e">
        <f ca="1">IF(D20="——",S22,S22-F20)</f>
        <v>#REF!</v>
      </c>
      <c r="C20" s="164"/>
      <c r="D20" s="2337"/>
      <c r="E20" s="1495"/>
      <c r="F20" s="1114" t="e">
        <f ca="1">SUMIF(INDIRECT("'"&amp;H20&amp;"'"&amp;"!A:A"),"承租人权益价值",INDIRECT("'"&amp;H20&amp;"'"&amp;"!c:c"))</f>
        <v>#REF!</v>
      </c>
      <c r="G20" s="1114" t="s">
        <v>2774</v>
      </c>
      <c r="H20" s="2338"/>
      <c r="I20" s="164"/>
      <c r="J20" s="164"/>
      <c r="K20" s="164"/>
      <c r="L20" s="164"/>
      <c r="M20" s="164"/>
      <c r="N20" s="164"/>
      <c r="O20" s="164"/>
      <c r="P20" s="164"/>
      <c r="Q20" s="164"/>
      <c r="R20" s="727"/>
      <c r="S20" s="134"/>
    </row>
    <row r="21" spans="1:45" ht="15.75">
      <c r="A21" s="671" t="s">
        <v>2775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2776</v>
      </c>
      <c r="B22" s="24">
        <f>SUM(B24:B10000)</f>
        <v>100</v>
      </c>
      <c r="C22" s="3591" t="s">
        <v>33</v>
      </c>
      <c r="D22" s="3592"/>
      <c r="E22" s="3592"/>
      <c r="F22" s="3592"/>
      <c r="G22" s="3592"/>
      <c r="H22" s="3592"/>
      <c r="I22" s="3592"/>
      <c r="J22" s="3592"/>
      <c r="K22" s="3592"/>
      <c r="L22" s="3592"/>
      <c r="M22" s="3592"/>
      <c r="N22" s="3592"/>
      <c r="O22" s="3592"/>
      <c r="P22" s="3592"/>
      <c r="Q22" s="3593"/>
      <c r="R22" s="672">
        <f>ROUND(S22*10000/B22,0)</f>
        <v>10000</v>
      </c>
      <c r="S22" s="24">
        <f>SUM(S24:S10000)</f>
        <v>100</v>
      </c>
    </row>
    <row r="23" spans="1:45" s="12" customFormat="1" ht="24">
      <c r="A23" s="11" t="s">
        <v>2777</v>
      </c>
      <c r="B23" s="11" t="s">
        <v>2778</v>
      </c>
      <c r="C23" s="11" t="s">
        <v>2779</v>
      </c>
      <c r="D23" s="11" t="str">
        <f>B5</f>
        <v>修正项2</v>
      </c>
      <c r="E23" s="11" t="s">
        <v>2779</v>
      </c>
      <c r="F23" s="11" t="str">
        <f>B7</f>
        <v>修正项3</v>
      </c>
      <c r="G23" s="11" t="s">
        <v>2779</v>
      </c>
      <c r="H23" s="11" t="str">
        <f>B9</f>
        <v>修正项4</v>
      </c>
      <c r="I23" s="11" t="s">
        <v>2779</v>
      </c>
      <c r="J23" s="11" t="str">
        <f>B11</f>
        <v>修正项5</v>
      </c>
      <c r="K23" s="11" t="s">
        <v>2779</v>
      </c>
      <c r="L23" s="11" t="str">
        <f>B13</f>
        <v>修正项6</v>
      </c>
      <c r="M23" s="11" t="s">
        <v>2779</v>
      </c>
      <c r="N23" s="11" t="str">
        <f>B15</f>
        <v>修正项7</v>
      </c>
      <c r="O23" s="11" t="s">
        <v>2779</v>
      </c>
      <c r="P23" s="11" t="str">
        <f>B17</f>
        <v>楼层</v>
      </c>
      <c r="Q23" s="11" t="s">
        <v>2779</v>
      </c>
      <c r="R23" s="673" t="s">
        <v>2780</v>
      </c>
      <c r="S23" s="11" t="s">
        <v>2781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2782</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spans="1:5" ht="18">
      <c r="A3" s="3270" t="str">
        <f>IF(项目基本情况!B9="房地产市场价值","估价结果一览表（市场价值不需“结果表-1”）","估价结果一览表")</f>
        <v>估价结果一览表</v>
      </c>
      <c r="B3" s="3270"/>
      <c r="C3" s="3270"/>
      <c r="D3" s="3270"/>
      <c r="E3" s="3270"/>
    </row>
    <row r="4" spans="1:5" ht="19.5" thickBot="1">
      <c r="A4" s="1648"/>
      <c r="B4" s="3268" t="s">
        <v>1535</v>
      </c>
      <c r="C4" s="3268"/>
      <c r="D4" s="3268"/>
      <c r="E4" s="1648"/>
    </row>
    <row r="5" spans="1:5" ht="16.5" thickTop="1">
      <c r="A5" s="1646"/>
      <c r="B5" s="3266" t="s">
        <v>1527</v>
      </c>
      <c r="C5" s="1649" t="s">
        <v>1528</v>
      </c>
      <c r="D5" s="959">
        <f ca="1">结果表!H101</f>
        <v>9394</v>
      </c>
      <c r="E5" s="1646"/>
    </row>
    <row r="6" spans="1:5" ht="15.75">
      <c r="A6" s="1646"/>
      <c r="B6" s="3266"/>
      <c r="C6" s="1649" t="s">
        <v>1529</v>
      </c>
      <c r="D6" s="959" t="str">
        <f ca="1">NUMBERSTRING(INT(D5*10000),2)&amp;"元整"</f>
        <v>玖仟叁佰玖拾肆万元整</v>
      </c>
      <c r="E6" s="1646"/>
    </row>
    <row r="7" spans="1:5" ht="15.75">
      <c r="A7" s="1646"/>
      <c r="B7" s="3271"/>
      <c r="C7" s="1650" t="s">
        <v>1530</v>
      </c>
      <c r="D7" s="960">
        <f ca="1">结果表!H102</f>
        <v>4045</v>
      </c>
      <c r="E7" s="1646"/>
    </row>
    <row r="8" spans="1:5" ht="15.75">
      <c r="A8" s="1646"/>
      <c r="B8" s="3272" t="str">
        <f>结果表!E103</f>
        <v>2.估价师知悉的法定优先受偿款</v>
      </c>
      <c r="C8" s="1651" t="s">
        <v>1531</v>
      </c>
      <c r="D8" s="960">
        <f>结果表!H103</f>
        <v>0</v>
      </c>
      <c r="E8" s="1646"/>
    </row>
    <row r="9" spans="1:5" ht="15.75">
      <c r="A9" s="1646"/>
      <c r="B9" s="327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65" t="str">
        <f>结果表!E107</f>
        <v>3.房地产抵押价值</v>
      </c>
      <c r="C13" s="1654" t="s">
        <v>1528</v>
      </c>
      <c r="D13" s="962">
        <f ca="1">结果表!H107</f>
        <v>9394</v>
      </c>
      <c r="E13" s="1646"/>
    </row>
    <row r="14" spans="1:5" ht="15.75">
      <c r="A14" s="1646"/>
      <c r="B14" s="3266"/>
      <c r="C14" s="1649" t="s">
        <v>1529</v>
      </c>
      <c r="D14" s="959" t="str">
        <f ca="1">NUMBERSTRING(INT(D13*10000),2)&amp;"元整"</f>
        <v>玖仟叁佰玖拾肆万元整</v>
      </c>
      <c r="E14" s="1646"/>
    </row>
    <row r="15" spans="1:5" ht="15">
      <c r="A15" s="1646"/>
      <c r="B15" s="3271"/>
      <c r="C15" s="1650" t="s">
        <v>1539</v>
      </c>
      <c r="D15" s="968">
        <f ca="1">结果表!H108</f>
        <v>4045</v>
      </c>
      <c r="E15" s="1646"/>
    </row>
    <row r="16" spans="1:5" ht="15">
      <c r="A16" s="1646"/>
      <c r="B16" s="3272" t="str">
        <f>结果表!E109</f>
        <v>——</v>
      </c>
      <c r="C16" s="1654" t="s">
        <v>1540</v>
      </c>
      <c r="D16" s="1655" t="str">
        <f>结果表!H109</f>
        <v>——</v>
      </c>
      <c r="E16" s="1646"/>
    </row>
    <row r="17" spans="1:5" ht="15.75">
      <c r="A17" s="1646"/>
      <c r="B17" s="3273"/>
      <c r="C17" s="1649" t="s">
        <v>1541</v>
      </c>
      <c r="D17" s="959" t="e">
        <f>NUMBERSTRING(INT(D16*10000),2)&amp;"元整"</f>
        <v>#VALUE!</v>
      </c>
      <c r="E17" s="1646"/>
    </row>
    <row r="18" spans="1:5" ht="15">
      <c r="A18" s="1646"/>
      <c r="B18" s="3274"/>
      <c r="C18" s="1650" t="s">
        <v>1530</v>
      </c>
      <c r="D18" s="968" t="str">
        <f>结果表!H110</f>
        <v>——</v>
      </c>
      <c r="E18" s="1646"/>
    </row>
    <row r="19" spans="1:5" ht="15.75">
      <c r="A19" s="1646"/>
      <c r="B19" s="3265" t="str">
        <f>结果表!E111</f>
        <v>——</v>
      </c>
      <c r="C19" s="1654" t="s">
        <v>1528</v>
      </c>
      <c r="D19" s="960" t="str">
        <f>结果表!H111</f>
        <v>——</v>
      </c>
      <c r="E19" s="1646"/>
    </row>
    <row r="20" spans="1:5" ht="15.75">
      <c r="A20" s="1646"/>
      <c r="B20" s="3266"/>
      <c r="C20" s="1649" t="s">
        <v>1541</v>
      </c>
      <c r="D20" s="959" t="e">
        <f>NUMBERSTRING(INT(D19*10000),2)&amp;"元整"</f>
        <v>#VALUE!</v>
      </c>
      <c r="E20" s="1646"/>
    </row>
    <row r="21" spans="1:5" ht="15.75" thickBot="1">
      <c r="A21" s="1646"/>
      <c r="B21" s="326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27157</v>
      </c>
      <c r="C2" s="2" t="s">
        <v>133</v>
      </c>
      <c r="D2" s="205"/>
      <c r="E2" s="205"/>
      <c r="F2" s="205"/>
      <c r="G2" s="205"/>
    </row>
    <row r="3" spans="1:7" s="206" customFormat="1" ht="18" customHeight="1" thickBot="1">
      <c r="A3" s="209" t="s">
        <v>85</v>
      </c>
      <c r="B3" s="210">
        <f ca="1">ROUND(B2*10000/'数据-汇总表'!E3,0)</f>
        <v>11693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23225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465</v>
      </c>
      <c r="D19" s="958">
        <f>'数据-汇总表'!E3</f>
        <v>23225</v>
      </c>
      <c r="E19" s="217">
        <f>'数据-取费表'!B31</f>
        <v>200</v>
      </c>
      <c r="F19" s="237"/>
      <c r="G19" s="1" t="s">
        <v>1042</v>
      </c>
    </row>
    <row r="20" spans="1:7" s="220" customFormat="1" ht="13.5" customHeight="1">
      <c r="A20" s="885" t="s">
        <v>1025</v>
      </c>
      <c r="B20" s="216" t="s">
        <v>104</v>
      </c>
      <c r="C20" s="238">
        <f>ROUND((C5+C19)*F20,0)</f>
        <v>422</v>
      </c>
      <c r="D20" s="238"/>
      <c r="E20" s="238"/>
      <c r="F20" s="239">
        <f>'数据-取费表'!B37</f>
        <v>0.02</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492</v>
      </c>
      <c r="D22" s="241">
        <f ca="1">C26</f>
        <v>1E-4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476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1E-4</v>
      </c>
      <c r="D26" s="244"/>
      <c r="E26" s="247"/>
      <c r="F26" s="245"/>
      <c r="G26" s="249"/>
    </row>
    <row r="27" spans="1:7" s="220" customFormat="1" ht="24.75">
      <c r="A27" s="885" t="s">
        <v>787</v>
      </c>
      <c r="B27" s="250" t="s">
        <v>112</v>
      </c>
      <c r="C27" s="251">
        <f>C28</f>
        <v>946</v>
      </c>
      <c r="D27" s="241">
        <f>C29</f>
        <v>4.0000000000000002E-4</v>
      </c>
      <c r="E27" s="242" t="s">
        <v>126</v>
      </c>
      <c r="F27" s="252">
        <f>'数据-取费表'!Q16</f>
        <v>0.08</v>
      </c>
      <c r="G27" s="253" t="s">
        <v>1037</v>
      </c>
    </row>
    <row r="28" spans="1:7" s="220" customFormat="1" ht="13.5" customHeight="1">
      <c r="A28" s="888" t="s">
        <v>794</v>
      </c>
      <c r="B28" s="254" t="s">
        <v>1030</v>
      </c>
      <c r="C28" s="255">
        <f>ROUND((C5+C19+C20)*F27*'数据-取费表'!B21/'数据-取费表'!B20,0)</f>
        <v>946</v>
      </c>
      <c r="D28" s="241"/>
      <c r="E28" s="242"/>
      <c r="F28" s="252"/>
      <c r="G28" s="253"/>
    </row>
    <row r="29" spans="1:7" s="220" customFormat="1" ht="13.5" customHeight="1">
      <c r="A29" s="888" t="s">
        <v>792</v>
      </c>
      <c r="B29" s="254" t="s">
        <v>1031</v>
      </c>
      <c r="C29" s="244">
        <f>ROUND(C21*F27*'数据-取费表'!B21/'数据-取费表'!B20,4)</f>
        <v>4.0000000000000002E-4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24474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2257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1916</v>
      </c>
      <c r="D34" s="223"/>
      <c r="E34" s="226"/>
      <c r="F34" s="263">
        <f>IF('数据-取费表'!B24=0,1,'数据-取费表'!N16)</f>
        <v>0.55000000000000004</v>
      </c>
      <c r="G34" s="225" t="s">
        <v>116</v>
      </c>
    </row>
    <row r="35" spans="1:7" ht="13.5" customHeight="1">
      <c r="A35" s="888" t="s">
        <v>796</v>
      </c>
      <c r="B35" s="221" t="s">
        <v>60</v>
      </c>
      <c r="C35" s="226">
        <f>ROUND(C34*F35,0)</f>
        <v>57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255</v>
      </c>
      <c r="D37" s="223">
        <f>'数据-汇总表'!E3</f>
        <v>23225</v>
      </c>
      <c r="E37" s="255">
        <f>'数据-取费表'!B35</f>
        <v>200</v>
      </c>
      <c r="F37" s="265"/>
      <c r="G37" s="267" t="s">
        <v>119</v>
      </c>
    </row>
    <row r="38" spans="1:7" ht="13.5" customHeight="1">
      <c r="A38" s="888" t="s">
        <v>799</v>
      </c>
      <c r="B38" s="221" t="s">
        <v>63</v>
      </c>
      <c r="C38" s="226">
        <f>ROUND(C34*F38,0)</f>
        <v>29</v>
      </c>
      <c r="D38" s="226"/>
      <c r="E38" s="226"/>
      <c r="F38" s="265">
        <f>'数据-取费表'!B36</f>
        <v>1.4999999999999999E-2</v>
      </c>
      <c r="G38" s="225" t="s">
        <v>117</v>
      </c>
    </row>
    <row r="39" spans="1:7" s="220" customFormat="1" ht="13.5" customHeight="1">
      <c r="A39" s="885" t="s">
        <v>783</v>
      </c>
      <c r="B39" s="216" t="s">
        <v>104</v>
      </c>
      <c r="C39" s="238">
        <f>ROUND(C33*F20,0)</f>
        <v>45</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27</v>
      </c>
      <c r="D41" s="241">
        <f ca="1">C44</f>
        <v>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26</v>
      </c>
      <c r="D42" s="244"/>
      <c r="E42" s="244"/>
      <c r="F42" s="245"/>
      <c r="G42" s="3522" t="s">
        <v>121</v>
      </c>
    </row>
    <row r="43" spans="1:7" ht="13.5" customHeight="1">
      <c r="A43" s="888" t="s">
        <v>792</v>
      </c>
      <c r="B43" s="221" t="s">
        <v>1032</v>
      </c>
      <c r="C43" s="244">
        <f ca="1">ROUND(IF('数据-取费表'!B22&lt;=1,C39*F22*'数据-取费表'!B21/2,C39*(POWER((1+F22),'数据-取费表'!B21/2)-1)),0)</f>
        <v>1</v>
      </c>
      <c r="D43" s="244"/>
      <c r="E43" s="244"/>
      <c r="F43" s="245"/>
      <c r="G43" s="3523"/>
    </row>
    <row r="44" spans="1:7" ht="13.5" customHeight="1">
      <c r="A44" s="888" t="s">
        <v>793</v>
      </c>
      <c r="B44" s="221" t="s">
        <v>1034</v>
      </c>
      <c r="C44" s="244">
        <f ca="1">ROUND(IF('数据-取费表'!B22&lt;=1,C40*F22*'数据-取费表'!B21/2,C40*(POWER((1+F22),'数据-取费表'!B21/2)-1)),4)</f>
        <v>1E-4</v>
      </c>
      <c r="D44" s="244"/>
      <c r="E44" s="244"/>
      <c r="F44" s="245"/>
      <c r="G44" s="3524"/>
    </row>
    <row r="45" spans="1:7" s="220" customFormat="1" ht="13.5" customHeight="1">
      <c r="A45" s="885" t="s">
        <v>786</v>
      </c>
      <c r="B45" s="250" t="s">
        <v>112</v>
      </c>
      <c r="C45" s="251">
        <f>C46</f>
        <v>184</v>
      </c>
      <c r="D45" s="241">
        <f>C47</f>
        <v>8.0000000000000004E-4</v>
      </c>
      <c r="E45" s="242" t="s">
        <v>129</v>
      </c>
      <c r="F45" s="252"/>
      <c r="G45" s="253" t="s">
        <v>1040</v>
      </c>
    </row>
    <row r="46" spans="1:7" s="220" customFormat="1" ht="13.5" customHeight="1">
      <c r="A46" s="888" t="s">
        <v>794</v>
      </c>
      <c r="B46" s="254" t="s">
        <v>1033</v>
      </c>
      <c r="C46" s="255">
        <f>ROUND((C33+C39)*F27,0)</f>
        <v>184</v>
      </c>
      <c r="D46" s="269"/>
      <c r="E46" s="242"/>
      <c r="F46" s="252"/>
      <c r="G46" s="253"/>
    </row>
    <row r="47" spans="1:7" s="220" customFormat="1" ht="13.5" customHeight="1">
      <c r="A47" s="888" t="s">
        <v>792</v>
      </c>
      <c r="B47" s="254" t="s">
        <v>1035</v>
      </c>
      <c r="C47" s="244">
        <f>ROUND(C40*F27,4)</f>
        <v>8.0000000000000004E-4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2683</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2683</v>
      </c>
      <c r="D51" s="238"/>
      <c r="E51" s="238"/>
      <c r="F51" s="270"/>
      <c r="G51" s="240" t="s">
        <v>64</v>
      </c>
    </row>
    <row r="52" spans="1:7" s="214" customFormat="1" ht="16.5" thickBot="1">
      <c r="A52" s="271" t="s">
        <v>65</v>
      </c>
      <c r="B52" s="272"/>
      <c r="C52" s="273">
        <f ca="1">C31+C51</f>
        <v>27157</v>
      </c>
      <c r="D52" s="272"/>
      <c r="E52" s="272"/>
      <c r="F52" s="272"/>
      <c r="G52" s="274"/>
    </row>
    <row r="55" spans="1:7" ht="15">
      <c r="B55" s="276" t="s">
        <v>66</v>
      </c>
      <c r="C55" s="277"/>
    </row>
    <row r="56" spans="1:7">
      <c r="B56" s="279" t="s">
        <v>67</v>
      </c>
      <c r="C56" s="280">
        <f ca="1">ROUND(C51/C52,3)</f>
        <v>9.9000000000000005E-2</v>
      </c>
    </row>
    <row r="57" spans="1:7">
      <c r="B57" s="279" t="s">
        <v>68</v>
      </c>
      <c r="C57" s="281">
        <f ca="1">1-C56</f>
        <v>0.90100000000000002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839</v>
      </c>
      <c r="B1" s="359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44610</v>
      </c>
      <c r="D1" s="1442" t="s">
        <v>1209</v>
      </c>
      <c r="E1" s="1437">
        <f>'数据-取费表'!B22</f>
        <v>1</v>
      </c>
      <c r="F1" s="1442" t="s">
        <v>1210</v>
      </c>
      <c r="G1" s="1438">
        <f ca="1">INDIRECT("d"&amp;$K$1)/100</f>
        <v>3.85E-2</v>
      </c>
      <c r="H1" s="1442" t="s">
        <v>1240</v>
      </c>
      <c r="I1" s="1438">
        <f ca="1">F4/100</f>
        <v>1.4999999999999999E-2</v>
      </c>
      <c r="J1" s="1443">
        <f>IF(C1&gt;C13,0,MATCH(C1,C$13:C$105,-1))+IF(SUMIF(C13:C105,C1,D13:D105)=0,13,12)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2996</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topLeftCell="A7" workbookViewId="0">
      <selection activeCell="L28" sqref="L28"/>
    </sheetView>
  </sheetViews>
  <sheetFormatPr defaultColWidth="9" defaultRowHeight="20.25" customHeight="1"/>
  <cols>
    <col min="1" max="1" width="14.25" style="3217" customWidth="1"/>
    <col min="2" max="2" width="18.75" style="3217" customWidth="1"/>
    <col min="3" max="5" width="14.25" style="3217" customWidth="1"/>
    <col min="6" max="6" width="11" style="3217" customWidth="1"/>
    <col min="7" max="7" width="9" style="3217"/>
    <col min="8" max="8" width="13.75" style="3217" customWidth="1"/>
    <col min="9" max="256" width="9" style="3217"/>
    <col min="257" max="257" width="14.25" style="3217" customWidth="1"/>
    <col min="258" max="258" width="18.75" style="3217" customWidth="1"/>
    <col min="259" max="261" width="14.25" style="3217" customWidth="1"/>
    <col min="262" max="262" width="11" style="3217" customWidth="1"/>
    <col min="263" max="263" width="9" style="3217"/>
    <col min="264" max="264" width="13.75" style="3217" customWidth="1"/>
    <col min="265" max="512" width="9" style="3217"/>
    <col min="513" max="513" width="14.25" style="3217" customWidth="1"/>
    <col min="514" max="514" width="18.75" style="3217" customWidth="1"/>
    <col min="515" max="517" width="14.25" style="3217" customWidth="1"/>
    <col min="518" max="518" width="11" style="3217" customWidth="1"/>
    <col min="519" max="519" width="9" style="3217"/>
    <col min="520" max="520" width="13.75" style="3217" customWidth="1"/>
    <col min="521" max="768" width="9" style="3217"/>
    <col min="769" max="769" width="14.25" style="3217" customWidth="1"/>
    <col min="770" max="770" width="18.75" style="3217" customWidth="1"/>
    <col min="771" max="773" width="14.25" style="3217" customWidth="1"/>
    <col min="774" max="774" width="11" style="3217" customWidth="1"/>
    <col min="775" max="775" width="9" style="3217"/>
    <col min="776" max="776" width="13.75" style="3217" customWidth="1"/>
    <col min="777" max="1024" width="9" style="3217"/>
    <col min="1025" max="1025" width="14.25" style="3217" customWidth="1"/>
    <col min="1026" max="1026" width="18.75" style="3217" customWidth="1"/>
    <col min="1027" max="1029" width="14.25" style="3217" customWidth="1"/>
    <col min="1030" max="1030" width="11" style="3217" customWidth="1"/>
    <col min="1031" max="1031" width="9" style="3217"/>
    <col min="1032" max="1032" width="13.75" style="3217" customWidth="1"/>
    <col min="1033" max="1280" width="9" style="3217"/>
    <col min="1281" max="1281" width="14.25" style="3217" customWidth="1"/>
    <col min="1282" max="1282" width="18.75" style="3217" customWidth="1"/>
    <col min="1283" max="1285" width="14.25" style="3217" customWidth="1"/>
    <col min="1286" max="1286" width="11" style="3217" customWidth="1"/>
    <col min="1287" max="1287" width="9" style="3217"/>
    <col min="1288" max="1288" width="13.75" style="3217" customWidth="1"/>
    <col min="1289" max="1536" width="9" style="3217"/>
    <col min="1537" max="1537" width="14.25" style="3217" customWidth="1"/>
    <col min="1538" max="1538" width="18.75" style="3217" customWidth="1"/>
    <col min="1539" max="1541" width="14.25" style="3217" customWidth="1"/>
    <col min="1542" max="1542" width="11" style="3217" customWidth="1"/>
    <col min="1543" max="1543" width="9" style="3217"/>
    <col min="1544" max="1544" width="13.75" style="3217" customWidth="1"/>
    <col min="1545" max="1792" width="9" style="3217"/>
    <col min="1793" max="1793" width="14.25" style="3217" customWidth="1"/>
    <col min="1794" max="1794" width="18.75" style="3217" customWidth="1"/>
    <col min="1795" max="1797" width="14.25" style="3217" customWidth="1"/>
    <col min="1798" max="1798" width="11" style="3217" customWidth="1"/>
    <col min="1799" max="1799" width="9" style="3217"/>
    <col min="1800" max="1800" width="13.75" style="3217" customWidth="1"/>
    <col min="1801" max="2048" width="9" style="3217"/>
    <col min="2049" max="2049" width="14.25" style="3217" customWidth="1"/>
    <col min="2050" max="2050" width="18.75" style="3217" customWidth="1"/>
    <col min="2051" max="2053" width="14.25" style="3217" customWidth="1"/>
    <col min="2054" max="2054" width="11" style="3217" customWidth="1"/>
    <col min="2055" max="2055" width="9" style="3217"/>
    <col min="2056" max="2056" width="13.75" style="3217" customWidth="1"/>
    <col min="2057" max="2304" width="9" style="3217"/>
    <col min="2305" max="2305" width="14.25" style="3217" customWidth="1"/>
    <col min="2306" max="2306" width="18.75" style="3217" customWidth="1"/>
    <col min="2307" max="2309" width="14.25" style="3217" customWidth="1"/>
    <col min="2310" max="2310" width="11" style="3217" customWidth="1"/>
    <col min="2311" max="2311" width="9" style="3217"/>
    <col min="2312" max="2312" width="13.75" style="3217" customWidth="1"/>
    <col min="2313" max="2560" width="9" style="3217"/>
    <col min="2561" max="2561" width="14.25" style="3217" customWidth="1"/>
    <col min="2562" max="2562" width="18.75" style="3217" customWidth="1"/>
    <col min="2563" max="2565" width="14.25" style="3217" customWidth="1"/>
    <col min="2566" max="2566" width="11" style="3217" customWidth="1"/>
    <col min="2567" max="2567" width="9" style="3217"/>
    <col min="2568" max="2568" width="13.75" style="3217" customWidth="1"/>
    <col min="2569" max="2816" width="9" style="3217"/>
    <col min="2817" max="2817" width="14.25" style="3217" customWidth="1"/>
    <col min="2818" max="2818" width="18.75" style="3217" customWidth="1"/>
    <col min="2819" max="2821" width="14.25" style="3217" customWidth="1"/>
    <col min="2822" max="2822" width="11" style="3217" customWidth="1"/>
    <col min="2823" max="2823" width="9" style="3217"/>
    <col min="2824" max="2824" width="13.75" style="3217" customWidth="1"/>
    <col min="2825" max="3072" width="9" style="3217"/>
    <col min="3073" max="3073" width="14.25" style="3217" customWidth="1"/>
    <col min="3074" max="3074" width="18.75" style="3217" customWidth="1"/>
    <col min="3075" max="3077" width="14.25" style="3217" customWidth="1"/>
    <col min="3078" max="3078" width="11" style="3217" customWidth="1"/>
    <col min="3079" max="3079" width="9" style="3217"/>
    <col min="3080" max="3080" width="13.75" style="3217" customWidth="1"/>
    <col min="3081" max="3328" width="9" style="3217"/>
    <col min="3329" max="3329" width="14.25" style="3217" customWidth="1"/>
    <col min="3330" max="3330" width="18.75" style="3217" customWidth="1"/>
    <col min="3331" max="3333" width="14.25" style="3217" customWidth="1"/>
    <col min="3334" max="3334" width="11" style="3217" customWidth="1"/>
    <col min="3335" max="3335" width="9" style="3217"/>
    <col min="3336" max="3336" width="13.75" style="3217" customWidth="1"/>
    <col min="3337" max="3584" width="9" style="3217"/>
    <col min="3585" max="3585" width="14.25" style="3217" customWidth="1"/>
    <col min="3586" max="3586" width="18.75" style="3217" customWidth="1"/>
    <col min="3587" max="3589" width="14.25" style="3217" customWidth="1"/>
    <col min="3590" max="3590" width="11" style="3217" customWidth="1"/>
    <col min="3591" max="3591" width="9" style="3217"/>
    <col min="3592" max="3592" width="13.75" style="3217" customWidth="1"/>
    <col min="3593" max="3840" width="9" style="3217"/>
    <col min="3841" max="3841" width="14.25" style="3217" customWidth="1"/>
    <col min="3842" max="3842" width="18.75" style="3217" customWidth="1"/>
    <col min="3843" max="3845" width="14.25" style="3217" customWidth="1"/>
    <col min="3846" max="3846" width="11" style="3217" customWidth="1"/>
    <col min="3847" max="3847" width="9" style="3217"/>
    <col min="3848" max="3848" width="13.75" style="3217" customWidth="1"/>
    <col min="3849" max="4096" width="9" style="3217"/>
    <col min="4097" max="4097" width="14.25" style="3217" customWidth="1"/>
    <col min="4098" max="4098" width="18.75" style="3217" customWidth="1"/>
    <col min="4099" max="4101" width="14.25" style="3217" customWidth="1"/>
    <col min="4102" max="4102" width="11" style="3217" customWidth="1"/>
    <col min="4103" max="4103" width="9" style="3217"/>
    <col min="4104" max="4104" width="13.75" style="3217" customWidth="1"/>
    <col min="4105" max="4352" width="9" style="3217"/>
    <col min="4353" max="4353" width="14.25" style="3217" customWidth="1"/>
    <col min="4354" max="4354" width="18.75" style="3217" customWidth="1"/>
    <col min="4355" max="4357" width="14.25" style="3217" customWidth="1"/>
    <col min="4358" max="4358" width="11" style="3217" customWidth="1"/>
    <col min="4359" max="4359" width="9" style="3217"/>
    <col min="4360" max="4360" width="13.75" style="3217" customWidth="1"/>
    <col min="4361" max="4608" width="9" style="3217"/>
    <col min="4609" max="4609" width="14.25" style="3217" customWidth="1"/>
    <col min="4610" max="4610" width="18.75" style="3217" customWidth="1"/>
    <col min="4611" max="4613" width="14.25" style="3217" customWidth="1"/>
    <col min="4614" max="4614" width="11" style="3217" customWidth="1"/>
    <col min="4615" max="4615" width="9" style="3217"/>
    <col min="4616" max="4616" width="13.75" style="3217" customWidth="1"/>
    <col min="4617" max="4864" width="9" style="3217"/>
    <col min="4865" max="4865" width="14.25" style="3217" customWidth="1"/>
    <col min="4866" max="4866" width="18.75" style="3217" customWidth="1"/>
    <col min="4867" max="4869" width="14.25" style="3217" customWidth="1"/>
    <col min="4870" max="4870" width="11" style="3217" customWidth="1"/>
    <col min="4871" max="4871" width="9" style="3217"/>
    <col min="4872" max="4872" width="13.75" style="3217" customWidth="1"/>
    <col min="4873" max="5120" width="9" style="3217"/>
    <col min="5121" max="5121" width="14.25" style="3217" customWidth="1"/>
    <col min="5122" max="5122" width="18.75" style="3217" customWidth="1"/>
    <col min="5123" max="5125" width="14.25" style="3217" customWidth="1"/>
    <col min="5126" max="5126" width="11" style="3217" customWidth="1"/>
    <col min="5127" max="5127" width="9" style="3217"/>
    <col min="5128" max="5128" width="13.75" style="3217" customWidth="1"/>
    <col min="5129" max="5376" width="9" style="3217"/>
    <col min="5377" max="5377" width="14.25" style="3217" customWidth="1"/>
    <col min="5378" max="5378" width="18.75" style="3217" customWidth="1"/>
    <col min="5379" max="5381" width="14.25" style="3217" customWidth="1"/>
    <col min="5382" max="5382" width="11" style="3217" customWidth="1"/>
    <col min="5383" max="5383" width="9" style="3217"/>
    <col min="5384" max="5384" width="13.75" style="3217" customWidth="1"/>
    <col min="5385" max="5632" width="9" style="3217"/>
    <col min="5633" max="5633" width="14.25" style="3217" customWidth="1"/>
    <col min="5634" max="5634" width="18.75" style="3217" customWidth="1"/>
    <col min="5635" max="5637" width="14.25" style="3217" customWidth="1"/>
    <col min="5638" max="5638" width="11" style="3217" customWidth="1"/>
    <col min="5639" max="5639" width="9" style="3217"/>
    <col min="5640" max="5640" width="13.75" style="3217" customWidth="1"/>
    <col min="5641" max="5888" width="9" style="3217"/>
    <col min="5889" max="5889" width="14.25" style="3217" customWidth="1"/>
    <col min="5890" max="5890" width="18.75" style="3217" customWidth="1"/>
    <col min="5891" max="5893" width="14.25" style="3217" customWidth="1"/>
    <col min="5894" max="5894" width="11" style="3217" customWidth="1"/>
    <col min="5895" max="5895" width="9" style="3217"/>
    <col min="5896" max="5896" width="13.75" style="3217" customWidth="1"/>
    <col min="5897" max="6144" width="9" style="3217"/>
    <col min="6145" max="6145" width="14.25" style="3217" customWidth="1"/>
    <col min="6146" max="6146" width="18.75" style="3217" customWidth="1"/>
    <col min="6147" max="6149" width="14.25" style="3217" customWidth="1"/>
    <col min="6150" max="6150" width="11" style="3217" customWidth="1"/>
    <col min="6151" max="6151" width="9" style="3217"/>
    <col min="6152" max="6152" width="13.75" style="3217" customWidth="1"/>
    <col min="6153" max="6400" width="9" style="3217"/>
    <col min="6401" max="6401" width="14.25" style="3217" customWidth="1"/>
    <col min="6402" max="6402" width="18.75" style="3217" customWidth="1"/>
    <col min="6403" max="6405" width="14.25" style="3217" customWidth="1"/>
    <col min="6406" max="6406" width="11" style="3217" customWidth="1"/>
    <col min="6407" max="6407" width="9" style="3217"/>
    <col min="6408" max="6408" width="13.75" style="3217" customWidth="1"/>
    <col min="6409" max="6656" width="9" style="3217"/>
    <col min="6657" max="6657" width="14.25" style="3217" customWidth="1"/>
    <col min="6658" max="6658" width="18.75" style="3217" customWidth="1"/>
    <col min="6659" max="6661" width="14.25" style="3217" customWidth="1"/>
    <col min="6662" max="6662" width="11" style="3217" customWidth="1"/>
    <col min="6663" max="6663" width="9" style="3217"/>
    <col min="6664" max="6664" width="13.75" style="3217" customWidth="1"/>
    <col min="6665" max="6912" width="9" style="3217"/>
    <col min="6913" max="6913" width="14.25" style="3217" customWidth="1"/>
    <col min="6914" max="6914" width="18.75" style="3217" customWidth="1"/>
    <col min="6915" max="6917" width="14.25" style="3217" customWidth="1"/>
    <col min="6918" max="6918" width="11" style="3217" customWidth="1"/>
    <col min="6919" max="6919" width="9" style="3217"/>
    <col min="6920" max="6920" width="13.75" style="3217" customWidth="1"/>
    <col min="6921" max="7168" width="9" style="3217"/>
    <col min="7169" max="7169" width="14.25" style="3217" customWidth="1"/>
    <col min="7170" max="7170" width="18.75" style="3217" customWidth="1"/>
    <col min="7171" max="7173" width="14.25" style="3217" customWidth="1"/>
    <col min="7174" max="7174" width="11" style="3217" customWidth="1"/>
    <col min="7175" max="7175" width="9" style="3217"/>
    <col min="7176" max="7176" width="13.75" style="3217" customWidth="1"/>
    <col min="7177" max="7424" width="9" style="3217"/>
    <col min="7425" max="7425" width="14.25" style="3217" customWidth="1"/>
    <col min="7426" max="7426" width="18.75" style="3217" customWidth="1"/>
    <col min="7427" max="7429" width="14.25" style="3217" customWidth="1"/>
    <col min="7430" max="7430" width="11" style="3217" customWidth="1"/>
    <col min="7431" max="7431" width="9" style="3217"/>
    <col min="7432" max="7432" width="13.75" style="3217" customWidth="1"/>
    <col min="7433" max="7680" width="9" style="3217"/>
    <col min="7681" max="7681" width="14.25" style="3217" customWidth="1"/>
    <col min="7682" max="7682" width="18.75" style="3217" customWidth="1"/>
    <col min="7683" max="7685" width="14.25" style="3217" customWidth="1"/>
    <col min="7686" max="7686" width="11" style="3217" customWidth="1"/>
    <col min="7687" max="7687" width="9" style="3217"/>
    <col min="7688" max="7688" width="13.75" style="3217" customWidth="1"/>
    <col min="7689" max="7936" width="9" style="3217"/>
    <col min="7937" max="7937" width="14.25" style="3217" customWidth="1"/>
    <col min="7938" max="7938" width="18.75" style="3217" customWidth="1"/>
    <col min="7939" max="7941" width="14.25" style="3217" customWidth="1"/>
    <col min="7942" max="7942" width="11" style="3217" customWidth="1"/>
    <col min="7943" max="7943" width="9" style="3217"/>
    <col min="7944" max="7944" width="13.75" style="3217" customWidth="1"/>
    <col min="7945" max="8192" width="9" style="3217"/>
    <col min="8193" max="8193" width="14.25" style="3217" customWidth="1"/>
    <col min="8194" max="8194" width="18.75" style="3217" customWidth="1"/>
    <col min="8195" max="8197" width="14.25" style="3217" customWidth="1"/>
    <col min="8198" max="8198" width="11" style="3217" customWidth="1"/>
    <col min="8199" max="8199" width="9" style="3217"/>
    <col min="8200" max="8200" width="13.75" style="3217" customWidth="1"/>
    <col min="8201" max="8448" width="9" style="3217"/>
    <col min="8449" max="8449" width="14.25" style="3217" customWidth="1"/>
    <col min="8450" max="8450" width="18.75" style="3217" customWidth="1"/>
    <col min="8451" max="8453" width="14.25" style="3217" customWidth="1"/>
    <col min="8454" max="8454" width="11" style="3217" customWidth="1"/>
    <col min="8455" max="8455" width="9" style="3217"/>
    <col min="8456" max="8456" width="13.75" style="3217" customWidth="1"/>
    <col min="8457" max="8704" width="9" style="3217"/>
    <col min="8705" max="8705" width="14.25" style="3217" customWidth="1"/>
    <col min="8706" max="8706" width="18.75" style="3217" customWidth="1"/>
    <col min="8707" max="8709" width="14.25" style="3217" customWidth="1"/>
    <col min="8710" max="8710" width="11" style="3217" customWidth="1"/>
    <col min="8711" max="8711" width="9" style="3217"/>
    <col min="8712" max="8712" width="13.75" style="3217" customWidth="1"/>
    <col min="8713" max="8960" width="9" style="3217"/>
    <col min="8961" max="8961" width="14.25" style="3217" customWidth="1"/>
    <col min="8962" max="8962" width="18.75" style="3217" customWidth="1"/>
    <col min="8963" max="8965" width="14.25" style="3217" customWidth="1"/>
    <col min="8966" max="8966" width="11" style="3217" customWidth="1"/>
    <col min="8967" max="8967" width="9" style="3217"/>
    <col min="8968" max="8968" width="13.75" style="3217" customWidth="1"/>
    <col min="8969" max="9216" width="9" style="3217"/>
    <col min="9217" max="9217" width="14.25" style="3217" customWidth="1"/>
    <col min="9218" max="9218" width="18.75" style="3217" customWidth="1"/>
    <col min="9219" max="9221" width="14.25" style="3217" customWidth="1"/>
    <col min="9222" max="9222" width="11" style="3217" customWidth="1"/>
    <col min="9223" max="9223" width="9" style="3217"/>
    <col min="9224" max="9224" width="13.75" style="3217" customWidth="1"/>
    <col min="9225" max="9472" width="9" style="3217"/>
    <col min="9473" max="9473" width="14.25" style="3217" customWidth="1"/>
    <col min="9474" max="9474" width="18.75" style="3217" customWidth="1"/>
    <col min="9475" max="9477" width="14.25" style="3217" customWidth="1"/>
    <col min="9478" max="9478" width="11" style="3217" customWidth="1"/>
    <col min="9479" max="9479" width="9" style="3217"/>
    <col min="9480" max="9480" width="13.75" style="3217" customWidth="1"/>
    <col min="9481" max="9728" width="9" style="3217"/>
    <col min="9729" max="9729" width="14.25" style="3217" customWidth="1"/>
    <col min="9730" max="9730" width="18.75" style="3217" customWidth="1"/>
    <col min="9731" max="9733" width="14.25" style="3217" customWidth="1"/>
    <col min="9734" max="9734" width="11" style="3217" customWidth="1"/>
    <col min="9735" max="9735" width="9" style="3217"/>
    <col min="9736" max="9736" width="13.75" style="3217" customWidth="1"/>
    <col min="9737" max="9984" width="9" style="3217"/>
    <col min="9985" max="9985" width="14.25" style="3217" customWidth="1"/>
    <col min="9986" max="9986" width="18.75" style="3217" customWidth="1"/>
    <col min="9987" max="9989" width="14.25" style="3217" customWidth="1"/>
    <col min="9990" max="9990" width="11" style="3217" customWidth="1"/>
    <col min="9991" max="9991" width="9" style="3217"/>
    <col min="9992" max="9992" width="13.75" style="3217" customWidth="1"/>
    <col min="9993" max="10240" width="9" style="3217"/>
    <col min="10241" max="10241" width="14.25" style="3217" customWidth="1"/>
    <col min="10242" max="10242" width="18.75" style="3217" customWidth="1"/>
    <col min="10243" max="10245" width="14.25" style="3217" customWidth="1"/>
    <col min="10246" max="10246" width="11" style="3217" customWidth="1"/>
    <col min="10247" max="10247" width="9" style="3217"/>
    <col min="10248" max="10248" width="13.75" style="3217" customWidth="1"/>
    <col min="10249" max="10496" width="9" style="3217"/>
    <col min="10497" max="10497" width="14.25" style="3217" customWidth="1"/>
    <col min="10498" max="10498" width="18.75" style="3217" customWidth="1"/>
    <col min="10499" max="10501" width="14.25" style="3217" customWidth="1"/>
    <col min="10502" max="10502" width="11" style="3217" customWidth="1"/>
    <col min="10503" max="10503" width="9" style="3217"/>
    <col min="10504" max="10504" width="13.75" style="3217" customWidth="1"/>
    <col min="10505" max="10752" width="9" style="3217"/>
    <col min="10753" max="10753" width="14.25" style="3217" customWidth="1"/>
    <col min="10754" max="10754" width="18.75" style="3217" customWidth="1"/>
    <col min="10755" max="10757" width="14.25" style="3217" customWidth="1"/>
    <col min="10758" max="10758" width="11" style="3217" customWidth="1"/>
    <col min="10759" max="10759" width="9" style="3217"/>
    <col min="10760" max="10760" width="13.75" style="3217" customWidth="1"/>
    <col min="10761" max="11008" width="9" style="3217"/>
    <col min="11009" max="11009" width="14.25" style="3217" customWidth="1"/>
    <col min="11010" max="11010" width="18.75" style="3217" customWidth="1"/>
    <col min="11011" max="11013" width="14.25" style="3217" customWidth="1"/>
    <col min="11014" max="11014" width="11" style="3217" customWidth="1"/>
    <col min="11015" max="11015" width="9" style="3217"/>
    <col min="11016" max="11016" width="13.75" style="3217" customWidth="1"/>
    <col min="11017" max="11264" width="9" style="3217"/>
    <col min="11265" max="11265" width="14.25" style="3217" customWidth="1"/>
    <col min="11266" max="11266" width="18.75" style="3217" customWidth="1"/>
    <col min="11267" max="11269" width="14.25" style="3217" customWidth="1"/>
    <col min="11270" max="11270" width="11" style="3217" customWidth="1"/>
    <col min="11271" max="11271" width="9" style="3217"/>
    <col min="11272" max="11272" width="13.75" style="3217" customWidth="1"/>
    <col min="11273" max="11520" width="9" style="3217"/>
    <col min="11521" max="11521" width="14.25" style="3217" customWidth="1"/>
    <col min="11522" max="11522" width="18.75" style="3217" customWidth="1"/>
    <col min="11523" max="11525" width="14.25" style="3217" customWidth="1"/>
    <col min="11526" max="11526" width="11" style="3217" customWidth="1"/>
    <col min="11527" max="11527" width="9" style="3217"/>
    <col min="11528" max="11528" width="13.75" style="3217" customWidth="1"/>
    <col min="11529" max="11776" width="9" style="3217"/>
    <col min="11777" max="11777" width="14.25" style="3217" customWidth="1"/>
    <col min="11778" max="11778" width="18.75" style="3217" customWidth="1"/>
    <col min="11779" max="11781" width="14.25" style="3217" customWidth="1"/>
    <col min="11782" max="11782" width="11" style="3217" customWidth="1"/>
    <col min="11783" max="11783" width="9" style="3217"/>
    <col min="11784" max="11784" width="13.75" style="3217" customWidth="1"/>
    <col min="11785" max="12032" width="9" style="3217"/>
    <col min="12033" max="12033" width="14.25" style="3217" customWidth="1"/>
    <col min="12034" max="12034" width="18.75" style="3217" customWidth="1"/>
    <col min="12035" max="12037" width="14.25" style="3217" customWidth="1"/>
    <col min="12038" max="12038" width="11" style="3217" customWidth="1"/>
    <col min="12039" max="12039" width="9" style="3217"/>
    <col min="12040" max="12040" width="13.75" style="3217" customWidth="1"/>
    <col min="12041" max="12288" width="9" style="3217"/>
    <col min="12289" max="12289" width="14.25" style="3217" customWidth="1"/>
    <col min="12290" max="12290" width="18.75" style="3217" customWidth="1"/>
    <col min="12291" max="12293" width="14.25" style="3217" customWidth="1"/>
    <col min="12294" max="12294" width="11" style="3217" customWidth="1"/>
    <col min="12295" max="12295" width="9" style="3217"/>
    <col min="12296" max="12296" width="13.75" style="3217" customWidth="1"/>
    <col min="12297" max="12544" width="9" style="3217"/>
    <col min="12545" max="12545" width="14.25" style="3217" customWidth="1"/>
    <col min="12546" max="12546" width="18.75" style="3217" customWidth="1"/>
    <col min="12547" max="12549" width="14.25" style="3217" customWidth="1"/>
    <col min="12550" max="12550" width="11" style="3217" customWidth="1"/>
    <col min="12551" max="12551" width="9" style="3217"/>
    <col min="12552" max="12552" width="13.75" style="3217" customWidth="1"/>
    <col min="12553" max="12800" width="9" style="3217"/>
    <col min="12801" max="12801" width="14.25" style="3217" customWidth="1"/>
    <col min="12802" max="12802" width="18.75" style="3217" customWidth="1"/>
    <col min="12803" max="12805" width="14.25" style="3217" customWidth="1"/>
    <col min="12806" max="12806" width="11" style="3217" customWidth="1"/>
    <col min="12807" max="12807" width="9" style="3217"/>
    <col min="12808" max="12808" width="13.75" style="3217" customWidth="1"/>
    <col min="12809" max="13056" width="9" style="3217"/>
    <col min="13057" max="13057" width="14.25" style="3217" customWidth="1"/>
    <col min="13058" max="13058" width="18.75" style="3217" customWidth="1"/>
    <col min="13059" max="13061" width="14.25" style="3217" customWidth="1"/>
    <col min="13062" max="13062" width="11" style="3217" customWidth="1"/>
    <col min="13063" max="13063" width="9" style="3217"/>
    <col min="13064" max="13064" width="13.75" style="3217" customWidth="1"/>
    <col min="13065" max="13312" width="9" style="3217"/>
    <col min="13313" max="13313" width="14.25" style="3217" customWidth="1"/>
    <col min="13314" max="13314" width="18.75" style="3217" customWidth="1"/>
    <col min="13315" max="13317" width="14.25" style="3217" customWidth="1"/>
    <col min="13318" max="13318" width="11" style="3217" customWidth="1"/>
    <col min="13319" max="13319" width="9" style="3217"/>
    <col min="13320" max="13320" width="13.75" style="3217" customWidth="1"/>
    <col min="13321" max="13568" width="9" style="3217"/>
    <col min="13569" max="13569" width="14.25" style="3217" customWidth="1"/>
    <col min="13570" max="13570" width="18.75" style="3217" customWidth="1"/>
    <col min="13571" max="13573" width="14.25" style="3217" customWidth="1"/>
    <col min="13574" max="13574" width="11" style="3217" customWidth="1"/>
    <col min="13575" max="13575" width="9" style="3217"/>
    <col min="13576" max="13576" width="13.75" style="3217" customWidth="1"/>
    <col min="13577" max="13824" width="9" style="3217"/>
    <col min="13825" max="13825" width="14.25" style="3217" customWidth="1"/>
    <col min="13826" max="13826" width="18.75" style="3217" customWidth="1"/>
    <col min="13827" max="13829" width="14.25" style="3217" customWidth="1"/>
    <col min="13830" max="13830" width="11" style="3217" customWidth="1"/>
    <col min="13831" max="13831" width="9" style="3217"/>
    <col min="13832" max="13832" width="13.75" style="3217" customWidth="1"/>
    <col min="13833" max="14080" width="9" style="3217"/>
    <col min="14081" max="14081" width="14.25" style="3217" customWidth="1"/>
    <col min="14082" max="14082" width="18.75" style="3217" customWidth="1"/>
    <col min="14083" max="14085" width="14.25" style="3217" customWidth="1"/>
    <col min="14086" max="14086" width="11" style="3217" customWidth="1"/>
    <col min="14087" max="14087" width="9" style="3217"/>
    <col min="14088" max="14088" width="13.75" style="3217" customWidth="1"/>
    <col min="14089" max="14336" width="9" style="3217"/>
    <col min="14337" max="14337" width="14.25" style="3217" customWidth="1"/>
    <col min="14338" max="14338" width="18.75" style="3217" customWidth="1"/>
    <col min="14339" max="14341" width="14.25" style="3217" customWidth="1"/>
    <col min="14342" max="14342" width="11" style="3217" customWidth="1"/>
    <col min="14343" max="14343" width="9" style="3217"/>
    <col min="14344" max="14344" width="13.75" style="3217" customWidth="1"/>
    <col min="14345" max="14592" width="9" style="3217"/>
    <col min="14593" max="14593" width="14.25" style="3217" customWidth="1"/>
    <col min="14594" max="14594" width="18.75" style="3217" customWidth="1"/>
    <col min="14595" max="14597" width="14.25" style="3217" customWidth="1"/>
    <col min="14598" max="14598" width="11" style="3217" customWidth="1"/>
    <col min="14599" max="14599" width="9" style="3217"/>
    <col min="14600" max="14600" width="13.75" style="3217" customWidth="1"/>
    <col min="14601" max="14848" width="9" style="3217"/>
    <col min="14849" max="14849" width="14.25" style="3217" customWidth="1"/>
    <col min="14850" max="14850" width="18.75" style="3217" customWidth="1"/>
    <col min="14851" max="14853" width="14.25" style="3217" customWidth="1"/>
    <col min="14854" max="14854" width="11" style="3217" customWidth="1"/>
    <col min="14855" max="14855" width="9" style="3217"/>
    <col min="14856" max="14856" width="13.75" style="3217" customWidth="1"/>
    <col min="14857" max="15104" width="9" style="3217"/>
    <col min="15105" max="15105" width="14.25" style="3217" customWidth="1"/>
    <col min="15106" max="15106" width="18.75" style="3217" customWidth="1"/>
    <col min="15107" max="15109" width="14.25" style="3217" customWidth="1"/>
    <col min="15110" max="15110" width="11" style="3217" customWidth="1"/>
    <col min="15111" max="15111" width="9" style="3217"/>
    <col min="15112" max="15112" width="13.75" style="3217" customWidth="1"/>
    <col min="15113" max="15360" width="9" style="3217"/>
    <col min="15361" max="15361" width="14.25" style="3217" customWidth="1"/>
    <col min="15362" max="15362" width="18.75" style="3217" customWidth="1"/>
    <col min="15363" max="15365" width="14.25" style="3217" customWidth="1"/>
    <col min="15366" max="15366" width="11" style="3217" customWidth="1"/>
    <col min="15367" max="15367" width="9" style="3217"/>
    <col min="15368" max="15368" width="13.75" style="3217" customWidth="1"/>
    <col min="15369" max="15616" width="9" style="3217"/>
    <col min="15617" max="15617" width="14.25" style="3217" customWidth="1"/>
    <col min="15618" max="15618" width="18.75" style="3217" customWidth="1"/>
    <col min="15619" max="15621" width="14.25" style="3217" customWidth="1"/>
    <col min="15622" max="15622" width="11" style="3217" customWidth="1"/>
    <col min="15623" max="15623" width="9" style="3217"/>
    <col min="15624" max="15624" width="13.75" style="3217" customWidth="1"/>
    <col min="15625" max="15872" width="9" style="3217"/>
    <col min="15873" max="15873" width="14.25" style="3217" customWidth="1"/>
    <col min="15874" max="15874" width="18.75" style="3217" customWidth="1"/>
    <col min="15875" max="15877" width="14.25" style="3217" customWidth="1"/>
    <col min="15878" max="15878" width="11" style="3217" customWidth="1"/>
    <col min="15879" max="15879" width="9" style="3217"/>
    <col min="15880" max="15880" width="13.75" style="3217" customWidth="1"/>
    <col min="15881" max="16128" width="9" style="3217"/>
    <col min="16129" max="16129" width="14.25" style="3217" customWidth="1"/>
    <col min="16130" max="16130" width="18.75" style="3217" customWidth="1"/>
    <col min="16131" max="16133" width="14.25" style="3217" customWidth="1"/>
    <col min="16134" max="16134" width="11" style="3217" customWidth="1"/>
    <col min="16135" max="16135" width="9" style="3217"/>
    <col min="16136" max="16136" width="13.75" style="3217" customWidth="1"/>
    <col min="16137" max="16384" width="9" style="3217"/>
  </cols>
  <sheetData>
    <row r="1" spans="1:7" ht="20.25" customHeight="1" thickBot="1">
      <c r="A1" s="3215" t="s">
        <v>3282</v>
      </c>
      <c r="B1" s="3216"/>
    </row>
    <row r="2" spans="1:7" ht="33" customHeight="1">
      <c r="A2" s="3218" t="s">
        <v>3283</v>
      </c>
      <c r="B2" s="3219" t="s">
        <v>3284</v>
      </c>
      <c r="C2" s="3220" t="s">
        <v>3285</v>
      </c>
      <c r="D2" s="3219" t="s">
        <v>3286</v>
      </c>
      <c r="E2" s="3221" t="s">
        <v>3287</v>
      </c>
    </row>
    <row r="3" spans="1:7" ht="20.25" customHeight="1">
      <c r="A3" s="3222">
        <v>40</v>
      </c>
      <c r="B3" s="3223"/>
      <c r="C3" s="3224">
        <f>ROUNDDOWN(MIN((B3-$B$1)/365,A3),2)</f>
        <v>0</v>
      </c>
      <c r="D3" s="3225">
        <f>IF(ISERROR(ROUND(POWER(1+E3,A3-C3)*(POWER(1+E3,C3)-1)/(POWER(1+E3,A3)-1),3)),0,ROUND(POWER(1+E3,A3-C3)*(POWER(1+E3,C3)-1)/(POWER(1+E3,A3)-1),3))</f>
        <v>0</v>
      </c>
      <c r="E3" s="3226"/>
    </row>
    <row r="4" spans="1:7" ht="20.25" customHeight="1">
      <c r="A4" s="3222">
        <v>50</v>
      </c>
      <c r="B4" s="3223"/>
      <c r="C4" s="3224">
        <f>ROUNDDOWN(MIN((B4-$B$1)/365,A4),2)</f>
        <v>0</v>
      </c>
      <c r="D4" s="3225">
        <f>IF(ISERROR(ROUND(POWER(1+E4,A4-C4)*(POWER(1+E4,C4)-1)/(POWER(1+E4,A4)-1),3)),0,ROUND(POWER(1+E4,A4-C4)*(POWER(1+E4,C4)-1)/(POWER(1+E4,A4)-1),3))</f>
        <v>0</v>
      </c>
      <c r="E4" s="3226"/>
    </row>
    <row r="5" spans="1:7" ht="20.25" customHeight="1" thickBot="1">
      <c r="A5" s="3227">
        <v>70</v>
      </c>
      <c r="B5" s="3228"/>
      <c r="C5" s="3229">
        <f>ROUNDDOWN(MIN((B5-$B$1)/365,A5),2)</f>
        <v>0</v>
      </c>
      <c r="D5" s="3230">
        <f>IF(ISERROR(ROUND(POWER(1+E5,A5-C5)*(POWER(1+E5,C5)-1)/(POWER(1+E5,A5)-1),3)),0,ROUND(POWER(1+E5,A5-C5)*(POWER(1+E5,C5)-1)/(POWER(1+E5,A5)-1),3))</f>
        <v>0</v>
      </c>
      <c r="E5" s="3231"/>
    </row>
    <row r="6" spans="1:7" ht="20.25" customHeight="1" thickBot="1"/>
    <row r="7" spans="1:7" s="3234" customFormat="1" ht="20.25" customHeight="1" thickBot="1">
      <c r="A7" s="3232" t="s">
        <v>3288</v>
      </c>
      <c r="B7" s="3233"/>
    </row>
    <row r="8" spans="1:7" ht="20.25" customHeight="1" thickBot="1">
      <c r="A8" s="3601" t="s">
        <v>3289</v>
      </c>
      <c r="B8" s="3602"/>
      <c r="C8" s="3235"/>
      <c r="D8" s="3236" t="s">
        <v>3287</v>
      </c>
      <c r="E8" s="3235"/>
      <c r="F8" s="3237" t="s">
        <v>3286</v>
      </c>
    </row>
    <row r="9" spans="1:7" ht="20.25" customHeight="1">
      <c r="A9" s="3238" t="s">
        <v>3290</v>
      </c>
      <c r="B9" s="3239">
        <v>50</v>
      </c>
      <c r="C9" s="3240" t="s">
        <v>3291</v>
      </c>
      <c r="D9" s="3241">
        <f>'[1]数据-取费表'!H6</f>
        <v>0.05</v>
      </c>
      <c r="E9" s="3240" t="s">
        <v>3292</v>
      </c>
      <c r="F9" s="3242">
        <f>1-(1/(POWER(1+D9,B9)))</f>
        <v>0.91279627302761945</v>
      </c>
      <c r="G9" s="3217">
        <f>ROUND(F9/F10,2)</f>
        <v>1.46</v>
      </c>
    </row>
    <row r="10" spans="1:7" ht="20.25" customHeight="1" thickBot="1">
      <c r="A10" s="3243" t="s">
        <v>3293</v>
      </c>
      <c r="B10" s="3244">
        <v>20</v>
      </c>
      <c r="C10" s="3245" t="s">
        <v>3294</v>
      </c>
      <c r="D10" s="3246">
        <f>D9</f>
        <v>0.05</v>
      </c>
      <c r="E10" s="3245" t="s">
        <v>3295</v>
      </c>
      <c r="F10" s="3247">
        <f>1-(1/(POWER(1+D10,B10)))</f>
        <v>0.62311051712699939</v>
      </c>
    </row>
    <row r="11" spans="1:7" ht="20.25" customHeight="1" thickBot="1">
      <c r="A11" s="3248" t="s">
        <v>3296</v>
      </c>
      <c r="B11" s="3249"/>
      <c r="C11" s="3249"/>
      <c r="D11" s="3249"/>
      <c r="E11" s="3249"/>
      <c r="F11" s="3249"/>
    </row>
    <row r="12" spans="1:7" ht="20.25" customHeight="1">
      <c r="A12" s="3238" t="s">
        <v>3297</v>
      </c>
      <c r="B12" s="3250">
        <v>5000</v>
      </c>
      <c r="E12" s="3251"/>
      <c r="F12" s="3251"/>
    </row>
    <row r="13" spans="1:7" ht="20.25" customHeight="1" thickBot="1">
      <c r="A13" s="3243" t="s">
        <v>3298</v>
      </c>
      <c r="B13" s="3252">
        <f>ROUND(B12*F10/F9,2)</f>
        <v>3413.2</v>
      </c>
      <c r="C13" s="3253">
        <f>ROUND(F10/F9,4)</f>
        <v>0.68259999999999998</v>
      </c>
      <c r="E13" s="3251"/>
      <c r="F13" s="3251"/>
    </row>
    <row r="14" spans="1:7" ht="20.25" customHeight="1" thickBot="1">
      <c r="A14" s="3248" t="s">
        <v>3299</v>
      </c>
      <c r="B14" s="3254"/>
      <c r="C14" s="3251"/>
    </row>
    <row r="15" spans="1:7" ht="20.25" customHeight="1">
      <c r="A15" s="3240" t="s">
        <v>3300</v>
      </c>
      <c r="B15" s="3255">
        <v>4810</v>
      </c>
      <c r="C15" s="3251"/>
    </row>
    <row r="16" spans="1:7" ht="20.25" customHeight="1" thickBot="1">
      <c r="A16" s="3245" t="s">
        <v>3301</v>
      </c>
      <c r="B16" s="3256">
        <f>ROUND(B15*F9/F10,2)</f>
        <v>7046.18</v>
      </c>
      <c r="C16" s="3253">
        <f>ROUND(F9/F10,4)</f>
        <v>1.4649000000000001</v>
      </c>
    </row>
    <row r="17" spans="3:3" ht="20.25" customHeight="1">
      <c r="C17" s="3251"/>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1"/>
  <sheetViews>
    <sheetView workbookViewId="0">
      <selection activeCell="A4" sqref="A4:XFD4"/>
    </sheetView>
  </sheetViews>
  <sheetFormatPr defaultRowHeight="12"/>
  <cols>
    <col min="1" max="1" width="27.375" style="3211" customWidth="1"/>
    <col min="2" max="2" width="20" style="3211" hidden="1" customWidth="1"/>
    <col min="3" max="3" width="8" style="3211" hidden="1" customWidth="1"/>
    <col min="4" max="4" width="20" style="3211" hidden="1" customWidth="1"/>
    <col min="5" max="5" width="11.25" style="3211" customWidth="1"/>
    <col min="6" max="6" width="11.375" style="3211" customWidth="1"/>
    <col min="7" max="7" width="11.125" style="3211" customWidth="1"/>
    <col min="8" max="8" width="20" style="3211" hidden="1" customWidth="1"/>
    <col min="9" max="9" width="20" style="3211" customWidth="1"/>
    <col min="10" max="23" width="20" style="3211" hidden="1" customWidth="1"/>
    <col min="24" max="24" width="10" style="3211" customWidth="1"/>
    <col min="25" max="26" width="20" style="3211" hidden="1" customWidth="1"/>
    <col min="27" max="27" width="20" style="3211" customWidth="1"/>
    <col min="28" max="31" width="20" style="3211" hidden="1" customWidth="1"/>
    <col min="32" max="32" width="7.875" style="3211" customWidth="1"/>
    <col min="33" max="33" width="20" style="3211" hidden="1" customWidth="1"/>
    <col min="34" max="34" width="9" style="3211" customWidth="1"/>
    <col min="35" max="35" width="20" style="3211" hidden="1" customWidth="1"/>
    <col min="36" max="36" width="10" style="3211" customWidth="1"/>
    <col min="37" max="38" width="20" style="3211" hidden="1" customWidth="1"/>
    <col min="39" max="39" width="7.5" style="3211" customWidth="1"/>
    <col min="40" max="40" width="9" style="3211" customWidth="1"/>
    <col min="41" max="41" width="8.5" style="3211" customWidth="1"/>
    <col min="42" max="43" width="20" style="3211" customWidth="1"/>
    <col min="44" max="16384" width="9" style="3211"/>
  </cols>
  <sheetData>
    <row r="1" spans="1:42">
      <c r="A1" s="3211" t="s">
        <v>3142</v>
      </c>
      <c r="B1" s="3211" t="s">
        <v>3143</v>
      </c>
      <c r="C1" s="3211" t="s">
        <v>3170</v>
      </c>
      <c r="D1" s="3211" t="s">
        <v>3144</v>
      </c>
      <c r="E1" s="3211" t="s">
        <v>3171</v>
      </c>
      <c r="F1" s="3211" t="s">
        <v>3172</v>
      </c>
      <c r="G1" s="3211" t="s">
        <v>3145</v>
      </c>
      <c r="H1" s="3211" t="s">
        <v>3146</v>
      </c>
      <c r="I1" s="3211" t="s">
        <v>3147</v>
      </c>
      <c r="J1" s="3211" t="s">
        <v>3148</v>
      </c>
      <c r="K1" s="3211" t="s">
        <v>3173</v>
      </c>
      <c r="L1" s="3211" t="s">
        <v>3174</v>
      </c>
      <c r="M1" s="3211" t="s">
        <v>3175</v>
      </c>
      <c r="N1" s="3211" t="s">
        <v>3176</v>
      </c>
      <c r="O1" s="3211" t="s">
        <v>3177</v>
      </c>
      <c r="P1" s="3211" t="s">
        <v>3178</v>
      </c>
      <c r="Q1" s="3211" t="s">
        <v>3179</v>
      </c>
      <c r="R1" s="3211" t="s">
        <v>3180</v>
      </c>
      <c r="S1" s="3211" t="s">
        <v>3181</v>
      </c>
      <c r="T1" s="3211" t="s">
        <v>3182</v>
      </c>
      <c r="U1" s="3211" t="s">
        <v>3183</v>
      </c>
      <c r="V1" s="3211" t="s">
        <v>3184</v>
      </c>
      <c r="W1" s="3211" t="s">
        <v>3149</v>
      </c>
      <c r="X1" s="3211" t="s">
        <v>3150</v>
      </c>
      <c r="Y1" s="3211" t="s">
        <v>3185</v>
      </c>
      <c r="Z1" s="3211" t="s">
        <v>3151</v>
      </c>
      <c r="AA1" s="3211" t="s">
        <v>3152</v>
      </c>
      <c r="AB1" s="3211" t="s">
        <v>3186</v>
      </c>
      <c r="AC1" s="3211" t="s">
        <v>3187</v>
      </c>
      <c r="AD1" s="3211" t="s">
        <v>3188</v>
      </c>
      <c r="AE1" s="3211" t="s">
        <v>3153</v>
      </c>
      <c r="AF1" s="3211" t="s">
        <v>3189</v>
      </c>
      <c r="AG1" s="3211" t="s">
        <v>3190</v>
      </c>
      <c r="AH1" s="3211" t="s">
        <v>3191</v>
      </c>
      <c r="AI1" s="3211" t="s">
        <v>3192</v>
      </c>
      <c r="AJ1" s="3211" t="s">
        <v>3193</v>
      </c>
      <c r="AK1" s="3211" t="s">
        <v>3194</v>
      </c>
      <c r="AL1" s="3211" t="s">
        <v>3195</v>
      </c>
      <c r="AM1" s="3211" t="s">
        <v>3196</v>
      </c>
      <c r="AN1" s="3211" t="s">
        <v>3197</v>
      </c>
      <c r="AO1" s="3211" t="s">
        <v>3198</v>
      </c>
      <c r="AP1" s="3211" t="s">
        <v>3199</v>
      </c>
    </row>
    <row r="2" spans="1:42" s="3213" customFormat="1">
      <c r="A2" s="3213" t="s">
        <v>3154</v>
      </c>
      <c r="B2" s="3213" t="s">
        <v>3200</v>
      </c>
      <c r="C2" s="3213" t="s">
        <v>3202</v>
      </c>
      <c r="D2" s="3213" t="s">
        <v>3203</v>
      </c>
      <c r="E2" s="3213">
        <v>13991.5</v>
      </c>
      <c r="F2" s="3213">
        <v>22386</v>
      </c>
      <c r="G2" s="3213" t="s">
        <v>3204</v>
      </c>
      <c r="H2" s="3213" t="s">
        <v>3205</v>
      </c>
      <c r="I2" s="3213" t="s">
        <v>3206</v>
      </c>
      <c r="J2" s="3213" t="s">
        <v>3207</v>
      </c>
      <c r="K2" s="3213" t="s">
        <v>3208</v>
      </c>
      <c r="L2" s="3213" t="s">
        <v>3209</v>
      </c>
      <c r="M2" s="3213" t="s">
        <v>3210</v>
      </c>
      <c r="N2" s="3213" t="s">
        <v>3201</v>
      </c>
      <c r="O2" s="3213" t="s">
        <v>3201</v>
      </c>
      <c r="P2" s="3213" t="s">
        <v>3201</v>
      </c>
      <c r="Q2" s="3213" t="s">
        <v>3201</v>
      </c>
      <c r="R2" s="3213" t="s">
        <v>3201</v>
      </c>
      <c r="S2" s="3213" t="s">
        <v>3201</v>
      </c>
      <c r="T2" s="3213" t="s">
        <v>3201</v>
      </c>
      <c r="U2" s="3214">
        <v>44412.000497685185</v>
      </c>
      <c r="V2" s="3214">
        <v>44412.000497685185</v>
      </c>
      <c r="W2" s="3214">
        <v>44446.000497685185</v>
      </c>
      <c r="X2" s="3214">
        <v>44446.000497685185</v>
      </c>
      <c r="Y2" s="3213" t="s">
        <v>3211</v>
      </c>
      <c r="Z2" s="3213" t="s">
        <v>3212</v>
      </c>
      <c r="AA2" s="3213" t="s">
        <v>3213</v>
      </c>
      <c r="AB2" s="3213" t="s">
        <v>3201</v>
      </c>
      <c r="AC2" s="3213">
        <v>1811.03</v>
      </c>
      <c r="AD2" s="3213">
        <v>360</v>
      </c>
      <c r="AE2" s="3213" t="s">
        <v>3201</v>
      </c>
      <c r="AF2" s="3213">
        <v>1811.03</v>
      </c>
      <c r="AG2" s="3213">
        <v>86.29</v>
      </c>
      <c r="AH2" s="3213">
        <v>86.29</v>
      </c>
      <c r="AI2" s="3213">
        <v>809</v>
      </c>
      <c r="AJ2" s="3213">
        <v>809</v>
      </c>
      <c r="AK2" s="3213" t="s">
        <v>3201</v>
      </c>
      <c r="AL2" s="3213" t="s">
        <v>3201</v>
      </c>
      <c r="AM2" s="3213">
        <v>0</v>
      </c>
      <c r="AN2" s="3213" t="s">
        <v>3214</v>
      </c>
      <c r="AO2" s="3213" t="s">
        <v>3208</v>
      </c>
      <c r="AP2" s="3213" t="s">
        <v>3208</v>
      </c>
    </row>
    <row r="3" spans="1:42">
      <c r="A3" s="3211" t="s">
        <v>3155</v>
      </c>
      <c r="B3" s="3211" t="s">
        <v>3215</v>
      </c>
      <c r="C3" s="3211" t="s">
        <v>3216</v>
      </c>
      <c r="D3" s="3211" t="s">
        <v>3203</v>
      </c>
      <c r="E3" s="3211">
        <v>16627.21</v>
      </c>
      <c r="F3" s="3211">
        <v>29928.97</v>
      </c>
      <c r="G3" s="3211" t="s">
        <v>3217</v>
      </c>
      <c r="H3" s="3211" t="s">
        <v>3205</v>
      </c>
      <c r="I3" s="3211" t="s">
        <v>3206</v>
      </c>
      <c r="J3" s="3211" t="s">
        <v>3207</v>
      </c>
      <c r="K3" s="3211" t="s">
        <v>3208</v>
      </c>
      <c r="L3" s="3211" t="s">
        <v>3218</v>
      </c>
      <c r="M3" s="3211" t="s">
        <v>3219</v>
      </c>
      <c r="N3" s="3211" t="s">
        <v>3201</v>
      </c>
      <c r="O3" s="3211" t="s">
        <v>3201</v>
      </c>
      <c r="P3" s="3211" t="s">
        <v>3201</v>
      </c>
      <c r="Q3" s="3211" t="s">
        <v>3201</v>
      </c>
      <c r="R3" s="3211" t="s">
        <v>3201</v>
      </c>
      <c r="S3" s="3211" t="s">
        <v>3201</v>
      </c>
      <c r="T3" s="3211" t="s">
        <v>3201</v>
      </c>
      <c r="U3" s="3212">
        <v>44412.000497685185</v>
      </c>
      <c r="V3" s="3212">
        <v>44412.000497685185</v>
      </c>
      <c r="W3" s="3212">
        <v>44446.000497685185</v>
      </c>
      <c r="X3" s="3212">
        <v>44446.000497685185</v>
      </c>
      <c r="Y3" s="3211" t="s">
        <v>3215</v>
      </c>
      <c r="Z3" s="3211" t="s">
        <v>3212</v>
      </c>
      <c r="AA3" s="3211" t="s">
        <v>3220</v>
      </c>
      <c r="AB3" s="3211" t="s">
        <v>3201</v>
      </c>
      <c r="AC3" s="3211">
        <v>5111.87</v>
      </c>
      <c r="AD3" s="3211">
        <v>1020</v>
      </c>
      <c r="AE3" s="3211" t="s">
        <v>3201</v>
      </c>
      <c r="AF3" s="3211">
        <v>5111.87</v>
      </c>
      <c r="AG3" s="3211">
        <v>204.96</v>
      </c>
      <c r="AH3" s="3211">
        <v>204.96</v>
      </c>
      <c r="AI3" s="3211">
        <v>1708</v>
      </c>
      <c r="AJ3" s="3211">
        <v>1708</v>
      </c>
      <c r="AK3" s="3211" t="s">
        <v>3201</v>
      </c>
      <c r="AL3" s="3211" t="s">
        <v>3201</v>
      </c>
      <c r="AM3" s="3211">
        <v>0</v>
      </c>
      <c r="AN3" s="3211" t="s">
        <v>3214</v>
      </c>
      <c r="AO3" s="3211" t="s">
        <v>3208</v>
      </c>
      <c r="AP3" s="3211" t="s">
        <v>3208</v>
      </c>
    </row>
    <row r="4" spans="1:42">
      <c r="A4" s="3211" t="s">
        <v>3156</v>
      </c>
      <c r="B4" s="3211" t="s">
        <v>3221</v>
      </c>
      <c r="C4" s="3211" t="s">
        <v>3222</v>
      </c>
      <c r="D4" s="3211" t="s">
        <v>3203</v>
      </c>
      <c r="E4" s="3211">
        <v>100000</v>
      </c>
      <c r="F4" s="3211">
        <v>200000</v>
      </c>
      <c r="G4" s="3211" t="s">
        <v>3223</v>
      </c>
      <c r="H4" s="3211" t="s">
        <v>3205</v>
      </c>
      <c r="I4" s="3211" t="s">
        <v>3224</v>
      </c>
      <c r="J4" s="3211" t="s">
        <v>3207</v>
      </c>
      <c r="K4" s="3211" t="s">
        <v>3208</v>
      </c>
      <c r="L4" s="3211" t="s">
        <v>3225</v>
      </c>
      <c r="M4" s="3211" t="s">
        <v>3210</v>
      </c>
      <c r="N4" s="3211" t="s">
        <v>3201</v>
      </c>
      <c r="O4" s="3211" t="s">
        <v>3201</v>
      </c>
      <c r="P4" s="3211" t="s">
        <v>3201</v>
      </c>
      <c r="Q4" s="3211" t="s">
        <v>3201</v>
      </c>
      <c r="R4" s="3211" t="s">
        <v>3201</v>
      </c>
      <c r="S4" s="3211" t="s">
        <v>3201</v>
      </c>
      <c r="T4" s="3211" t="s">
        <v>3201</v>
      </c>
      <c r="U4" s="3212">
        <v>44188.000497685185</v>
      </c>
      <c r="V4" s="3212">
        <v>44208.000497685185</v>
      </c>
      <c r="W4" s="3212">
        <v>44307.000497685185</v>
      </c>
      <c r="X4" s="3212">
        <v>44307.000497685185</v>
      </c>
      <c r="Y4" s="3211" t="s">
        <v>3226</v>
      </c>
      <c r="Z4" s="3211" t="s">
        <v>3212</v>
      </c>
      <c r="AA4" s="3211" t="s">
        <v>3227</v>
      </c>
      <c r="AB4" s="3211" t="s">
        <v>3201</v>
      </c>
      <c r="AC4" s="3211">
        <v>13020</v>
      </c>
      <c r="AD4" s="3211">
        <v>2600</v>
      </c>
      <c r="AE4" s="3211" t="s">
        <v>3201</v>
      </c>
      <c r="AF4" s="3211">
        <v>13020</v>
      </c>
      <c r="AG4" s="3211">
        <v>86.8</v>
      </c>
      <c r="AH4" s="3211">
        <v>86.8</v>
      </c>
      <c r="AI4" s="3211">
        <v>651</v>
      </c>
      <c r="AJ4" s="3211">
        <v>651</v>
      </c>
      <c r="AK4" s="3211" t="s">
        <v>3201</v>
      </c>
      <c r="AL4" s="3211" t="s">
        <v>3201</v>
      </c>
      <c r="AM4" s="3211">
        <v>0</v>
      </c>
      <c r="AN4" s="3211" t="s">
        <v>3214</v>
      </c>
      <c r="AO4" s="3211" t="s">
        <v>3208</v>
      </c>
      <c r="AP4" s="3211" t="s">
        <v>3208</v>
      </c>
    </row>
    <row r="5" spans="1:42">
      <c r="A5" s="3211" t="s">
        <v>3228</v>
      </c>
      <c r="B5" s="3211" t="s">
        <v>3229</v>
      </c>
      <c r="C5" s="3211" t="s">
        <v>3230</v>
      </c>
      <c r="D5" s="3211" t="s">
        <v>3203</v>
      </c>
      <c r="E5" s="3211">
        <v>19340</v>
      </c>
      <c r="F5" s="3211">
        <v>34812</v>
      </c>
      <c r="G5" s="3211" t="s">
        <v>3231</v>
      </c>
      <c r="H5" s="3211" t="s">
        <v>3205</v>
      </c>
      <c r="I5" s="3211" t="s">
        <v>3232</v>
      </c>
      <c r="J5" s="3211" t="s">
        <v>3207</v>
      </c>
      <c r="K5" s="3211" t="s">
        <v>3208</v>
      </c>
      <c r="L5" s="3211" t="s">
        <v>3233</v>
      </c>
      <c r="M5" s="3211" t="s">
        <v>3234</v>
      </c>
      <c r="N5" s="3211" t="s">
        <v>3201</v>
      </c>
      <c r="O5" s="3211" t="s">
        <v>3201</v>
      </c>
      <c r="P5" s="3211" t="s">
        <v>3201</v>
      </c>
      <c r="Q5" s="3211" t="s">
        <v>3201</v>
      </c>
      <c r="R5" s="3211" t="s">
        <v>3201</v>
      </c>
      <c r="S5" s="3211" t="s">
        <v>3201</v>
      </c>
      <c r="T5" s="3211" t="s">
        <v>3201</v>
      </c>
      <c r="U5" s="3212">
        <v>43824.000497685185</v>
      </c>
      <c r="V5" s="3212">
        <v>43843.000497685185</v>
      </c>
      <c r="W5" s="3212">
        <v>43873.000497685185</v>
      </c>
      <c r="X5" s="3212">
        <v>43873.000497685185</v>
      </c>
      <c r="Y5" s="3211" t="s">
        <v>3229</v>
      </c>
      <c r="Z5" s="3211" t="s">
        <v>3212</v>
      </c>
      <c r="AA5" s="3211" t="s">
        <v>3235</v>
      </c>
      <c r="AB5" s="3211" t="s">
        <v>3236</v>
      </c>
      <c r="AC5" s="3211">
        <v>5764.87</v>
      </c>
      <c r="AD5" s="3211">
        <v>1800</v>
      </c>
      <c r="AE5" s="3211" t="s">
        <v>3201</v>
      </c>
      <c r="AF5" s="3211">
        <v>5764.87</v>
      </c>
      <c r="AG5" s="3211">
        <v>198.72</v>
      </c>
      <c r="AH5" s="3211">
        <v>198.72</v>
      </c>
      <c r="AI5" s="3211">
        <v>1656</v>
      </c>
      <c r="AJ5" s="3211">
        <v>1656</v>
      </c>
      <c r="AK5" s="3211" t="s">
        <v>3201</v>
      </c>
      <c r="AL5" s="3211" t="s">
        <v>3201</v>
      </c>
      <c r="AM5" s="3211">
        <v>0</v>
      </c>
      <c r="AN5" s="3211" t="s">
        <v>3214</v>
      </c>
      <c r="AO5" s="3211" t="s">
        <v>3208</v>
      </c>
      <c r="AP5" s="3211" t="s">
        <v>3208</v>
      </c>
    </row>
    <row r="6" spans="1:42">
      <c r="A6" s="3211" t="s">
        <v>3237</v>
      </c>
      <c r="B6" s="3211" t="s">
        <v>3238</v>
      </c>
      <c r="C6" s="3211" t="s">
        <v>3230</v>
      </c>
      <c r="D6" s="3211" t="s">
        <v>3203</v>
      </c>
      <c r="E6" s="3211">
        <v>16697.47</v>
      </c>
      <c r="F6" s="3211">
        <v>30055</v>
      </c>
      <c r="G6" s="3211">
        <v>1.8</v>
      </c>
      <c r="H6" s="3211" t="s">
        <v>3205</v>
      </c>
      <c r="I6" s="3211" t="s">
        <v>3239</v>
      </c>
      <c r="J6" s="3211" t="s">
        <v>3207</v>
      </c>
      <c r="K6" s="3211" t="s">
        <v>3208</v>
      </c>
      <c r="L6" s="3211" t="s">
        <v>3201</v>
      </c>
      <c r="M6" s="3211" t="s">
        <v>3201</v>
      </c>
      <c r="N6" s="3211" t="s">
        <v>3201</v>
      </c>
      <c r="O6" s="3211" t="s">
        <v>3201</v>
      </c>
      <c r="P6" s="3211" t="s">
        <v>3201</v>
      </c>
      <c r="Q6" s="3211" t="s">
        <v>3201</v>
      </c>
      <c r="R6" s="3211" t="s">
        <v>3201</v>
      </c>
      <c r="S6" s="3211" t="s">
        <v>3201</v>
      </c>
      <c r="T6" s="3211" t="s">
        <v>3201</v>
      </c>
      <c r="U6" s="3212">
        <v>43543.000497685185</v>
      </c>
      <c r="V6" s="3212">
        <v>43563.000497685185</v>
      </c>
      <c r="W6" s="3212">
        <v>43662.000497685185</v>
      </c>
      <c r="X6" s="3212">
        <v>43662.000497685185</v>
      </c>
      <c r="Y6" s="3211" t="s">
        <v>3238</v>
      </c>
      <c r="Z6" s="3211" t="s">
        <v>3212</v>
      </c>
      <c r="AA6" s="3211" t="s">
        <v>3240</v>
      </c>
      <c r="AB6" s="3211" t="s">
        <v>3201</v>
      </c>
      <c r="AC6" s="3211">
        <v>4977.1099999999997</v>
      </c>
      <c r="AD6" s="3211">
        <v>1500</v>
      </c>
      <c r="AE6" s="3211" t="s">
        <v>3201</v>
      </c>
      <c r="AF6" s="3211">
        <v>4977.1099999999997</v>
      </c>
      <c r="AG6" s="3211">
        <v>198.72</v>
      </c>
      <c r="AH6" s="3211">
        <v>198.72</v>
      </c>
      <c r="AI6" s="3211">
        <v>1656</v>
      </c>
      <c r="AJ6" s="3211">
        <v>1656</v>
      </c>
      <c r="AK6" s="3211" t="s">
        <v>3201</v>
      </c>
      <c r="AL6" s="3211" t="s">
        <v>3201</v>
      </c>
      <c r="AM6" s="3211">
        <v>0</v>
      </c>
      <c r="AN6" s="3211" t="s">
        <v>3214</v>
      </c>
      <c r="AO6" s="3211" t="s">
        <v>3208</v>
      </c>
      <c r="AP6" s="3211" t="s">
        <v>3208</v>
      </c>
    </row>
    <row r="7" spans="1:42">
      <c r="A7" s="3211" t="s">
        <v>3241</v>
      </c>
      <c r="B7" s="3211" t="s">
        <v>3242</v>
      </c>
      <c r="C7" s="3211" t="s">
        <v>3243</v>
      </c>
      <c r="D7" s="3211" t="s">
        <v>3203</v>
      </c>
      <c r="E7" s="3211">
        <v>46618.33</v>
      </c>
      <c r="F7" s="3211">
        <v>93237</v>
      </c>
      <c r="G7" s="3211">
        <v>2</v>
      </c>
      <c r="H7" s="3211" t="s">
        <v>3205</v>
      </c>
      <c r="I7" s="3211" t="s">
        <v>3239</v>
      </c>
      <c r="J7" s="3211" t="s">
        <v>3207</v>
      </c>
      <c r="K7" s="3211" t="s">
        <v>3208</v>
      </c>
      <c r="L7" s="3211" t="s">
        <v>3201</v>
      </c>
      <c r="M7" s="3211" t="s">
        <v>3201</v>
      </c>
      <c r="N7" s="3211" t="s">
        <v>3201</v>
      </c>
      <c r="O7" s="3211" t="s">
        <v>3201</v>
      </c>
      <c r="P7" s="3211" t="s">
        <v>3201</v>
      </c>
      <c r="Q7" s="3211" t="s">
        <v>3201</v>
      </c>
      <c r="R7" s="3211" t="s">
        <v>3201</v>
      </c>
      <c r="S7" s="3211" t="s">
        <v>3201</v>
      </c>
      <c r="T7" s="3211" t="s">
        <v>3201</v>
      </c>
      <c r="U7" s="3212">
        <v>43543.000497685185</v>
      </c>
      <c r="V7" s="3212">
        <v>43563.000497685185</v>
      </c>
      <c r="W7" s="3212">
        <v>43577.000497685185</v>
      </c>
      <c r="X7" s="3212">
        <v>43577.000497685185</v>
      </c>
      <c r="Y7" s="3211" t="s">
        <v>3242</v>
      </c>
      <c r="Z7" s="3211" t="s">
        <v>3212</v>
      </c>
      <c r="AA7" s="3211" t="s">
        <v>3244</v>
      </c>
      <c r="AB7" s="3211" t="s">
        <v>3201</v>
      </c>
      <c r="AC7" s="3211">
        <v>16204.59</v>
      </c>
      <c r="AD7" s="3211">
        <v>4850</v>
      </c>
      <c r="AE7" s="3211" t="s">
        <v>3201</v>
      </c>
      <c r="AF7" s="3211">
        <v>16204.59</v>
      </c>
      <c r="AG7" s="3211">
        <v>231.73</v>
      </c>
      <c r="AH7" s="3211">
        <v>231.73</v>
      </c>
      <c r="AI7" s="3211">
        <v>1738</v>
      </c>
      <c r="AJ7" s="3211">
        <v>1738</v>
      </c>
      <c r="AK7" s="3211" t="s">
        <v>3201</v>
      </c>
      <c r="AL7" s="3211" t="s">
        <v>3201</v>
      </c>
      <c r="AM7" s="3211">
        <v>0</v>
      </c>
      <c r="AN7" s="3211" t="s">
        <v>3214</v>
      </c>
      <c r="AO7" s="3211" t="s">
        <v>3208</v>
      </c>
      <c r="AP7" s="3211" t="s">
        <v>3208</v>
      </c>
    </row>
    <row r="8" spans="1:42">
      <c r="A8" s="3211" t="s">
        <v>3245</v>
      </c>
      <c r="B8" s="3211" t="s">
        <v>3246</v>
      </c>
      <c r="C8" s="3211" t="s">
        <v>3230</v>
      </c>
      <c r="D8" s="3211" t="s">
        <v>3203</v>
      </c>
      <c r="E8" s="3211">
        <v>8700</v>
      </c>
      <c r="F8" s="3211">
        <v>15660</v>
      </c>
      <c r="G8" s="3211">
        <v>1.8</v>
      </c>
      <c r="H8" s="3211" t="s">
        <v>3205</v>
      </c>
      <c r="I8" s="3211" t="s">
        <v>3239</v>
      </c>
      <c r="J8" s="3211" t="s">
        <v>3207</v>
      </c>
      <c r="K8" s="3211" t="s">
        <v>3208</v>
      </c>
      <c r="L8" s="3211" t="s">
        <v>3201</v>
      </c>
      <c r="M8" s="3211" t="s">
        <v>3201</v>
      </c>
      <c r="N8" s="3211" t="s">
        <v>3201</v>
      </c>
      <c r="O8" s="3211" t="s">
        <v>3201</v>
      </c>
      <c r="P8" s="3211" t="s">
        <v>3201</v>
      </c>
      <c r="Q8" s="3211" t="s">
        <v>3201</v>
      </c>
      <c r="R8" s="3211" t="s">
        <v>3201</v>
      </c>
      <c r="S8" s="3211" t="s">
        <v>3201</v>
      </c>
      <c r="T8" s="3211" t="s">
        <v>3201</v>
      </c>
      <c r="U8" s="3212">
        <v>43543.000497685185</v>
      </c>
      <c r="V8" s="3212">
        <v>43563.000497685185</v>
      </c>
      <c r="W8" s="3212">
        <v>43577.000497685185</v>
      </c>
      <c r="X8" s="3212">
        <v>43577.000497685185</v>
      </c>
      <c r="Y8" s="3211" t="s">
        <v>3246</v>
      </c>
      <c r="Z8" s="3211" t="s">
        <v>3212</v>
      </c>
      <c r="AA8" s="3211" t="s">
        <v>3247</v>
      </c>
      <c r="AB8" s="3211" t="s">
        <v>3201</v>
      </c>
      <c r="AC8" s="3211">
        <v>2593.3000000000002</v>
      </c>
      <c r="AD8" s="3211">
        <v>780</v>
      </c>
      <c r="AE8" s="3211" t="s">
        <v>3201</v>
      </c>
      <c r="AF8" s="3211">
        <v>2593.3000000000002</v>
      </c>
      <c r="AG8" s="3211">
        <v>198.72</v>
      </c>
      <c r="AH8" s="3211">
        <v>198.72</v>
      </c>
      <c r="AI8" s="3211">
        <v>1656</v>
      </c>
      <c r="AJ8" s="3211">
        <v>1656</v>
      </c>
      <c r="AK8" s="3211" t="s">
        <v>3201</v>
      </c>
      <c r="AL8" s="3211" t="s">
        <v>3201</v>
      </c>
      <c r="AM8" s="3211">
        <v>0</v>
      </c>
      <c r="AN8" s="3211" t="s">
        <v>3214</v>
      </c>
      <c r="AO8" s="3211" t="s">
        <v>3208</v>
      </c>
      <c r="AP8" s="3211" t="s">
        <v>3208</v>
      </c>
    </row>
    <row r="9" spans="1:42">
      <c r="A9" s="3211" t="s">
        <v>3248</v>
      </c>
      <c r="B9" s="3211" t="s">
        <v>3249</v>
      </c>
      <c r="C9" s="3211" t="s">
        <v>3250</v>
      </c>
      <c r="D9" s="3211" t="s">
        <v>3203</v>
      </c>
      <c r="E9" s="3211">
        <v>4280.58</v>
      </c>
      <c r="F9" s="3211">
        <v>3424</v>
      </c>
      <c r="G9" s="3211">
        <v>0.8</v>
      </c>
      <c r="H9" s="3211" t="s">
        <v>3205</v>
      </c>
      <c r="I9" s="3211" t="s">
        <v>3251</v>
      </c>
      <c r="J9" s="3211" t="s">
        <v>3207</v>
      </c>
      <c r="K9" s="3211" t="s">
        <v>3208</v>
      </c>
      <c r="L9" s="3211" t="s">
        <v>3201</v>
      </c>
      <c r="M9" s="3211" t="s">
        <v>3201</v>
      </c>
      <c r="N9" s="3211" t="s">
        <v>3201</v>
      </c>
      <c r="O9" s="3211" t="s">
        <v>3201</v>
      </c>
      <c r="P9" s="3211" t="s">
        <v>3201</v>
      </c>
      <c r="Q9" s="3211" t="s">
        <v>3201</v>
      </c>
      <c r="R9" s="3211" t="s">
        <v>3201</v>
      </c>
      <c r="S9" s="3211" t="s">
        <v>3201</v>
      </c>
      <c r="T9" s="3211" t="s">
        <v>3201</v>
      </c>
      <c r="U9" s="3212">
        <v>43059.000497685185</v>
      </c>
      <c r="V9" s="3212">
        <v>43080.000497685185</v>
      </c>
      <c r="W9" s="3212">
        <v>43094.000497685185</v>
      </c>
      <c r="X9" s="3212">
        <v>43094.000497685185</v>
      </c>
      <c r="Y9" s="3211" t="s">
        <v>3249</v>
      </c>
      <c r="Z9" s="3211" t="s">
        <v>3212</v>
      </c>
      <c r="AA9" s="3211" t="s">
        <v>3252</v>
      </c>
      <c r="AB9" s="3211" t="s">
        <v>3201</v>
      </c>
      <c r="AC9" s="3211">
        <v>642.09</v>
      </c>
      <c r="AD9" s="3211">
        <v>200</v>
      </c>
      <c r="AE9" s="3211" t="s">
        <v>3201</v>
      </c>
      <c r="AF9" s="3211">
        <v>642.09</v>
      </c>
      <c r="AG9" s="3211">
        <v>100</v>
      </c>
      <c r="AH9" s="3211">
        <v>100</v>
      </c>
      <c r="AI9" s="3211">
        <v>1875</v>
      </c>
      <c r="AJ9" s="3211">
        <v>1875</v>
      </c>
      <c r="AK9" s="3211" t="s">
        <v>3201</v>
      </c>
      <c r="AL9" s="3211" t="s">
        <v>3201</v>
      </c>
      <c r="AM9" s="3211">
        <v>0</v>
      </c>
      <c r="AN9" s="3211" t="s">
        <v>3253</v>
      </c>
      <c r="AO9" s="3211" t="s">
        <v>3208</v>
      </c>
      <c r="AP9" s="3211" t="s">
        <v>3208</v>
      </c>
    </row>
    <row r="10" spans="1:42">
      <c r="A10" s="3211" t="s">
        <v>3254</v>
      </c>
      <c r="B10" s="3211" t="s">
        <v>3255</v>
      </c>
      <c r="C10" s="3211" t="s">
        <v>3256</v>
      </c>
      <c r="D10" s="3211" t="s">
        <v>3203</v>
      </c>
      <c r="E10" s="3211">
        <v>31386.9</v>
      </c>
      <c r="F10" s="3211">
        <v>25110</v>
      </c>
      <c r="G10" s="3211">
        <v>0.8</v>
      </c>
      <c r="H10" s="3211" t="s">
        <v>3205</v>
      </c>
      <c r="I10" s="3211" t="s">
        <v>3257</v>
      </c>
      <c r="J10" s="3211" t="s">
        <v>3207</v>
      </c>
      <c r="K10" s="3211" t="s">
        <v>3208</v>
      </c>
      <c r="L10" s="3211" t="s">
        <v>3201</v>
      </c>
      <c r="M10" s="3211" t="s">
        <v>3201</v>
      </c>
      <c r="N10" s="3211" t="s">
        <v>3201</v>
      </c>
      <c r="O10" s="3211" t="s">
        <v>3201</v>
      </c>
      <c r="P10" s="3211" t="s">
        <v>3201</v>
      </c>
      <c r="Q10" s="3211" t="s">
        <v>3201</v>
      </c>
      <c r="R10" s="3211" t="s">
        <v>3201</v>
      </c>
      <c r="S10" s="3211" t="s">
        <v>3201</v>
      </c>
      <c r="T10" s="3211" t="s">
        <v>3201</v>
      </c>
      <c r="U10" s="3212">
        <v>42815.000497685185</v>
      </c>
      <c r="V10" s="3212">
        <v>42835.000497685185</v>
      </c>
      <c r="W10" s="3212">
        <v>42859.000497685185</v>
      </c>
      <c r="X10" s="3212">
        <v>42859.000497685185</v>
      </c>
      <c r="Y10" s="3211" t="s">
        <v>3255</v>
      </c>
      <c r="Z10" s="3211" t="s">
        <v>3212</v>
      </c>
      <c r="AA10" s="3211" t="s">
        <v>3258</v>
      </c>
      <c r="AB10" s="3211" t="s">
        <v>3201</v>
      </c>
      <c r="AC10" s="3211">
        <v>11547.52</v>
      </c>
      <c r="AD10" s="3211">
        <v>3500</v>
      </c>
      <c r="AE10" s="3211" t="s">
        <v>3201</v>
      </c>
      <c r="AF10" s="3211">
        <v>11547.52</v>
      </c>
      <c r="AG10" s="3211">
        <v>245.27</v>
      </c>
      <c r="AH10" s="3211">
        <v>245.27</v>
      </c>
      <c r="AI10" s="3211">
        <v>4599</v>
      </c>
      <c r="AJ10" s="3211">
        <v>4599</v>
      </c>
      <c r="AK10" s="3211" t="s">
        <v>3201</v>
      </c>
      <c r="AL10" s="3211" t="s">
        <v>3201</v>
      </c>
      <c r="AM10" s="3211">
        <v>0</v>
      </c>
      <c r="AN10" s="3211" t="s">
        <v>3253</v>
      </c>
      <c r="AO10" s="3211" t="s">
        <v>3208</v>
      </c>
      <c r="AP10" s="3211" t="s">
        <v>3208</v>
      </c>
    </row>
    <row r="11" spans="1:42">
      <c r="A11" s="3211" t="s">
        <v>3259</v>
      </c>
      <c r="B11" s="3211" t="s">
        <v>3260</v>
      </c>
      <c r="C11" s="3211" t="s">
        <v>3261</v>
      </c>
      <c r="D11" s="3211" t="s">
        <v>3203</v>
      </c>
      <c r="E11" s="3211">
        <v>45231.1</v>
      </c>
      <c r="F11" s="3211">
        <v>36185</v>
      </c>
      <c r="G11" s="3211">
        <v>0.8</v>
      </c>
      <c r="H11" s="3211" t="s">
        <v>3205</v>
      </c>
      <c r="I11" s="3211" t="s">
        <v>3257</v>
      </c>
      <c r="J11" s="3211" t="s">
        <v>3207</v>
      </c>
      <c r="K11" s="3211" t="s">
        <v>3208</v>
      </c>
      <c r="L11" s="3211" t="s">
        <v>3201</v>
      </c>
      <c r="M11" s="3211" t="s">
        <v>3201</v>
      </c>
      <c r="N11" s="3211" t="s">
        <v>3201</v>
      </c>
      <c r="O11" s="3211" t="s">
        <v>3201</v>
      </c>
      <c r="P11" s="3211" t="s">
        <v>3201</v>
      </c>
      <c r="Q11" s="3211" t="s">
        <v>3201</v>
      </c>
      <c r="R11" s="3211" t="s">
        <v>3201</v>
      </c>
      <c r="S11" s="3211" t="s">
        <v>3201</v>
      </c>
      <c r="T11" s="3211" t="s">
        <v>3201</v>
      </c>
      <c r="U11" s="3212">
        <v>42815.000497685185</v>
      </c>
      <c r="V11" s="3212">
        <v>42835.000497685185</v>
      </c>
      <c r="W11" s="3212">
        <v>42846.000497685185</v>
      </c>
      <c r="X11" s="3212">
        <v>42846.000497685185</v>
      </c>
      <c r="Y11" s="3211" t="s">
        <v>3260</v>
      </c>
      <c r="Z11" s="3211" t="s">
        <v>3212</v>
      </c>
      <c r="AA11" s="3211" t="s">
        <v>3262</v>
      </c>
      <c r="AB11" s="3211" t="s">
        <v>3201</v>
      </c>
      <c r="AC11" s="3211">
        <v>13943.25</v>
      </c>
      <c r="AD11" s="3211">
        <v>4200</v>
      </c>
      <c r="AE11" s="3211" t="s">
        <v>3201</v>
      </c>
      <c r="AF11" s="3211">
        <v>13943.25</v>
      </c>
      <c r="AG11" s="3211">
        <v>205.51</v>
      </c>
      <c r="AH11" s="3211">
        <v>205.51</v>
      </c>
      <c r="AI11" s="3211">
        <v>3853</v>
      </c>
      <c r="AJ11" s="3211">
        <v>3853</v>
      </c>
      <c r="AK11" s="3211" t="s">
        <v>3201</v>
      </c>
      <c r="AL11" s="3211" t="s">
        <v>3201</v>
      </c>
      <c r="AM11" s="3211">
        <v>0</v>
      </c>
      <c r="AN11" s="3211" t="s">
        <v>3253</v>
      </c>
      <c r="AO11" s="3211" t="s">
        <v>3208</v>
      </c>
      <c r="AP11" s="3211" t="s">
        <v>3208</v>
      </c>
    </row>
    <row r="12" spans="1:42">
      <c r="A12" s="3211" t="s">
        <v>3263</v>
      </c>
      <c r="B12" s="3211" t="s">
        <v>3264</v>
      </c>
      <c r="C12" s="3211" t="s">
        <v>3265</v>
      </c>
      <c r="D12" s="3211" t="s">
        <v>3203</v>
      </c>
      <c r="E12" s="3211">
        <v>401615.3</v>
      </c>
      <c r="F12" s="3211">
        <v>401615</v>
      </c>
      <c r="G12" s="3211">
        <v>1</v>
      </c>
      <c r="H12" s="3211" t="s">
        <v>3205</v>
      </c>
      <c r="I12" s="3211" t="s">
        <v>3251</v>
      </c>
      <c r="J12" s="3211" t="s">
        <v>3207</v>
      </c>
      <c r="K12" s="3211" t="s">
        <v>3208</v>
      </c>
      <c r="L12" s="3211" t="s">
        <v>3201</v>
      </c>
      <c r="M12" s="3211" t="s">
        <v>3201</v>
      </c>
      <c r="N12" s="3211" t="s">
        <v>3201</v>
      </c>
      <c r="O12" s="3211" t="s">
        <v>3201</v>
      </c>
      <c r="P12" s="3211" t="s">
        <v>3201</v>
      </c>
      <c r="Q12" s="3211" t="s">
        <v>3201</v>
      </c>
      <c r="R12" s="3211" t="s">
        <v>3201</v>
      </c>
      <c r="S12" s="3211" t="s">
        <v>3201</v>
      </c>
      <c r="T12" s="3211" t="s">
        <v>3201</v>
      </c>
      <c r="U12" s="3212">
        <v>42815.000497685185</v>
      </c>
      <c r="V12" s="3212">
        <v>42835.000497685185</v>
      </c>
      <c r="W12" s="3212">
        <v>42846.000497685185</v>
      </c>
      <c r="X12" s="3212">
        <v>42846.000497685185</v>
      </c>
      <c r="Y12" s="3211" t="s">
        <v>3264</v>
      </c>
      <c r="Z12" s="3211" t="s">
        <v>3212</v>
      </c>
      <c r="AA12" s="3211" t="s">
        <v>3266</v>
      </c>
      <c r="AB12" s="3211" t="s">
        <v>3201</v>
      </c>
      <c r="AC12" s="3211">
        <v>109378.8</v>
      </c>
      <c r="AD12" s="3211">
        <v>32800</v>
      </c>
      <c r="AE12" s="3211" t="s">
        <v>3201</v>
      </c>
      <c r="AF12" s="3211">
        <v>109378.8</v>
      </c>
      <c r="AG12" s="3211">
        <v>181.56</v>
      </c>
      <c r="AH12" s="3211">
        <v>181.56</v>
      </c>
      <c r="AI12" s="3211">
        <v>2723</v>
      </c>
      <c r="AJ12" s="3211">
        <v>2723</v>
      </c>
      <c r="AK12" s="3211" t="s">
        <v>3201</v>
      </c>
      <c r="AL12" s="3211" t="s">
        <v>3201</v>
      </c>
      <c r="AM12" s="3211">
        <v>0</v>
      </c>
      <c r="AN12" s="3211" t="s">
        <v>3253</v>
      </c>
      <c r="AO12" s="3211" t="s">
        <v>3208</v>
      </c>
      <c r="AP12" s="3211" t="s">
        <v>3208</v>
      </c>
    </row>
    <row r="13" spans="1:42">
      <c r="A13" s="3211" t="s">
        <v>3267</v>
      </c>
      <c r="B13" s="3211" t="s">
        <v>3268</v>
      </c>
      <c r="C13" s="3211" t="s">
        <v>3269</v>
      </c>
      <c r="D13" s="3211" t="s">
        <v>3203</v>
      </c>
      <c r="E13" s="3211">
        <v>11912.8</v>
      </c>
      <c r="F13" s="3211">
        <v>9530</v>
      </c>
      <c r="G13" s="3211">
        <v>0.8</v>
      </c>
      <c r="H13" s="3211" t="s">
        <v>3205</v>
      </c>
      <c r="I13" s="3211" t="s">
        <v>3251</v>
      </c>
      <c r="J13" s="3211" t="s">
        <v>3207</v>
      </c>
      <c r="K13" s="3211" t="s">
        <v>3208</v>
      </c>
      <c r="L13" s="3211" t="s">
        <v>3201</v>
      </c>
      <c r="M13" s="3211" t="s">
        <v>3201</v>
      </c>
      <c r="N13" s="3211" t="s">
        <v>3201</v>
      </c>
      <c r="O13" s="3211" t="s">
        <v>3201</v>
      </c>
      <c r="P13" s="3211" t="s">
        <v>3201</v>
      </c>
      <c r="Q13" s="3211" t="s">
        <v>3201</v>
      </c>
      <c r="R13" s="3211" t="s">
        <v>3201</v>
      </c>
      <c r="S13" s="3211" t="s">
        <v>3201</v>
      </c>
      <c r="T13" s="3211" t="s">
        <v>3201</v>
      </c>
      <c r="U13" s="3212">
        <v>42633.000497685185</v>
      </c>
      <c r="V13" s="3212">
        <v>42654.000497685185</v>
      </c>
      <c r="W13" s="3212">
        <v>42668.000497685185</v>
      </c>
      <c r="X13" s="3212">
        <v>42668.000497685185</v>
      </c>
      <c r="Y13" s="3211" t="s">
        <v>3268</v>
      </c>
      <c r="Z13" s="3211" t="s">
        <v>3212</v>
      </c>
      <c r="AA13" s="3211" t="s">
        <v>3270</v>
      </c>
      <c r="AB13" s="3211" t="s">
        <v>3201</v>
      </c>
      <c r="AC13" s="3211">
        <v>1798</v>
      </c>
      <c r="AD13" s="3211">
        <v>530</v>
      </c>
      <c r="AE13" s="3211" t="s">
        <v>3201</v>
      </c>
      <c r="AF13" s="3211">
        <v>1798</v>
      </c>
      <c r="AG13" s="3211">
        <v>100.62</v>
      </c>
      <c r="AH13" s="3211">
        <v>100.62</v>
      </c>
      <c r="AI13" s="3211">
        <v>1887</v>
      </c>
      <c r="AJ13" s="3211">
        <v>1887</v>
      </c>
      <c r="AK13" s="3211" t="s">
        <v>3201</v>
      </c>
      <c r="AL13" s="3211" t="s">
        <v>3201</v>
      </c>
      <c r="AM13" s="3211">
        <v>0</v>
      </c>
      <c r="AN13" s="3211" t="s">
        <v>3253</v>
      </c>
      <c r="AO13" s="3211" t="s">
        <v>3208</v>
      </c>
      <c r="AP13" s="3211" t="s">
        <v>3208</v>
      </c>
    </row>
    <row r="14" spans="1:42">
      <c r="A14" s="3211" t="s">
        <v>3271</v>
      </c>
      <c r="B14" s="3211" t="s">
        <v>3272</v>
      </c>
      <c r="C14" s="3211" t="s">
        <v>3273</v>
      </c>
      <c r="D14" s="3211" t="s">
        <v>3203</v>
      </c>
      <c r="E14" s="3211">
        <v>13289.21</v>
      </c>
      <c r="F14" s="3211">
        <v>10631</v>
      </c>
      <c r="G14" s="3211">
        <v>0.8</v>
      </c>
      <c r="H14" s="3211" t="s">
        <v>3205</v>
      </c>
      <c r="I14" s="3211" t="s">
        <v>3251</v>
      </c>
      <c r="J14" s="3211" t="s">
        <v>3207</v>
      </c>
      <c r="K14" s="3211" t="s">
        <v>3208</v>
      </c>
      <c r="L14" s="3211" t="s">
        <v>3201</v>
      </c>
      <c r="M14" s="3211" t="s">
        <v>3201</v>
      </c>
      <c r="N14" s="3211" t="s">
        <v>3201</v>
      </c>
      <c r="O14" s="3211" t="s">
        <v>3201</v>
      </c>
      <c r="P14" s="3211" t="s">
        <v>3201</v>
      </c>
      <c r="Q14" s="3211" t="s">
        <v>3201</v>
      </c>
      <c r="R14" s="3211" t="s">
        <v>3201</v>
      </c>
      <c r="S14" s="3211" t="s">
        <v>3201</v>
      </c>
      <c r="T14" s="3211" t="s">
        <v>3201</v>
      </c>
      <c r="U14" s="3212">
        <v>42067.000497685185</v>
      </c>
      <c r="V14" s="3212">
        <v>42087.000497685185</v>
      </c>
      <c r="W14" s="3212">
        <v>42102.000497685185</v>
      </c>
      <c r="X14" s="3212">
        <v>42102.000497685185</v>
      </c>
      <c r="Y14" s="3211" t="s">
        <v>3272</v>
      </c>
      <c r="Z14" s="3211" t="s">
        <v>3212</v>
      </c>
      <c r="AA14" s="3211" t="s">
        <v>3274</v>
      </c>
      <c r="AB14" s="3211" t="s">
        <v>3201</v>
      </c>
      <c r="AC14" s="3211">
        <v>1597.44</v>
      </c>
      <c r="AD14" s="3211">
        <v>500</v>
      </c>
      <c r="AE14" s="3211" t="s">
        <v>3201</v>
      </c>
      <c r="AF14" s="3211">
        <v>1597.44</v>
      </c>
      <c r="AG14" s="3211">
        <v>80.14</v>
      </c>
      <c r="AH14" s="3211">
        <v>80.14</v>
      </c>
      <c r="AI14" s="3211">
        <v>1503</v>
      </c>
      <c r="AJ14" s="3211">
        <v>1503</v>
      </c>
      <c r="AK14" s="3211" t="s">
        <v>3201</v>
      </c>
      <c r="AL14" s="3211" t="s">
        <v>3201</v>
      </c>
      <c r="AM14" s="3211">
        <v>0</v>
      </c>
      <c r="AN14" s="3211" t="s">
        <v>3253</v>
      </c>
      <c r="AO14" s="3211" t="s">
        <v>3208</v>
      </c>
      <c r="AP14" s="3211" t="s">
        <v>3208</v>
      </c>
    </row>
    <row r="15" spans="1:42">
      <c r="A15" s="3211" t="s">
        <v>3275</v>
      </c>
      <c r="B15" s="3211" t="s">
        <v>3276</v>
      </c>
      <c r="C15" s="3211" t="s">
        <v>3273</v>
      </c>
      <c r="D15" s="3211" t="s">
        <v>3203</v>
      </c>
      <c r="E15" s="3211">
        <v>56802.68</v>
      </c>
      <c r="F15" s="3211">
        <v>45442</v>
      </c>
      <c r="G15" s="3211">
        <v>0.8</v>
      </c>
      <c r="H15" s="3211" t="s">
        <v>3205</v>
      </c>
      <c r="I15" s="3211" t="s">
        <v>3251</v>
      </c>
      <c r="J15" s="3211" t="s">
        <v>3207</v>
      </c>
      <c r="K15" s="3211" t="s">
        <v>3208</v>
      </c>
      <c r="L15" s="3211" t="s">
        <v>3201</v>
      </c>
      <c r="M15" s="3211" t="s">
        <v>3201</v>
      </c>
      <c r="N15" s="3211" t="s">
        <v>3201</v>
      </c>
      <c r="O15" s="3211" t="s">
        <v>3201</v>
      </c>
      <c r="P15" s="3211" t="s">
        <v>3201</v>
      </c>
      <c r="Q15" s="3211" t="s">
        <v>3201</v>
      </c>
      <c r="R15" s="3211" t="s">
        <v>3201</v>
      </c>
      <c r="S15" s="3211" t="s">
        <v>3201</v>
      </c>
      <c r="T15" s="3211" t="s">
        <v>3201</v>
      </c>
      <c r="U15" s="3212">
        <v>42067.000497685185</v>
      </c>
      <c r="V15" s="3212">
        <v>42087.000497685185</v>
      </c>
      <c r="W15" s="3212">
        <v>42102.000497685185</v>
      </c>
      <c r="X15" s="3212">
        <v>42102.000497685185</v>
      </c>
      <c r="Y15" s="3211" t="s">
        <v>3276</v>
      </c>
      <c r="Z15" s="3211" t="s">
        <v>3212</v>
      </c>
      <c r="AA15" s="3211" t="s">
        <v>3277</v>
      </c>
      <c r="AB15" s="3211" t="s">
        <v>3201</v>
      </c>
      <c r="AC15" s="3211">
        <v>7121.08</v>
      </c>
      <c r="AD15" s="3211">
        <v>2000</v>
      </c>
      <c r="AE15" s="3211" t="s">
        <v>3201</v>
      </c>
      <c r="AF15" s="3211">
        <v>7121.08</v>
      </c>
      <c r="AG15" s="3211">
        <v>83.58</v>
      </c>
      <c r="AH15" s="3211">
        <v>83.58</v>
      </c>
      <c r="AI15" s="3211">
        <v>1567</v>
      </c>
      <c r="AJ15" s="3211">
        <v>1567</v>
      </c>
      <c r="AK15" s="3211" t="s">
        <v>3201</v>
      </c>
      <c r="AL15" s="3211" t="s">
        <v>3201</v>
      </c>
      <c r="AM15" s="3211">
        <v>0</v>
      </c>
      <c r="AN15" s="3211" t="s">
        <v>3253</v>
      </c>
      <c r="AO15" s="3211" t="s">
        <v>3208</v>
      </c>
      <c r="AP15" s="3211" t="s">
        <v>3208</v>
      </c>
    </row>
    <row r="16" spans="1:42">
      <c r="A16" s="3211" t="s">
        <v>3278</v>
      </c>
      <c r="B16" s="3211" t="s">
        <v>3279</v>
      </c>
      <c r="C16" s="3211" t="s">
        <v>3280</v>
      </c>
      <c r="D16" s="3211" t="s">
        <v>3203</v>
      </c>
      <c r="E16" s="3211">
        <v>71328.36</v>
      </c>
      <c r="F16" s="3211">
        <v>57063</v>
      </c>
      <c r="G16" s="3211">
        <v>0.8</v>
      </c>
      <c r="H16" s="3211" t="s">
        <v>3205</v>
      </c>
      <c r="I16" s="3211" t="s">
        <v>3251</v>
      </c>
      <c r="J16" s="3211" t="s">
        <v>3207</v>
      </c>
      <c r="K16" s="3211" t="s">
        <v>3208</v>
      </c>
      <c r="L16" s="3211" t="s">
        <v>3201</v>
      </c>
      <c r="M16" s="3211" t="s">
        <v>3201</v>
      </c>
      <c r="N16" s="3211" t="s">
        <v>3201</v>
      </c>
      <c r="O16" s="3211" t="s">
        <v>3201</v>
      </c>
      <c r="P16" s="3211" t="s">
        <v>3201</v>
      </c>
      <c r="Q16" s="3211" t="s">
        <v>3201</v>
      </c>
      <c r="R16" s="3211" t="s">
        <v>3201</v>
      </c>
      <c r="S16" s="3211" t="s">
        <v>3201</v>
      </c>
      <c r="T16" s="3211" t="s">
        <v>3201</v>
      </c>
      <c r="U16" s="3212">
        <v>42039.000497685185</v>
      </c>
      <c r="V16" s="3212">
        <v>42059.000497685185</v>
      </c>
      <c r="W16" s="3212">
        <v>42079.000497685185</v>
      </c>
      <c r="X16" s="3212">
        <v>42079.000497685185</v>
      </c>
      <c r="Y16" s="3211" t="s">
        <v>3279</v>
      </c>
      <c r="Z16" s="3211" t="s">
        <v>3212</v>
      </c>
      <c r="AA16" s="3211" t="s">
        <v>3281</v>
      </c>
      <c r="AB16" s="3211" t="s">
        <v>3201</v>
      </c>
      <c r="AC16" s="3211">
        <v>8967.77</v>
      </c>
      <c r="AD16" s="3211">
        <v>2700</v>
      </c>
      <c r="AE16" s="3211" t="s">
        <v>3201</v>
      </c>
      <c r="AF16" s="3211">
        <v>8967.77</v>
      </c>
      <c r="AG16" s="3211">
        <v>83.82</v>
      </c>
      <c r="AH16" s="3211">
        <v>83.82</v>
      </c>
      <c r="AI16" s="3211">
        <v>1572</v>
      </c>
      <c r="AJ16" s="3211">
        <v>1572</v>
      </c>
      <c r="AK16" s="3211" t="s">
        <v>3201</v>
      </c>
      <c r="AL16" s="3211" t="s">
        <v>3201</v>
      </c>
      <c r="AM16" s="3211">
        <v>0</v>
      </c>
      <c r="AN16" s="3211" t="s">
        <v>3253</v>
      </c>
      <c r="AO16" s="3211" t="s">
        <v>3208</v>
      </c>
      <c r="AP16" s="3211" t="s">
        <v>3208</v>
      </c>
    </row>
    <row r="18" spans="10:47" ht="12.75">
      <c r="AN18" s="3257"/>
      <c r="AO18" s="3258"/>
      <c r="AP18" s="3258">
        <v>1.6</v>
      </c>
      <c r="AQ18" s="3258"/>
      <c r="AR18" s="3258">
        <v>1.8</v>
      </c>
      <c r="AS18" s="3258"/>
      <c r="AT18" s="3258">
        <f>AH8</f>
        <v>198.72</v>
      </c>
      <c r="AU18" s="3258"/>
    </row>
    <row r="19" spans="10:47" ht="12.75">
      <c r="AN19" s="3259"/>
      <c r="AO19" s="3258"/>
      <c r="AP19" s="3258"/>
      <c r="AQ19" s="3259" t="s">
        <v>3305</v>
      </c>
      <c r="AR19" s="3258"/>
      <c r="AS19" s="3259" t="s">
        <v>3305</v>
      </c>
      <c r="AT19" s="3258"/>
      <c r="AU19" s="3259" t="s">
        <v>3305</v>
      </c>
    </row>
    <row r="20" spans="10:47" ht="12.75">
      <c r="J20" s="3258"/>
      <c r="K20" s="3258" t="e">
        <f>#REF!</f>
        <v>#REF!</v>
      </c>
      <c r="L20" s="3258"/>
      <c r="AN20" s="3257"/>
      <c r="AO20" s="3258"/>
      <c r="AP20" s="3258"/>
      <c r="AQ20" s="3258"/>
      <c r="AR20" s="3258"/>
      <c r="AS20" s="3258"/>
      <c r="AT20" s="3258"/>
      <c r="AU20" s="3258"/>
    </row>
    <row r="21" spans="10:47" ht="12.75">
      <c r="J21" s="3259" t="s">
        <v>3302</v>
      </c>
      <c r="K21" s="3258"/>
      <c r="L21" s="3259" t="s">
        <v>3302</v>
      </c>
      <c r="AN21" s="3257"/>
      <c r="AO21" s="3258"/>
      <c r="AP21" s="3258"/>
      <c r="AQ21" s="3258">
        <f>AJ2</f>
        <v>809</v>
      </c>
      <c r="AR21" s="3258"/>
      <c r="AS21" s="3258">
        <f>AJ3</f>
        <v>1708</v>
      </c>
      <c r="AT21" s="3258"/>
      <c r="AU21" s="3258" t="str">
        <f>AO8</f>
        <v xml:space="preserve"> -- </v>
      </c>
    </row>
    <row r="22" spans="10:47" ht="12.75">
      <c r="J22" s="3258"/>
      <c r="K22" s="3258"/>
      <c r="L22" s="3258"/>
      <c r="AN22" s="3260" t="s">
        <v>3303</v>
      </c>
      <c r="AO22" s="3258">
        <f>年期修正系数!G9</f>
        <v>1.46</v>
      </c>
      <c r="AP22" s="3258"/>
      <c r="AQ22" s="3258"/>
      <c r="AR22" s="3258"/>
      <c r="AS22" s="3258"/>
      <c r="AT22" s="3258"/>
      <c r="AU22" s="3258"/>
    </row>
    <row r="23" spans="10:47" ht="12.75">
      <c r="J23" s="3258">
        <f>F9</f>
        <v>3424</v>
      </c>
      <c r="K23" s="3258"/>
      <c r="L23" s="3258">
        <f>F10</f>
        <v>25110</v>
      </c>
      <c r="AN23" s="3260" t="s">
        <v>3306</v>
      </c>
      <c r="AO23" s="3258">
        <v>1</v>
      </c>
      <c r="AP23" s="3258"/>
      <c r="AQ23" s="3258"/>
      <c r="AR23" s="3258"/>
      <c r="AS23" s="3258"/>
      <c r="AT23" s="3258"/>
      <c r="AU23" s="3258"/>
    </row>
    <row r="24" spans="10:47" ht="12.75">
      <c r="J24" s="3258"/>
      <c r="K24" s="3258"/>
      <c r="L24" s="3258"/>
      <c r="AN24" s="3257"/>
      <c r="AO24" s="3258"/>
      <c r="AP24" s="3258"/>
      <c r="AQ24" s="3258">
        <f>ROUND(AQ21*$AO$22*$AO$23,0)</f>
        <v>1181</v>
      </c>
      <c r="AR24" s="3258"/>
      <c r="AS24" s="3258">
        <f>ROUND(AS21*$AO$22*$AO$23,0)</f>
        <v>2494</v>
      </c>
      <c r="AT24" s="3258"/>
      <c r="AU24" s="3258" t="e">
        <f>ROUND(AU21*$AO$22*$AO$23,0)</f>
        <v>#VALUE!</v>
      </c>
    </row>
    <row r="25" spans="10:47" ht="12.75">
      <c r="J25" s="3258"/>
      <c r="K25" s="3258"/>
      <c r="L25" s="3258"/>
      <c r="AN25" s="3257"/>
      <c r="AO25" s="3258"/>
      <c r="AP25" s="3258"/>
      <c r="AQ25" s="3258"/>
      <c r="AR25" s="3258"/>
      <c r="AS25" s="3258"/>
      <c r="AT25" s="3258"/>
      <c r="AU25" s="3258"/>
    </row>
    <row r="26" spans="10:47" ht="12.75">
      <c r="J26" s="3258">
        <f>ROUND(J23*$M$18*$M$19,0)</f>
        <v>0</v>
      </c>
      <c r="K26" s="3258"/>
      <c r="L26" s="3258">
        <f>ROUND(L23*$M$18*$M$19,0)</f>
        <v>0</v>
      </c>
      <c r="AN26" s="3257"/>
      <c r="AO26" s="3258"/>
      <c r="AP26" s="3258"/>
      <c r="AQ26" s="3259" t="s">
        <v>3307</v>
      </c>
      <c r="AR26" s="3258"/>
      <c r="AS26" s="3259" t="s">
        <v>3307</v>
      </c>
      <c r="AT26" s="3258"/>
      <c r="AU26" s="3259" t="s">
        <v>3307</v>
      </c>
    </row>
    <row r="27" spans="10:47" ht="12.75">
      <c r="J27" s="3258"/>
      <c r="K27" s="3258"/>
      <c r="L27" s="3258"/>
      <c r="AN27" s="3257"/>
      <c r="AO27" s="3258"/>
      <c r="AP27" s="3258"/>
      <c r="AQ27" s="3258">
        <f>ROUND(AQ24*AP18,0)</f>
        <v>1890</v>
      </c>
      <c r="AR27" s="3258"/>
      <c r="AS27" s="3258">
        <f>ROUND(AS24*AR18,0)</f>
        <v>4489</v>
      </c>
      <c r="AT27" s="3258"/>
      <c r="AU27" s="3258" t="e">
        <f>ROUND(AU24*AT18,0)</f>
        <v>#VALUE!</v>
      </c>
    </row>
    <row r="28" spans="10:47" ht="12.75">
      <c r="J28" s="3259" t="s">
        <v>3304</v>
      </c>
      <c r="K28" s="3258"/>
      <c r="L28" s="3259" t="s">
        <v>3304</v>
      </c>
    </row>
    <row r="29" spans="10:47" ht="12.75">
      <c r="J29" s="3258">
        <f>ROUND(J26*I20,0)</f>
        <v>0</v>
      </c>
      <c r="K29" s="3258"/>
      <c r="L29" s="3258" t="e">
        <f>ROUND(L26*K20,0)</f>
        <v>#REF!</v>
      </c>
    </row>
    <row r="30" spans="10:47">
      <c r="AP30" s="3211">
        <f>容积率修正!K324</f>
        <v>0.78100000000000003</v>
      </c>
      <c r="AQ30" s="3211">
        <f>AQ24/AP30</f>
        <v>1512.1638924455826</v>
      </c>
    </row>
    <row r="31" spans="10:47">
      <c r="AP31" s="3211">
        <f>容积率修正!K318</f>
        <v>1</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84" t="str">
        <f>IF(项目基本情况!B9="房地产市场价值","估价结果一览表","结果表-2")</f>
        <v>结果表-2</v>
      </c>
      <c r="B1" s="3284"/>
      <c r="C1" s="3284"/>
      <c r="D1" s="3284"/>
      <c r="E1" s="3284"/>
      <c r="F1" s="3284"/>
      <c r="G1" s="3284"/>
      <c r="H1" s="3284"/>
      <c r="I1" s="3284"/>
    </row>
    <row r="2" spans="1:9" ht="30" customHeight="1" thickTop="1">
      <c r="A2" s="3285" t="s">
        <v>1546</v>
      </c>
      <c r="B2" s="3285" t="s">
        <v>1547</v>
      </c>
      <c r="C2" s="3285" t="s">
        <v>1548</v>
      </c>
      <c r="D2" s="3285" t="str">
        <f>结果表!D116</f>
        <v>出让国有建设用地使用权价值</v>
      </c>
      <c r="E2" s="3285"/>
      <c r="F2" s="3285" t="str">
        <f>结果表!F116</f>
        <v>在建建筑物价值</v>
      </c>
      <c r="G2" s="3285"/>
      <c r="H2" s="3285" t="str">
        <f>IF(项目基本情况!B9="房地产市场价值","房地产市场价值","房地产价值")</f>
        <v>房地产价值</v>
      </c>
      <c r="I2" s="3285"/>
    </row>
    <row r="3" spans="1:9" ht="15">
      <c r="A3" s="3279"/>
      <c r="B3" s="3279"/>
      <c r="C3" s="3279"/>
      <c r="D3" s="963" t="s">
        <v>1543</v>
      </c>
      <c r="E3" s="963" t="s">
        <v>1549</v>
      </c>
      <c r="F3" s="963" t="s">
        <v>1543</v>
      </c>
      <c r="G3" s="963" t="s">
        <v>1544</v>
      </c>
      <c r="H3" s="963" t="s">
        <v>1543</v>
      </c>
      <c r="I3" s="963" t="s">
        <v>1544</v>
      </c>
    </row>
    <row r="4" spans="1:9" ht="15">
      <c r="A4" s="1660" t="str">
        <f>项目基本情况!S2</f>
        <v>北京市出让国有建设用地使用权及在建建筑物房地产</v>
      </c>
      <c r="B4" s="963">
        <f>项目基本情况!C17</f>
        <v>23225</v>
      </c>
      <c r="C4" s="963">
        <f>项目基本情况!C18</f>
        <v>29031.75</v>
      </c>
      <c r="D4" s="963">
        <f ca="1">结果表!D118</f>
        <v>6050</v>
      </c>
      <c r="E4" s="963">
        <f ca="1">结果表!E118</f>
        <v>2605</v>
      </c>
      <c r="F4" s="963">
        <f ca="1">结果表!F118</f>
        <v>3344</v>
      </c>
      <c r="G4" s="963">
        <f ca="1">结果表!G118</f>
        <v>1440</v>
      </c>
      <c r="H4" s="963">
        <f ca="1">结果表!H118</f>
        <v>9394</v>
      </c>
      <c r="I4" s="963">
        <f ca="1">结果表!I118</f>
        <v>4045</v>
      </c>
    </row>
    <row r="5" spans="1:9" ht="30" customHeight="1">
      <c r="A5" s="3279" t="s">
        <v>1545</v>
      </c>
      <c r="B5" s="3279"/>
      <c r="C5" s="3279"/>
      <c r="D5" s="3280" t="str">
        <f ca="1">结果表!D119</f>
        <v>陆仟零伍拾万元整</v>
      </c>
      <c r="E5" s="3280"/>
      <c r="F5" s="3280" t="str">
        <f ca="1">结果表!F119</f>
        <v>叁仟叁佰肆拾肆万元整</v>
      </c>
      <c r="G5" s="3280"/>
      <c r="H5" s="3280" t="str">
        <f ca="1">结果表!H119</f>
        <v>玖仟叁佰玖拾肆万元整</v>
      </c>
      <c r="I5" s="3280"/>
    </row>
    <row r="6" spans="1:9" ht="15.75">
      <c r="A6" s="3278" t="str">
        <f>结果表!A120</f>
        <v>估价师知悉的法定优先受偿款</v>
      </c>
      <c r="B6" s="3278"/>
      <c r="C6" s="3278"/>
      <c r="D6" s="3278">
        <f>结果表!D120</f>
        <v>0</v>
      </c>
      <c r="E6" s="3278"/>
      <c r="F6" s="3278"/>
      <c r="G6" s="3278"/>
      <c r="H6" s="3278"/>
      <c r="I6" s="3278"/>
    </row>
    <row r="7" spans="1:9" ht="15">
      <c r="A7" s="3279" t="s">
        <v>1545</v>
      </c>
      <c r="B7" s="3279"/>
      <c r="C7" s="3279"/>
      <c r="D7" s="3281" t="str">
        <f>结果表!D121</f>
        <v>零元整</v>
      </c>
      <c r="E7" s="3282"/>
      <c r="F7" s="3282"/>
      <c r="G7" s="3282"/>
      <c r="H7" s="3282"/>
      <c r="I7" s="3283"/>
    </row>
    <row r="8" spans="1:9" ht="15.75">
      <c r="A8" s="3278" t="str">
        <f>结果表!A122</f>
        <v>房地产抵押价值</v>
      </c>
      <c r="B8" s="3278"/>
      <c r="C8" s="3278"/>
      <c r="D8" s="3278">
        <f ca="1">结果表!D122</f>
        <v>9394</v>
      </c>
      <c r="E8" s="3278"/>
      <c r="F8" s="3278"/>
      <c r="G8" s="3278"/>
      <c r="H8" s="3278"/>
      <c r="I8" s="3278"/>
    </row>
    <row r="9" spans="1:9" ht="15">
      <c r="A9" s="3279" t="s">
        <v>1545</v>
      </c>
      <c r="B9" s="3279"/>
      <c r="C9" s="3279"/>
      <c r="D9" s="3280" t="str">
        <f ca="1">结果表!D123</f>
        <v>玖仟叁佰玖拾肆万元整</v>
      </c>
      <c r="E9" s="3280"/>
      <c r="F9" s="3280"/>
      <c r="G9" s="3280"/>
      <c r="H9" s="3280"/>
      <c r="I9" s="3280"/>
    </row>
    <row r="10" spans="1:9" ht="15.75">
      <c r="A10" s="3278" t="str">
        <f>结果表!A124</f>
        <v/>
      </c>
      <c r="B10" s="3278"/>
      <c r="C10" s="3278"/>
      <c r="D10" s="3278" t="str">
        <f>结果表!D124</f>
        <v>——</v>
      </c>
      <c r="E10" s="3278"/>
      <c r="F10" s="3278"/>
      <c r="G10" s="3278"/>
      <c r="H10" s="3278"/>
      <c r="I10" s="3278"/>
    </row>
    <row r="11" spans="1:9" ht="15">
      <c r="A11" s="3279" t="s">
        <v>1545</v>
      </c>
      <c r="B11" s="3279"/>
      <c r="C11" s="3279"/>
      <c r="D11" s="3280" t="e">
        <f>结果表!D125</f>
        <v>#VALUE!</v>
      </c>
      <c r="E11" s="3280"/>
      <c r="F11" s="3280"/>
      <c r="G11" s="3280"/>
      <c r="H11" s="3280"/>
      <c r="I11" s="3280"/>
    </row>
    <row r="12" spans="1:9" ht="15.75">
      <c r="A12" s="3278" t="str">
        <f>结果表!A126</f>
        <v/>
      </c>
      <c r="B12" s="3278"/>
      <c r="C12" s="3278"/>
      <c r="D12" s="3278" t="str">
        <f>结果表!D126</f>
        <v>——</v>
      </c>
      <c r="E12" s="3278"/>
      <c r="F12" s="3278"/>
      <c r="G12" s="3278"/>
      <c r="H12" s="3278"/>
      <c r="I12" s="3278"/>
    </row>
    <row r="13" spans="1:9" ht="15.75" thickBot="1">
      <c r="A13" s="3275" t="s">
        <v>1545</v>
      </c>
      <c r="B13" s="3275"/>
      <c r="C13" s="3275"/>
      <c r="D13" s="3276" t="e">
        <f>结果表!D127</f>
        <v>#VALUE!</v>
      </c>
      <c r="E13" s="3276"/>
      <c r="F13" s="3276"/>
      <c r="G13" s="3276"/>
      <c r="H13" s="3276"/>
      <c r="I13" s="3276"/>
    </row>
    <row r="14" spans="1:9" ht="15" thickTop="1">
      <c r="A14" s="3277" t="s">
        <v>1550</v>
      </c>
      <c r="B14" s="3277"/>
      <c r="C14" s="3277"/>
      <c r="D14" s="3277"/>
      <c r="E14" s="3277"/>
      <c r="F14" s="3277"/>
      <c r="G14" s="3277"/>
      <c r="H14" s="3277"/>
      <c r="I14" s="3277"/>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92" t="s">
        <v>1567</v>
      </c>
      <c r="B1" s="3292"/>
      <c r="C1" s="3292"/>
      <c r="D1" s="3292"/>
    </row>
    <row r="2" spans="1:4" ht="18">
      <c r="A2" s="3293" t="s">
        <v>1551</v>
      </c>
      <c r="B2" s="3293"/>
      <c r="C2" s="3293"/>
      <c r="D2" s="3293"/>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93" t="s">
        <v>1557</v>
      </c>
      <c r="B6" s="3293"/>
      <c r="C6" s="3293"/>
      <c r="D6" s="3293"/>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94" t="s">
        <v>1560</v>
      </c>
      <c r="B11" s="3286"/>
      <c r="C11" s="3286"/>
      <c r="D11" s="3286"/>
    </row>
    <row r="12" spans="1:4" ht="15.75">
      <c r="A12" s="3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86" t="str">
        <f>IF(项目基本情况!B8="抵押","4.本次评估估价师所知悉的法定优先受偿款情况说明如下：","——")</f>
        <v>4.本次评估估价师所知悉的法定优先受偿款情况说明如下：</v>
      </c>
      <c r="B14" s="3291"/>
      <c r="C14" s="3291"/>
      <c r="D14" s="3291"/>
    </row>
    <row r="15" spans="1:4" ht="42" customHeight="1">
      <c r="A15" s="32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6"/>
      <c r="C15" s="3286"/>
      <c r="D15" s="3286"/>
    </row>
    <row r="16" spans="1:4" ht="30" customHeight="1">
      <c r="A16" s="3288" t="s">
        <v>1561</v>
      </c>
      <c r="B16" s="3288"/>
      <c r="C16" s="3288"/>
      <c r="D16" s="3288"/>
    </row>
    <row r="17" spans="1:4" ht="144" customHeight="1">
      <c r="A17" s="3288" t="s">
        <v>1562</v>
      </c>
      <c r="B17" s="3288"/>
      <c r="C17" s="3288"/>
      <c r="D17" s="3288"/>
    </row>
    <row r="18" spans="1:4" ht="15.75" customHeight="1">
      <c r="A18" s="3286" t="str">
        <f>IF(项目基本情况!B8="抵押",结果表!K120,"——")</f>
        <v>故，本次评估不存在估价师知悉的法定优先受偿款</v>
      </c>
      <c r="B18" s="3286"/>
      <c r="C18" s="3286"/>
      <c r="D18" s="3286"/>
    </row>
    <row r="19" spans="1:4" ht="46.5" customHeight="1">
      <c r="A19" s="3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6"/>
      <c r="C19" s="3286"/>
      <c r="D19" s="3286"/>
    </row>
    <row r="20" spans="1:4" ht="57.75" customHeight="1">
      <c r="A20" s="3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6"/>
      <c r="C20" s="3286"/>
      <c r="D20" s="3286"/>
    </row>
    <row r="21" spans="1:4" ht="57.75" customHeight="1">
      <c r="A21" s="3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9"/>
      <c r="C21" s="3289"/>
      <c r="D21" s="3289"/>
    </row>
    <row r="22" spans="1:4" ht="18.75" customHeight="1">
      <c r="A22" s="3290" t="s">
        <v>1563</v>
      </c>
      <c r="B22" s="3290"/>
      <c r="C22" s="3290"/>
      <c r="D22" s="3290"/>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87">
        <v>42551</v>
      </c>
      <c r="D31" s="32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300" t="s">
        <v>1574</v>
      </c>
      <c r="B15" s="3295" t="s">
        <v>136</v>
      </c>
      <c r="C15" s="3296"/>
    </row>
    <row r="16" spans="1:7" ht="13.5">
      <c r="A16" s="3301"/>
      <c r="B16" s="3295" t="s">
        <v>69</v>
      </c>
      <c r="C16" s="3296"/>
    </row>
    <row r="17" spans="1:3" ht="13.5">
      <c r="A17" s="3301"/>
      <c r="B17" s="3298" t="s">
        <v>1575</v>
      </c>
      <c r="C17" s="1687" t="s">
        <v>1574</v>
      </c>
    </row>
    <row r="18" spans="1:3" ht="13.5">
      <c r="A18" s="3301"/>
      <c r="B18" s="3298"/>
      <c r="C18" s="1687" t="s">
        <v>1576</v>
      </c>
    </row>
    <row r="19" spans="1:3" ht="13.5">
      <c r="A19" s="3301"/>
      <c r="B19" s="3298"/>
      <c r="C19" s="1687" t="s">
        <v>1577</v>
      </c>
    </row>
    <row r="20" spans="1:3" ht="13.5">
      <c r="A20" s="3302"/>
      <c r="B20" s="3297" t="s">
        <v>1578</v>
      </c>
      <c r="C20" s="3296"/>
    </row>
    <row r="21" spans="1:3" ht="13.5">
      <c r="A21" s="1688" t="s">
        <v>1579</v>
      </c>
      <c r="B21" s="1689"/>
      <c r="C21" s="1690"/>
    </row>
    <row r="22" spans="1:3" ht="13.5">
      <c r="A22" s="3299" t="s">
        <v>1580</v>
      </c>
      <c r="B22" s="3297" t="s">
        <v>1581</v>
      </c>
      <c r="C22" s="3296"/>
    </row>
    <row r="23" spans="1:3" ht="13.5">
      <c r="A23" s="3299"/>
      <c r="B23" s="3297" t="s">
        <v>1582</v>
      </c>
      <c r="C23" s="3296"/>
    </row>
    <row r="24" spans="1:3" ht="13.5">
      <c r="A24" s="3299"/>
      <c r="B24" s="3297" t="s">
        <v>1583</v>
      </c>
      <c r="C24" s="3296"/>
    </row>
    <row r="25" spans="1:3" ht="13.5">
      <c r="A25" s="3299"/>
      <c r="B25" s="3298" t="s">
        <v>1584</v>
      </c>
      <c r="C25" s="1687" t="s">
        <v>1585</v>
      </c>
    </row>
    <row r="26" spans="1:3" ht="13.5">
      <c r="A26" s="3299"/>
      <c r="B26" s="3298"/>
      <c r="C26" s="1687" t="s">
        <v>1586</v>
      </c>
    </row>
    <row r="27" spans="1:3" ht="13.5">
      <c r="A27" s="3299"/>
      <c r="B27" s="3298"/>
      <c r="C27" s="1687" t="s">
        <v>1587</v>
      </c>
    </row>
    <row r="28" spans="1:3" ht="13.5">
      <c r="A28" s="3299"/>
      <c r="B28" s="3298"/>
      <c r="C28" s="1687" t="s">
        <v>1588</v>
      </c>
    </row>
    <row r="29" spans="1:3" ht="13.5">
      <c r="A29" s="3299"/>
      <c r="B29" s="3298"/>
      <c r="C29" s="1687" t="s">
        <v>1589</v>
      </c>
    </row>
    <row r="30" spans="1:3" ht="13.5">
      <c r="A30" s="3299"/>
      <c r="B30" s="3298"/>
      <c r="C30" s="1687" t="s">
        <v>1590</v>
      </c>
    </row>
    <row r="31" spans="1:3" ht="13.5">
      <c r="A31" s="3299"/>
      <c r="B31" s="3298"/>
      <c r="C31" s="1687" t="s">
        <v>1591</v>
      </c>
    </row>
    <row r="32" spans="1:3" ht="13.5">
      <c r="A32" s="3299"/>
      <c r="B32" s="3298"/>
      <c r="C32" s="1687" t="s">
        <v>1592</v>
      </c>
    </row>
    <row r="33" spans="1:3" ht="13.5">
      <c r="A33" s="3299"/>
      <c r="B33" s="329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2817</v>
      </c>
      <c r="B2" s="2532">
        <f ca="1">TODAY()</f>
        <v>44620</v>
      </c>
      <c r="C2" s="2533" t="s">
        <v>2818</v>
      </c>
      <c r="D2" s="2533"/>
      <c r="E2" s="2533"/>
      <c r="F2" s="2529"/>
      <c r="G2" s="2529"/>
      <c r="H2" s="2529"/>
    </row>
    <row r="3" spans="1:8" ht="24" customHeight="1">
      <c r="A3" s="2534" t="s">
        <v>2819</v>
      </c>
      <c r="B3" s="2535" t="s">
        <v>2820</v>
      </c>
      <c r="C3" s="2535" t="s">
        <v>2821</v>
      </c>
      <c r="D3" s="2536" t="s">
        <v>2822</v>
      </c>
      <c r="E3" s="2537" t="s">
        <v>2823</v>
      </c>
      <c r="F3" s="1444" t="s">
        <v>2824</v>
      </c>
      <c r="G3" s="2535" t="s">
        <v>2821</v>
      </c>
      <c r="H3" s="2536" t="s">
        <v>2825</v>
      </c>
    </row>
    <row r="4" spans="1:8" ht="24" customHeight="1">
      <c r="A4" s="1444" t="s">
        <v>2826</v>
      </c>
      <c r="B4" s="1444">
        <f ca="1">IF(C4&lt;B2,"已过期",1119970066)</f>
        <v>1119970066</v>
      </c>
      <c r="C4" s="2538">
        <v>44876</v>
      </c>
      <c r="D4" s="2539" t="str">
        <f ca="1">A4&amp;"（注册号："&amp;B4&amp;"）"</f>
        <v>梁津（注册号：1119970066）</v>
      </c>
      <c r="E4" s="2540" t="s">
        <v>2826</v>
      </c>
      <c r="F4" s="1444">
        <f ca="1">IF(G4&lt;B2,"已过期",96010014)</f>
        <v>96010014</v>
      </c>
      <c r="G4" s="2541">
        <v>47118</v>
      </c>
      <c r="H4" s="2542" t="str">
        <f ca="1">E4&amp;"（注册号："&amp;F4&amp;"）"</f>
        <v>梁津（注册号：96010014）</v>
      </c>
    </row>
    <row r="5" spans="1:8" ht="24" customHeight="1">
      <c r="A5" s="1444" t="s">
        <v>2827</v>
      </c>
      <c r="B5" s="1444">
        <f ca="1">IF(C5&lt;B2,"已过期",1119970111)</f>
        <v>1119970111</v>
      </c>
      <c r="C5" s="2538">
        <v>44876</v>
      </c>
      <c r="D5" s="2539" t="str">
        <f t="shared" ref="D5:D15" ca="1" si="0">A5&amp;"（注册号："&amp;B5&amp;"）"</f>
        <v>叶凌（注册号：1119970111）</v>
      </c>
      <c r="E5" s="2540" t="s">
        <v>2827</v>
      </c>
      <c r="F5" s="1444">
        <f ca="1">IF(G5&lt;B2,"已过期",94010078)</f>
        <v>94010078</v>
      </c>
      <c r="G5" s="2541">
        <v>46387</v>
      </c>
      <c r="H5" s="2542" t="str">
        <f t="shared" ref="H5:H16" ca="1" si="1">E5&amp;"（注册号："&amp;F5&amp;"）"</f>
        <v>叶凌（注册号：94010078）</v>
      </c>
    </row>
    <row r="6" spans="1:8" ht="24" customHeight="1">
      <c r="A6" s="1444" t="s">
        <v>2828</v>
      </c>
      <c r="B6" s="1444" t="str">
        <f ca="1">IF(C6&lt;B2,"已过期",1120050019)</f>
        <v>已过期</v>
      </c>
      <c r="C6" s="2538">
        <v>44395</v>
      </c>
      <c r="D6" s="2539" t="str">
        <f t="shared" ca="1" si="0"/>
        <v>王鹏（注册号：已过期）</v>
      </c>
      <c r="E6" s="2540" t="s">
        <v>2828</v>
      </c>
      <c r="F6" s="1444">
        <f ca="1">IF(G6&lt;B2,"已过期",2002110030)</f>
        <v>2002110030</v>
      </c>
      <c r="G6" s="2541">
        <v>46387</v>
      </c>
      <c r="H6" s="2542" t="str">
        <f t="shared" ca="1" si="1"/>
        <v>王鹏（注册号：2002110030）</v>
      </c>
    </row>
    <row r="7" spans="1:8" ht="24" customHeight="1">
      <c r="A7" s="1444" t="s">
        <v>2829</v>
      </c>
      <c r="B7" s="1444">
        <f ca="1">IF(C7&lt;B2,"已过期",1120000080)</f>
        <v>1120000080</v>
      </c>
      <c r="C7" s="2538">
        <v>44876</v>
      </c>
      <c r="D7" s="2539" t="str">
        <f t="shared" ca="1" si="0"/>
        <v>欧红伟（注册号：1120000080）</v>
      </c>
      <c r="E7" s="2540" t="s">
        <v>2829</v>
      </c>
      <c r="F7" s="1444">
        <f ca="1">IF(G7&lt;B2,"已过期",2000110082)</f>
        <v>2000110082</v>
      </c>
      <c r="G7" s="2541">
        <v>46387</v>
      </c>
      <c r="H7" s="2542" t="str">
        <f t="shared" ca="1" si="1"/>
        <v>欧红伟（注册号：2000110082）</v>
      </c>
    </row>
    <row r="8" spans="1:8" ht="24" customHeight="1">
      <c r="A8" s="1444" t="s">
        <v>2830</v>
      </c>
      <c r="B8" s="1444">
        <f ca="1">IF(C8&lt;B2,"已过期",1419970001)</f>
        <v>1419970001</v>
      </c>
      <c r="C8" s="2538">
        <v>44899</v>
      </c>
      <c r="D8" s="2539" t="str">
        <f t="shared" ca="1" si="0"/>
        <v>吴薇（注册号：1419970001）</v>
      </c>
      <c r="E8" s="2540" t="s">
        <v>2830</v>
      </c>
      <c r="F8" s="1444">
        <f ca="1">IF(G8&lt;B2,"已过期",2002110125)</f>
        <v>2002110125</v>
      </c>
      <c r="G8" s="2541">
        <v>47118</v>
      </c>
      <c r="H8" s="2542" t="str">
        <f t="shared" ca="1" si="1"/>
        <v>吴薇（注册号：2002110125）</v>
      </c>
    </row>
    <row r="9" spans="1:8" ht="24" customHeight="1">
      <c r="A9" s="1444" t="s">
        <v>2831</v>
      </c>
      <c r="B9" s="1444" t="str">
        <f ca="1">IF(C9&lt;B2,"已过期",1120060040)</f>
        <v>已过期</v>
      </c>
      <c r="C9" s="2543">
        <v>44554</v>
      </c>
      <c r="D9" s="2539" t="str">
        <f t="shared" ca="1" si="0"/>
        <v>陈颖（注册号：已过期）</v>
      </c>
      <c r="E9" s="2540" t="s">
        <v>2831</v>
      </c>
      <c r="F9" s="1444">
        <f ca="1">IF(G9&lt;B2,"已过期",2004110096)</f>
        <v>2004110096</v>
      </c>
      <c r="G9" s="2541">
        <v>47118</v>
      </c>
      <c r="H9" s="2542" t="str">
        <f t="shared" ca="1" si="1"/>
        <v>陈颖（注册号：2004110096）</v>
      </c>
    </row>
    <row r="10" spans="1:8" ht="24" customHeight="1">
      <c r="A10" s="1444" t="s">
        <v>2832</v>
      </c>
      <c r="B10" s="1444">
        <f ca="1">IF(C10&lt;B2,"已过期",1120100036)</f>
        <v>1120100036</v>
      </c>
      <c r="C10" s="2543">
        <v>44675</v>
      </c>
      <c r="D10" s="2539" t="str">
        <f t="shared" ca="1" si="0"/>
        <v>崔锴（注册号：1120100036）</v>
      </c>
      <c r="E10" s="2540" t="s">
        <v>2832</v>
      </c>
      <c r="F10" s="1444">
        <f ca="1">IF(G10&lt;B2,"已过期",2010110070)</f>
        <v>2010110070</v>
      </c>
      <c r="G10" s="2541">
        <v>47907</v>
      </c>
      <c r="H10" s="2542" t="str">
        <f t="shared" ca="1" si="1"/>
        <v>崔锴（注册号：2010110070）</v>
      </c>
    </row>
    <row r="11" spans="1:8" ht="24" customHeight="1">
      <c r="A11" s="1444" t="s">
        <v>2833</v>
      </c>
      <c r="B11" s="1444">
        <f ca="1">IF(C11&lt;B2,"已过期",1120070131)</f>
        <v>1120070131</v>
      </c>
      <c r="C11" s="2538">
        <v>44849</v>
      </c>
      <c r="D11" s="2539" t="str">
        <f t="shared" ca="1" si="0"/>
        <v>郑燚（注册号：1120070131）</v>
      </c>
      <c r="E11" s="2540" t="s">
        <v>2833</v>
      </c>
      <c r="F11" s="1444">
        <f ca="1">IF(G11&lt;B2,"已过期",2014110011)</f>
        <v>2014110011</v>
      </c>
      <c r="G11" s="2541">
        <v>49302</v>
      </c>
      <c r="H11" s="2542" t="str">
        <f t="shared" ca="1" si="1"/>
        <v>郑燚（注册号：2014110011）</v>
      </c>
    </row>
    <row r="12" spans="1:8" ht="24" customHeight="1">
      <c r="A12" s="1444" t="s">
        <v>2834</v>
      </c>
      <c r="B12" s="1444">
        <f ca="1">IF(C12&lt;B2,"已过期",1120040230)</f>
        <v>1120040230</v>
      </c>
      <c r="C12" s="2543">
        <v>44864</v>
      </c>
      <c r="D12" s="2539" t="str">
        <f t="shared" ca="1" si="0"/>
        <v>苏海（注册号：1120040230）</v>
      </c>
      <c r="E12" s="2540" t="s">
        <v>2834</v>
      </c>
      <c r="F12" s="1444">
        <f ca="1">IF(G12&lt;B2,"已过期",98030020)</f>
        <v>98030020</v>
      </c>
      <c r="G12" s="2541">
        <v>47118</v>
      </c>
      <c r="H12" s="2542" t="str">
        <f t="shared" ca="1" si="1"/>
        <v>苏海（注册号：98030020）</v>
      </c>
    </row>
    <row r="13" spans="1:8" ht="24" customHeight="1">
      <c r="A13" s="1444" t="s">
        <v>2835</v>
      </c>
      <c r="B13" s="1444" t="str">
        <f ca="1">IF(C13&lt;B2,"已过期",1120020033)</f>
        <v>已过期</v>
      </c>
      <c r="C13" s="2538">
        <v>44339</v>
      </c>
      <c r="D13" s="2539" t="str">
        <f t="shared" ca="1" si="0"/>
        <v>刘敬东（注册号：已过期）</v>
      </c>
      <c r="E13" s="2540" t="s">
        <v>2835</v>
      </c>
      <c r="F13" s="1444">
        <f ca="1">IF(G13&lt;B2,"已过期",2000110137)</f>
        <v>2000110137</v>
      </c>
      <c r="G13" s="2541">
        <v>46387</v>
      </c>
      <c r="H13" s="2542" t="str">
        <f t="shared" ca="1" si="1"/>
        <v>刘敬东（注册号：2000110137）</v>
      </c>
    </row>
    <row r="14" spans="1:8" ht="24" customHeight="1">
      <c r="A14" s="1444" t="s">
        <v>2836</v>
      </c>
      <c r="B14" s="1444">
        <f ca="1">IF(C14&lt;B2,"已过期",1119980106)</f>
        <v>1119980106</v>
      </c>
      <c r="C14" s="2543">
        <v>44969</v>
      </c>
      <c r="D14" s="2539" t="str">
        <f t="shared" ca="1" si="0"/>
        <v>刘俊财（注册号：1119980106）</v>
      </c>
      <c r="E14" s="2540" t="s">
        <v>2836</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2837</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03" t="s">
        <v>2838</v>
      </c>
      <c r="B17" s="3303"/>
      <c r="C17" s="3303"/>
      <c r="D17" s="3303"/>
      <c r="E17" s="3303"/>
      <c r="F17" s="3303"/>
      <c r="G17" s="3303"/>
      <c r="H17" s="3303"/>
    </row>
    <row r="18" spans="1:8" ht="24" customHeight="1">
      <c r="A18" s="3304" t="s">
        <v>2839</v>
      </c>
      <c r="B18" s="3304"/>
      <c r="C18" s="3304"/>
      <c r="D18" s="2536"/>
      <c r="E18" s="3305" t="s">
        <v>2840</v>
      </c>
      <c r="F18" s="3304"/>
      <c r="G18" s="3304"/>
    </row>
    <row r="19" spans="1:8" s="2547" customFormat="1" ht="24" customHeight="1">
      <c r="A19" s="2546" t="s">
        <v>2841</v>
      </c>
      <c r="B19" s="2535" t="s">
        <v>2842</v>
      </c>
      <c r="C19" s="2535" t="s">
        <v>2821</v>
      </c>
      <c r="D19" s="2536"/>
      <c r="E19" s="2540" t="s">
        <v>2841</v>
      </c>
      <c r="F19" s="2535" t="s">
        <v>2842</v>
      </c>
      <c r="G19" s="2535" t="s">
        <v>2821</v>
      </c>
    </row>
    <row r="20" spans="1:8" s="2547" customFormat="1" ht="24" customHeight="1">
      <c r="A20" s="2548" t="s">
        <v>2843</v>
      </c>
      <c r="B20" s="2548" t="s">
        <v>2844</v>
      </c>
      <c r="C20" s="2541">
        <v>44820</v>
      </c>
      <c r="D20" s="2549"/>
      <c r="E20" s="2550" t="s">
        <v>2845</v>
      </c>
      <c r="F20" s="2548" t="s">
        <v>2846</v>
      </c>
      <c r="G20" s="2551">
        <v>44377</v>
      </c>
    </row>
    <row r="21" spans="1:8" s="2547" customFormat="1" ht="24" customHeight="1">
      <c r="A21" s="2548"/>
      <c r="B21" s="2548"/>
      <c r="C21" s="2552"/>
      <c r="D21" s="2553"/>
      <c r="E21" s="2550" t="s">
        <v>2847</v>
      </c>
      <c r="F21" s="2554" t="s">
        <v>2848</v>
      </c>
      <c r="G21" s="2555">
        <v>44012</v>
      </c>
    </row>
    <row r="22" spans="1:8" ht="24" customHeight="1">
      <c r="C22" s="2556"/>
      <c r="D22" s="2556"/>
      <c r="E22" s="2557"/>
      <c r="F22" s="2558"/>
      <c r="G22" s="2559" t="s">
        <v>2849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年期修正系数</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2022-02-28T02:19:11Z</dcterms:modified>
</cp:coreProperties>
</file>