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住宅" sheetId="21" r:id="rId21"/>
    <sheet name="不动产比较法-商业" sheetId="33" r:id="rId22"/>
    <sheet name="不动产收益法" sheetId="15" r:id="rId23"/>
    <sheet name="土地案例" sheetId="68"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4"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21" hidden="1">'不动产比较法-商业'!$A$1:$L$49</definedName>
    <definedName name="_xlnm._FilterDatabase" localSheetId="2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9" i="39" l="1"/>
  <c r="G9" i="39"/>
  <c r="I7" i="39"/>
  <c r="G7" i="39"/>
  <c r="I40" i="39"/>
  <c r="G40" i="39"/>
  <c r="I48" i="39"/>
  <c r="E48" i="39"/>
  <c r="G48" i="39"/>
  <c r="E9" i="6"/>
  <c r="AL13" i="3" l="1"/>
  <c r="AD13" i="3"/>
  <c r="I7" i="21" l="1"/>
  <c r="G7" i="21"/>
  <c r="B7" i="4"/>
  <c r="D14" i="9" l="1"/>
  <c r="E40" i="39"/>
  <c r="E9" i="39"/>
  <c r="E7" i="39"/>
  <c r="L3" i="68"/>
  <c r="L4" i="68"/>
  <c r="L5" i="68"/>
  <c r="L6" i="68"/>
  <c r="L7" i="68"/>
  <c r="L8" i="68"/>
  <c r="L9" i="68"/>
  <c r="L10" i="68"/>
  <c r="L11" i="68"/>
  <c r="L12" i="68"/>
  <c r="L13" i="68"/>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2" i="68"/>
  <c r="C1" i="65"/>
  <c r="H1" i="65"/>
  <c r="C10" i="46"/>
  <c r="C11" i="46"/>
  <c r="E8" i="46"/>
  <c r="E9" i="46"/>
  <c r="E10" i="46"/>
  <c r="E11" i="46"/>
  <c r="E15" i="46"/>
  <c r="G2" i="46"/>
  <c r="E17" i="46"/>
  <c r="AD5" i="3"/>
  <c r="AH5" i="3"/>
  <c r="AL5" i="3"/>
  <c r="AP5" i="3"/>
  <c r="I5" i="3"/>
  <c r="F19" i="6" s="1"/>
  <c r="E19" i="6" s="1"/>
  <c r="D3" i="21" s="1"/>
  <c r="K5" i="3"/>
  <c r="F20" i="6" s="1"/>
  <c r="I4" i="6"/>
  <c r="G3" i="46" s="1"/>
  <c r="C6" i="46"/>
  <c r="G17" i="46"/>
  <c r="H17" i="46"/>
  <c r="I17" i="46"/>
  <c r="J17" i="46"/>
  <c r="C17" i="46"/>
  <c r="C16" i="46"/>
  <c r="C5" i="46"/>
  <c r="C18" i="46"/>
  <c r="B2" i="1"/>
  <c r="G19" i="46" s="1"/>
  <c r="N6" i="59"/>
  <c r="B6" i="59"/>
  <c r="N5" i="59"/>
  <c r="B5" i="59"/>
  <c r="O6" i="59"/>
  <c r="C6" i="59"/>
  <c r="O5" i="59"/>
  <c r="C5" i="59"/>
  <c r="D5" i="59"/>
  <c r="P6" i="59"/>
  <c r="E6" i="59"/>
  <c r="P5" i="59"/>
  <c r="E5" i="59"/>
  <c r="Q6" i="59"/>
  <c r="F6" i="59"/>
  <c r="Q5" i="59"/>
  <c r="F5" i="59"/>
  <c r="D6" i="59"/>
  <c r="D7" i="59"/>
  <c r="N10" i="59"/>
  <c r="B10" i="59"/>
  <c r="N9" i="59"/>
  <c r="B9" i="59"/>
  <c r="N8" i="59"/>
  <c r="B8" i="59"/>
  <c r="O10" i="59"/>
  <c r="C10" i="59"/>
  <c r="O9" i="59"/>
  <c r="C9" i="59"/>
  <c r="O8" i="59"/>
  <c r="C8" i="59"/>
  <c r="D8" i="59"/>
  <c r="P10" i="59"/>
  <c r="E10" i="59"/>
  <c r="P9" i="59"/>
  <c r="E9" i="59"/>
  <c r="P8" i="59"/>
  <c r="E8" i="59"/>
  <c r="Q10" i="59"/>
  <c r="F10" i="59"/>
  <c r="Q9" i="59"/>
  <c r="F9" i="59"/>
  <c r="Q8" i="59"/>
  <c r="F8" i="59"/>
  <c r="D9" i="59"/>
  <c r="D10" i="59"/>
  <c r="D11" i="59"/>
  <c r="N11" i="59"/>
  <c r="B12" i="59"/>
  <c r="O11" i="59"/>
  <c r="C12" i="59"/>
  <c r="D12" i="59"/>
  <c r="P11" i="59"/>
  <c r="E12" i="59"/>
  <c r="Q11" i="59"/>
  <c r="F12" i="59"/>
  <c r="N12" i="59"/>
  <c r="B13" i="59"/>
  <c r="O12" i="59"/>
  <c r="C13" i="59"/>
  <c r="D13" i="59"/>
  <c r="P12" i="59"/>
  <c r="E13" i="59"/>
  <c r="Q12" i="59"/>
  <c r="F13" i="59"/>
  <c r="N13" i="59"/>
  <c r="B14" i="59"/>
  <c r="O13" i="59"/>
  <c r="C14" i="59"/>
  <c r="D14" i="59"/>
  <c r="P13" i="59"/>
  <c r="E14" i="59"/>
  <c r="Q13" i="59"/>
  <c r="F14" i="59"/>
  <c r="D15" i="59"/>
  <c r="N15" i="59"/>
  <c r="B16" i="59"/>
  <c r="O15" i="59"/>
  <c r="C16" i="59"/>
  <c r="D16" i="59"/>
  <c r="P15" i="59"/>
  <c r="E16" i="59"/>
  <c r="Q15" i="59"/>
  <c r="F16" i="59"/>
  <c r="N16" i="59"/>
  <c r="B17" i="59"/>
  <c r="O16" i="59"/>
  <c r="C17" i="59"/>
  <c r="D17" i="59"/>
  <c r="P16" i="59"/>
  <c r="E17" i="59"/>
  <c r="Q16" i="59"/>
  <c r="F17" i="59"/>
  <c r="N17" i="59"/>
  <c r="B18" i="59"/>
  <c r="O17" i="59"/>
  <c r="C18" i="59"/>
  <c r="D18" i="59"/>
  <c r="P17" i="59"/>
  <c r="E18" i="59"/>
  <c r="Q17" i="59"/>
  <c r="F18" i="59"/>
  <c r="D19" i="59"/>
  <c r="N19" i="59"/>
  <c r="B20" i="59"/>
  <c r="O19" i="59"/>
  <c r="C20" i="59"/>
  <c r="D20" i="59"/>
  <c r="P19" i="59"/>
  <c r="E20" i="59"/>
  <c r="Q19" i="59"/>
  <c r="F20" i="59"/>
  <c r="N20" i="59"/>
  <c r="B21" i="59"/>
  <c r="O20" i="59"/>
  <c r="C21" i="59"/>
  <c r="D21" i="59"/>
  <c r="P20" i="59"/>
  <c r="E21" i="59"/>
  <c r="Q20" i="59"/>
  <c r="F21" i="59"/>
  <c r="N21" i="59"/>
  <c r="B22" i="59"/>
  <c r="O21" i="59"/>
  <c r="C22" i="59"/>
  <c r="D22" i="59"/>
  <c r="P21" i="59"/>
  <c r="E22" i="59"/>
  <c r="Q21" i="59"/>
  <c r="F22" i="59"/>
  <c r="M19" i="46"/>
  <c r="G20" i="46"/>
  <c r="J20" i="46"/>
  <c r="I20" i="46"/>
  <c r="C20" i="46" s="1"/>
  <c r="C24" i="46"/>
  <c r="D5" i="46"/>
  <c r="F33" i="46"/>
  <c r="F34" i="46"/>
  <c r="F35" i="46"/>
  <c r="F36" i="46"/>
  <c r="F37" i="46"/>
  <c r="F38" i="46"/>
  <c r="F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D1" i="46"/>
  <c r="C9" i="46"/>
  <c r="C7" i="46"/>
  <c r="C15" i="46"/>
  <c r="D15" i="46"/>
  <c r="C12" i="46"/>
  <c r="H33" i="46"/>
  <c r="C99" i="46"/>
  <c r="C100" i="46"/>
  <c r="C108" i="46"/>
  <c r="D99" i="46"/>
  <c r="D100" i="46"/>
  <c r="D108" i="46"/>
  <c r="H113" i="46"/>
  <c r="AH5" i="59"/>
  <c r="AG5" i="59"/>
  <c r="AE5" i="59"/>
  <c r="AF5" i="59"/>
  <c r="AD5" i="59"/>
  <c r="I3" i="59"/>
  <c r="L3" i="59"/>
  <c r="K3" i="59"/>
  <c r="J3" i="59"/>
  <c r="BB13" i="3"/>
  <c r="BB5" i="3" s="1"/>
  <c r="BC13" i="3"/>
  <c r="BD13" i="3"/>
  <c r="BE13" i="3"/>
  <c r="BF13" i="3"/>
  <c r="BG13" i="3"/>
  <c r="BH13" i="3"/>
  <c r="BI13" i="3"/>
  <c r="BJ13" i="3"/>
  <c r="BK13" i="3"/>
  <c r="BA13" i="3"/>
  <c r="BM13" i="3"/>
  <c r="BN13" i="3"/>
  <c r="BO13" i="3"/>
  <c r="BP13" i="3"/>
  <c r="BQ13" i="3"/>
  <c r="BR13" i="3"/>
  <c r="BS13" i="3"/>
  <c r="BT13" i="3"/>
  <c r="BL13" i="3"/>
  <c r="AZ13" i="3"/>
  <c r="BB14" i="3"/>
  <c r="BC14" i="3"/>
  <c r="BA14" i="3" s="1"/>
  <c r="AZ14" i="3" s="1"/>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E6" i="59"/>
  <c r="AF6" i="59"/>
  <c r="AG6" i="59"/>
  <c r="AH6" i="59"/>
  <c r="AD6" i="59"/>
  <c r="Q7" i="59"/>
  <c r="Q14" i="59"/>
  <c r="Q18" i="59"/>
  <c r="AB5" i="59"/>
  <c r="P7" i="59"/>
  <c r="P14" i="59"/>
  <c r="P18" i="59"/>
  <c r="AA5" i="59"/>
  <c r="O7" i="59"/>
  <c r="O14" i="59"/>
  <c r="O18" i="59"/>
  <c r="Y5" i="59"/>
  <c r="Z5" i="59"/>
  <c r="N7" i="59"/>
  <c r="N14" i="59"/>
  <c r="N18" i="59"/>
  <c r="X5" i="59"/>
  <c r="L4" i="9"/>
  <c r="A30" i="51" s="1"/>
  <c r="B22" i="63" s="1"/>
  <c r="M4" i="9"/>
  <c r="A30" i="64"/>
  <c r="K59" i="15"/>
  <c r="P62" i="15"/>
  <c r="P75" i="15"/>
  <c r="Q74" i="44"/>
  <c r="Q61" i="44"/>
  <c r="Q60" i="44"/>
  <c r="Q53" i="44"/>
  <c r="J51" i="44"/>
  <c r="J52" i="44"/>
  <c r="M48" i="44"/>
  <c r="A16" i="55"/>
  <c r="A15" i="55"/>
  <c r="A14" i="55"/>
  <c r="L24" i="4"/>
  <c r="L25" i="4"/>
  <c r="L26" i="4"/>
  <c r="A11" i="55"/>
  <c r="A10" i="55"/>
  <c r="A9" i="55"/>
  <c r="A8" i="55"/>
  <c r="A6" i="54"/>
  <c r="A8" i="54"/>
  <c r="A7" i="54"/>
  <c r="C57" i="10"/>
  <c r="A28" i="51"/>
  <c r="A27" i="51"/>
  <c r="AB6" i="59"/>
  <c r="Y6" i="59"/>
  <c r="Z6" i="59"/>
  <c r="X6" i="59"/>
  <c r="AA6" i="59"/>
  <c r="K75" i="9"/>
  <c r="K6" i="4"/>
  <c r="O76" i="9" s="1"/>
  <c r="L76" i="9"/>
  <c r="B22" i="31"/>
  <c r="E15" i="66"/>
  <c r="F15" i="66"/>
  <c r="E16" i="66"/>
  <c r="F16" i="66"/>
  <c r="E17" i="66"/>
  <c r="F17" i="66"/>
  <c r="E18" i="66"/>
  <c r="F18" i="66"/>
  <c r="E19" i="66"/>
  <c r="F19" i="66"/>
  <c r="E20" i="66"/>
  <c r="F20" i="66"/>
  <c r="E21" i="66"/>
  <c r="F21" i="66"/>
  <c r="E22" i="66"/>
  <c r="F22" i="66"/>
  <c r="E23" i="66"/>
  <c r="F23" i="66"/>
  <c r="B3" i="66"/>
  <c r="V10" i="59"/>
  <c r="U10" i="59"/>
  <c r="T10" i="59"/>
  <c r="S10" i="59"/>
  <c r="V6" i="59"/>
  <c r="U6"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S2" i="31"/>
  <c r="M2" i="31"/>
  <c r="N2" i="31"/>
  <c r="O2" i="31"/>
  <c r="P2" i="31"/>
  <c r="Q2" i="31"/>
  <c r="R2" i="31"/>
  <c r="C3" i="65"/>
  <c r="N1" i="65"/>
  <c r="T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s="1"/>
  <c r="B66" i="63"/>
  <c r="A4" i="55"/>
  <c r="B57" i="63"/>
  <c r="B41" i="63"/>
  <c r="G5" i="54"/>
  <c r="B34" i="63" s="1"/>
  <c r="E5" i="54"/>
  <c r="B32" i="63" s="1"/>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D83" i="21"/>
  <c r="E83" i="21" s="1"/>
  <c r="F83" i="21" s="1"/>
  <c r="G83" i="21" s="1"/>
  <c r="F21" i="21"/>
  <c r="AA21" i="21" s="1"/>
  <c r="C21" i="21"/>
  <c r="Q27" i="40"/>
  <c r="Z27" i="40"/>
  <c r="D96" i="40"/>
  <c r="E96" i="40"/>
  <c r="F27" i="40"/>
  <c r="AA27" i="40"/>
  <c r="Q31" i="39"/>
  <c r="Z31" i="39"/>
  <c r="D105" i="39"/>
  <c r="E105" i="39"/>
  <c r="F31" i="39"/>
  <c r="AA31" i="39" s="1"/>
  <c r="G20" i="20"/>
  <c r="B85" i="46"/>
  <c r="C22" i="20"/>
  <c r="B65" i="46" s="1"/>
  <c r="S18" i="36"/>
  <c r="S18" i="35"/>
  <c r="S21" i="37"/>
  <c r="S21" i="34"/>
  <c r="S27" i="40"/>
  <c r="C27" i="40"/>
  <c r="C31" i="39"/>
  <c r="B74" i="46"/>
  <c r="E66" i="36"/>
  <c r="H18" i="35"/>
  <c r="J18" i="35"/>
  <c r="H21" i="37"/>
  <c r="J21" i="37"/>
  <c r="E84" i="34"/>
  <c r="F84" i="34"/>
  <c r="G84" i="34"/>
  <c r="J21" i="34"/>
  <c r="H21" i="34"/>
  <c r="F21" i="33"/>
  <c r="H21" i="33"/>
  <c r="J21" i="33"/>
  <c r="H21" i="21"/>
  <c r="J21" i="21"/>
  <c r="F96" i="40"/>
  <c r="H27" i="40"/>
  <c r="F105" i="39"/>
  <c r="H31" i="39"/>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C42" i="1"/>
  <c r="A12" i="1"/>
  <c r="R12" i="1"/>
  <c r="A13" i="1"/>
  <c r="B13" i="1"/>
  <c r="E13" i="1"/>
  <c r="A7" i="1"/>
  <c r="A8" i="1"/>
  <c r="A9" i="1"/>
  <c r="A10" i="1"/>
  <c r="R10" i="1"/>
  <c r="A11" i="1"/>
  <c r="A6" i="1"/>
  <c r="T4" i="1"/>
  <c r="K12" i="1"/>
  <c r="M12" i="1" s="1"/>
  <c r="K13" i="1"/>
  <c r="M13" i="1" s="1"/>
  <c r="O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c r="F23" i="4"/>
  <c r="D19" i="4"/>
  <c r="I19" i="4"/>
  <c r="H19" i="4"/>
  <c r="G19" i="4"/>
  <c r="F8" i="1" s="1"/>
  <c r="F9" i="1"/>
  <c r="F19" i="4"/>
  <c r="E19" i="4"/>
  <c r="F7" i="1" s="1"/>
  <c r="B2" i="52"/>
  <c r="E22" i="52" s="1"/>
  <c r="I2" i="46"/>
  <c r="N12" i="46"/>
  <c r="A7" i="46"/>
  <c r="F41" i="4"/>
  <c r="J52" i="40" s="1"/>
  <c r="H61" i="49"/>
  <c r="H39" i="46"/>
  <c r="H38" i="46"/>
  <c r="H37" i="46"/>
  <c r="H36" i="46"/>
  <c r="H35" i="46"/>
  <c r="H34" i="46"/>
  <c r="E32" i="6"/>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s="1"/>
  <c r="H10" i="39"/>
  <c r="AB10" i="39"/>
  <c r="H11" i="39"/>
  <c r="AB11" i="39"/>
  <c r="H36" i="39"/>
  <c r="AB36" i="39"/>
  <c r="H40" i="39"/>
  <c r="AB40" i="39" s="1"/>
  <c r="H42" i="39"/>
  <c r="AB42" i="39" s="1"/>
  <c r="J10" i="39"/>
  <c r="AC10" i="39"/>
  <c r="J11" i="39"/>
  <c r="AC11" i="39"/>
  <c r="J36" i="39"/>
  <c r="AC36" i="39"/>
  <c r="J40" i="39"/>
  <c r="AC40" i="39" s="1"/>
  <c r="J42" i="39"/>
  <c r="AC42" i="39" s="1"/>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s="1"/>
  <c r="B22" i="1"/>
  <c r="C2" i="65"/>
  <c r="I1"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D122" i="39"/>
  <c r="E122" i="39" s="1"/>
  <c r="F122" i="39" s="1"/>
  <c r="G122" i="39" s="1"/>
  <c r="H122" i="39" s="1"/>
  <c r="I122" i="39" s="1"/>
  <c r="J122" i="39" s="1"/>
  <c r="K122" i="39" s="1"/>
  <c r="L122" i="39" s="1"/>
  <c r="M122" i="39" s="1"/>
  <c r="B116" i="39"/>
  <c r="D111" i="39"/>
  <c r="E111" i="39"/>
  <c r="F111" i="39"/>
  <c r="G111" i="39"/>
  <c r="H111" i="39"/>
  <c r="I111" i="39"/>
  <c r="J111" i="39"/>
  <c r="K111" i="39"/>
  <c r="L111" i="39"/>
  <c r="M111" i="39"/>
  <c r="D109" i="39"/>
  <c r="E109" i="39" s="1"/>
  <c r="F109" i="39" s="1"/>
  <c r="G109" i="39" s="1"/>
  <c r="H109" i="39" s="1"/>
  <c r="I109" i="39" s="1"/>
  <c r="J109" i="39" s="1"/>
  <c r="K109" i="39" s="1"/>
  <c r="L109" i="39" s="1"/>
  <c r="M109" i="39" s="1"/>
  <c r="D107" i="39"/>
  <c r="E107" i="39" s="1"/>
  <c r="D103" i="39"/>
  <c r="D101" i="39"/>
  <c r="E101" i="39" s="1"/>
  <c r="F101" i="39" s="1"/>
  <c r="G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B92" i="33"/>
  <c r="B90" i="33"/>
  <c r="D87" i="33"/>
  <c r="E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s="1"/>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AB8" i="33" s="1"/>
  <c r="F8" i="33"/>
  <c r="AA8" i="33" s="1"/>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c r="C18" i="20"/>
  <c r="B70" i="46" s="1"/>
  <c r="C17" i="20"/>
  <c r="B58" i="46"/>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G21" i="6" s="1"/>
  <c r="N5" i="3"/>
  <c r="O5" i="3"/>
  <c r="P5" i="3"/>
  <c r="Q5" i="3"/>
  <c r="R5" i="3"/>
  <c r="S5" i="3"/>
  <c r="T5" i="3"/>
  <c r="U5" i="3"/>
  <c r="V5" i="3"/>
  <c r="W5" i="3"/>
  <c r="X5" i="3"/>
  <c r="Y5" i="3"/>
  <c r="Z5" i="3"/>
  <c r="AA5" i="3"/>
  <c r="AB5" i="3"/>
  <c r="F5" i="3"/>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S33" i="21" s="1"/>
  <c r="J10" i="21"/>
  <c r="AC10" i="21" s="1"/>
  <c r="H26" i="21"/>
  <c r="F19" i="21"/>
  <c r="AA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40" i="33"/>
  <c r="W8" i="21"/>
  <c r="H39" i="37"/>
  <c r="AB39" i="37"/>
  <c r="AB27" i="35"/>
  <c r="S10" i="40"/>
  <c r="W10" i="40"/>
  <c r="S11" i="40"/>
  <c r="U11" i="40"/>
  <c r="S36" i="40"/>
  <c r="U36" i="40"/>
  <c r="S40" i="39"/>
  <c r="S36" i="39"/>
  <c r="F11" i="21"/>
  <c r="S11" i="21" s="1"/>
  <c r="AC35" i="21"/>
  <c r="C29" i="39"/>
  <c r="C23" i="39"/>
  <c r="U36" i="39"/>
  <c r="S42" i="39"/>
  <c r="H11" i="21"/>
  <c r="U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S10" i="21"/>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U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B43" i="33"/>
  <c r="AC33" i="36"/>
  <c r="AC12" i="35"/>
  <c r="W23" i="35"/>
  <c r="AC23" i="37"/>
  <c r="S27" i="37"/>
  <c r="U39" i="37"/>
  <c r="AC8" i="37"/>
  <c r="S25" i="37"/>
  <c r="AC36" i="34"/>
  <c r="AB8" i="34"/>
  <c r="AA13" i="33"/>
  <c r="AC45" i="33"/>
  <c r="AC33" i="21"/>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H7" i="48"/>
  <c r="H16" i="48"/>
  <c r="H9" i="48"/>
  <c r="H8" i="48"/>
  <c r="AB16" i="35"/>
  <c r="AB15" i="37"/>
  <c r="AA43" i="21"/>
  <c r="AA13" i="40"/>
  <c r="E78" i="40"/>
  <c r="F78" i="40"/>
  <c r="G78" i="40"/>
  <c r="H78" i="40"/>
  <c r="I78" i="40"/>
  <c r="J78" i="40"/>
  <c r="K78" i="40"/>
  <c r="L78" i="40"/>
  <c r="M78" i="40"/>
  <c r="BH5" i="3"/>
  <c r="R16" i="4"/>
  <c r="P16" i="4"/>
  <c r="D3" i="35"/>
  <c r="G4" i="4"/>
  <c r="S37" i="34"/>
  <c r="J16" i="35"/>
  <c r="W16" i="35"/>
  <c r="AC26" i="36"/>
  <c r="W25" i="35"/>
  <c r="H13" i="39"/>
  <c r="AB13" i="39" s="1"/>
  <c r="F13" i="39"/>
  <c r="J13" i="39"/>
  <c r="AC13" i="39" s="1"/>
  <c r="AA36" i="35"/>
  <c r="H11" i="37"/>
  <c r="AB11" i="37"/>
  <c r="W37" i="37"/>
  <c r="AA30" i="33"/>
  <c r="AA36" i="37"/>
  <c r="AB17" i="37"/>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AC5" i="3"/>
  <c r="F17" i="21"/>
  <c r="S17" i="21" s="1"/>
  <c r="F40" i="21"/>
  <c r="S40" i="21" s="1"/>
  <c r="H40" i="21"/>
  <c r="AB40" i="21" s="1"/>
  <c r="E119" i="21"/>
  <c r="F119" i="21"/>
  <c r="G119" i="21" s="1"/>
  <c r="H119" i="21" s="1"/>
  <c r="I119" i="21" s="1"/>
  <c r="J119" i="21" s="1"/>
  <c r="K119" i="21" s="1"/>
  <c r="L119" i="21" s="1"/>
  <c r="M119" i="21" s="1"/>
  <c r="S8" i="33"/>
  <c r="H66" i="33"/>
  <c r="F10" i="33"/>
  <c r="AA10" i="33" s="1"/>
  <c r="F11" i="33"/>
  <c r="S11"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J19" i="39"/>
  <c r="W19" i="39" s="1"/>
  <c r="F99" i="37"/>
  <c r="AC27" i="37"/>
  <c r="U25" i="35"/>
  <c r="S45" i="34"/>
  <c r="U31" i="34"/>
  <c r="AC40" i="37"/>
  <c r="W40" i="37"/>
  <c r="AC45" i="21"/>
  <c r="S14" i="21"/>
  <c r="AA44" i="34"/>
  <c r="AB29" i="35"/>
  <c r="U29" i="35"/>
  <c r="U43" i="34"/>
  <c r="AB43" i="34"/>
  <c r="AC34" i="37"/>
  <c r="S35" i="37"/>
  <c r="AA35" i="37"/>
  <c r="AB10" i="35"/>
  <c r="AB34"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17" i="39"/>
  <c r="W17" i="39" s="1"/>
  <c r="F21" i="39"/>
  <c r="S21" i="39" s="1"/>
  <c r="H21" i="39"/>
  <c r="AB21" i="39" s="1"/>
  <c r="J21" i="39"/>
  <c r="W21" i="39"/>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H39" i="39"/>
  <c r="AB39" i="39"/>
  <c r="J39" i="39"/>
  <c r="J29" i="35"/>
  <c r="AC29" i="35"/>
  <c r="F29" i="35"/>
  <c r="S29" i="35"/>
  <c r="W30" i="36"/>
  <c r="AC30" i="36"/>
  <c r="F37" i="39"/>
  <c r="S37" i="39"/>
  <c r="H37" i="39"/>
  <c r="U37" i="39"/>
  <c r="J37" i="39"/>
  <c r="W37" i="39"/>
  <c r="BJ5" i="3"/>
  <c r="F36" i="44"/>
  <c r="F114" i="34"/>
  <c r="G114" i="34"/>
  <c r="H114" i="34"/>
  <c r="I114" i="34"/>
  <c r="J114" i="34"/>
  <c r="K114" i="34"/>
  <c r="L114" i="34"/>
  <c r="M114" i="34"/>
  <c r="H38" i="34"/>
  <c r="U38" i="34"/>
  <c r="H30" i="40"/>
  <c r="AB30" i="40"/>
  <c r="G100" i="40"/>
  <c r="J30" i="40"/>
  <c r="AC30" i="40"/>
  <c r="F38" i="40"/>
  <c r="AA38" i="40"/>
  <c r="AA36" i="34"/>
  <c r="AC12" i="21"/>
  <c r="W12" i="21"/>
  <c r="AB33" i="21"/>
  <c r="U8" i="21"/>
  <c r="S34" i="21"/>
  <c r="AC36" i="21"/>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H41" i="39"/>
  <c r="AB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B37" i="39"/>
  <c r="AA29" i="35"/>
  <c r="U39" i="39"/>
  <c r="J29" i="39"/>
  <c r="AC29" i="39" s="1"/>
  <c r="U21" i="39"/>
  <c r="AB33" i="36"/>
  <c r="AA11" i="36"/>
  <c r="AA14" i="35"/>
  <c r="S14" i="35"/>
  <c r="G99" i="37"/>
  <c r="F33" i="37"/>
  <c r="U46" i="34"/>
  <c r="AC30" i="34"/>
  <c r="AA14" i="34"/>
  <c r="W12" i="34"/>
  <c r="U29" i="33"/>
  <c r="AC13" i="33"/>
  <c r="U17" i="34"/>
  <c r="AA11" i="34"/>
  <c r="AA40" i="21"/>
  <c r="S13" i="39"/>
  <c r="AA13" i="39"/>
  <c r="U16" i="40"/>
  <c r="W34" i="40"/>
  <c r="AB34" i="40"/>
  <c r="AB42" i="40"/>
  <c r="U42" i="40"/>
  <c r="AC16" i="40"/>
  <c r="W32" i="40"/>
  <c r="H25" i="40"/>
  <c r="AB25" i="40"/>
  <c r="F94" i="40"/>
  <c r="G94" i="40"/>
  <c r="U47" i="39"/>
  <c r="W15" i="39"/>
  <c r="J37" i="34"/>
  <c r="AC37" i="34"/>
  <c r="S41" i="40"/>
  <c r="AB23" i="40"/>
  <c r="H23" i="39"/>
  <c r="AB23" i="39" s="1"/>
  <c r="J23" i="39"/>
  <c r="AC23" i="39" s="1"/>
  <c r="F97" i="39"/>
  <c r="G97" i="39" s="1"/>
  <c r="S16" i="39"/>
  <c r="S15" i="34"/>
  <c r="AA15" i="34"/>
  <c r="F106" i="33"/>
  <c r="G106" i="33" s="1"/>
  <c r="H106" i="33" s="1"/>
  <c r="I106" i="33" s="1"/>
  <c r="J106" i="33" s="1"/>
  <c r="K106" i="33" s="1"/>
  <c r="L106" i="33" s="1"/>
  <c r="M106" i="33" s="1"/>
  <c r="J34" i="33"/>
  <c r="AC34" i="33" s="1"/>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11" i="37"/>
  <c r="U13" i="39"/>
  <c r="AC16" i="35"/>
  <c r="AC13" i="40"/>
  <c r="J11" i="34"/>
  <c r="W11" i="34"/>
  <c r="S17" i="34"/>
  <c r="F25" i="40"/>
  <c r="AA25" i="40"/>
  <c r="J11" i="33"/>
  <c r="W11" i="33" s="1"/>
  <c r="H33" i="37"/>
  <c r="AB33" i="37"/>
  <c r="W15" i="34"/>
  <c r="AC15" i="34"/>
  <c r="U20" i="35"/>
  <c r="AB20" i="35"/>
  <c r="W23" i="40"/>
  <c r="D73" i="9"/>
  <c r="N73" i="9"/>
  <c r="AP11" i="1"/>
  <c r="J51" i="15"/>
  <c r="B11" i="1"/>
  <c r="E11" i="1"/>
  <c r="K11" i="1"/>
  <c r="M11" i="1" s="1"/>
  <c r="O11" i="1" s="1"/>
  <c r="B9" i="1"/>
  <c r="E9" i="1"/>
  <c r="K9" i="1"/>
  <c r="M9" i="1" s="1"/>
  <c r="O9" i="1" s="1"/>
  <c r="B7" i="1"/>
  <c r="E7" i="1"/>
  <c r="C20" i="43"/>
  <c r="F6" i="1"/>
  <c r="AP6" i="1" s="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W34" i="33"/>
  <c r="AC12" i="33"/>
  <c r="AB41" i="33"/>
  <c r="S29" i="33"/>
  <c r="W31" i="33"/>
  <c r="U46" i="33"/>
  <c r="W39" i="33"/>
  <c r="AB34" i="33"/>
  <c r="W26" i="33"/>
  <c r="J23" i="33"/>
  <c r="F23" i="33"/>
  <c r="AA23" i="33" s="1"/>
  <c r="H23" i="33"/>
  <c r="AB23" i="33" s="1"/>
  <c r="F17" i="33"/>
  <c r="S14" i="33"/>
  <c r="AC21" i="33"/>
  <c r="W21" i="33"/>
  <c r="W14" i="33"/>
  <c r="AB21" i="33"/>
  <c r="U21" i="33"/>
  <c r="AA21" i="33"/>
  <c r="S21" i="33"/>
  <c r="AA44" i="33"/>
  <c r="S44" i="21"/>
  <c r="W39" i="21"/>
  <c r="AC34" i="21"/>
  <c r="W43" i="21"/>
  <c r="W28" i="21"/>
  <c r="AC46" i="21"/>
  <c r="AC26" i="21"/>
  <c r="J23" i="21"/>
  <c r="W23" i="21" s="1"/>
  <c r="F23" i="21"/>
  <c r="AA23" i="21" s="1"/>
  <c r="H23" i="21"/>
  <c r="U23" i="21" s="1"/>
  <c r="F15" i="21"/>
  <c r="S15" i="21" s="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A21" i="39"/>
  <c r="AC38" i="39"/>
  <c r="S29" i="39"/>
  <c r="AC21" i="39"/>
  <c r="S14" i="39"/>
  <c r="AB15" i="39"/>
  <c r="U11" i="39"/>
  <c r="AB38" i="39"/>
  <c r="U31" i="39"/>
  <c r="AB31" i="39"/>
  <c r="S38" i="39"/>
  <c r="S22" i="31"/>
  <c r="M20" i="15"/>
  <c r="D96" i="9"/>
  <c r="F28" i="15"/>
  <c r="C28" i="15"/>
  <c r="M18" i="15"/>
  <c r="A18" i="64"/>
  <c r="B74" i="63"/>
  <c r="C53" i="10"/>
  <c r="A25" i="64" s="1"/>
  <c r="A18" i="51"/>
  <c r="B14" i="63"/>
  <c r="F3" i="35"/>
  <c r="K1" i="43"/>
  <c r="K1" i="12"/>
  <c r="G1" i="44"/>
  <c r="BK5" i="3"/>
  <c r="BO5" i="3"/>
  <c r="BP5" i="3"/>
  <c r="BN5" i="3"/>
  <c r="BC5" i="3"/>
  <c r="E8" i="6" s="1"/>
  <c r="E58" i="39" s="1"/>
  <c r="BD5" i="3"/>
  <c r="BR5" i="3"/>
  <c r="G28" i="6"/>
  <c r="BS5" i="3"/>
  <c r="BQ5" i="3"/>
  <c r="BL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s="1"/>
  <c r="G100" i="46"/>
  <c r="H84" i="46"/>
  <c r="H65" i="46"/>
  <c r="H66" i="46"/>
  <c r="J100" i="46"/>
  <c r="M100" i="46"/>
  <c r="AA12" i="36"/>
  <c r="U12" i="35"/>
  <c r="AB12" i="35"/>
  <c r="W11" i="35"/>
  <c r="AA11" i="35"/>
  <c r="S14" i="37"/>
  <c r="U13" i="37"/>
  <c r="S13" i="21"/>
  <c r="C24" i="9"/>
  <c r="C25" i="9"/>
  <c r="AP9" i="1"/>
  <c r="G9" i="1"/>
  <c r="B6" i="63"/>
  <c r="L5" i="54"/>
  <c r="B39" i="63"/>
  <c r="K5" i="54"/>
  <c r="B38" i="63"/>
  <c r="T41" i="4"/>
  <c r="A17" i="64"/>
  <c r="B46" i="50"/>
  <c r="B4" i="63" s="1"/>
  <c r="C46" i="36"/>
  <c r="D46" i="36" s="1"/>
  <c r="C59" i="34"/>
  <c r="D59" i="34" s="1"/>
  <c r="P21" i="46"/>
  <c r="D70" i="39"/>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C15" i="43" s="1"/>
  <c r="P9" i="1"/>
  <c r="P11"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S43" i="33"/>
  <c r="AB42" i="33"/>
  <c r="AB14" i="33"/>
  <c r="AB12" i="33"/>
  <c r="S15" i="33"/>
  <c r="S9" i="33"/>
  <c r="S39" i="21"/>
  <c r="AB25" i="21"/>
  <c r="AB45" i="21"/>
  <c r="W25" i="21"/>
  <c r="AA25" i="21"/>
  <c r="AA29" i="21"/>
  <c r="U27" i="21"/>
  <c r="W31" i="21"/>
  <c r="S27" i="21"/>
  <c r="AA15" i="21"/>
  <c r="AC27" i="21"/>
  <c r="W29" i="21"/>
  <c r="G96" i="40"/>
  <c r="J27" i="40"/>
  <c r="W37" i="40"/>
  <c r="S17" i="40"/>
  <c r="W30" i="40"/>
  <c r="S34" i="40"/>
  <c r="U17" i="40"/>
  <c r="U38" i="40"/>
  <c r="S40" i="40"/>
  <c r="S42" i="40"/>
  <c r="G105" i="39"/>
  <c r="J31" i="39"/>
  <c r="W31" i="39" s="1"/>
  <c r="S45" i="39"/>
  <c r="AC46" i="39"/>
  <c r="S34" i="39"/>
  <c r="W36" i="39"/>
  <c r="AC37" i="39"/>
  <c r="U14" i="39"/>
  <c r="W16" i="39"/>
  <c r="S15" i="39"/>
  <c r="W45" i="39"/>
  <c r="AA46" i="39"/>
  <c r="W10" i="39"/>
  <c r="W11" i="39"/>
  <c r="U42" i="39"/>
  <c r="W40" i="39"/>
  <c r="S32" i="40"/>
  <c r="C27" i="39"/>
  <c r="C17" i="40"/>
  <c r="C19" i="40"/>
  <c r="C17" i="39"/>
  <c r="C19" i="39"/>
  <c r="C21" i="39"/>
  <c r="C23" i="40"/>
  <c r="B48" i="46"/>
  <c r="B51" i="46"/>
  <c r="B55" i="46"/>
  <c r="B62" i="46"/>
  <c r="B66" i="46"/>
  <c r="B53" i="46"/>
  <c r="B64" i="46"/>
  <c r="D24" i="15"/>
  <c r="AG6" i="1"/>
  <c r="G6" i="1"/>
  <c r="AE11" i="46"/>
  <c r="AE13" i="46" s="1"/>
  <c r="F29" i="6"/>
  <c r="F28" i="6"/>
  <c r="AJ11" i="46"/>
  <c r="AJ13" i="46" s="1"/>
  <c r="S6" i="46"/>
  <c r="AF11" i="46"/>
  <c r="AF13" i="46" s="1"/>
  <c r="S2" i="46"/>
  <c r="S7" i="46"/>
  <c r="Y11" i="46"/>
  <c r="Y13" i="46" s="1"/>
  <c r="AG11" i="46"/>
  <c r="AG13" i="46" s="1"/>
  <c r="AC11" i="46"/>
  <c r="AC13" i="46" s="1"/>
  <c r="N101" i="46"/>
  <c r="N109" i="46" s="1"/>
  <c r="K101" i="46"/>
  <c r="K105" i="46" s="1"/>
  <c r="Z7" i="46"/>
  <c r="H101" i="46"/>
  <c r="H104" i="46" s="1"/>
  <c r="M101" i="46"/>
  <c r="L101" i="46"/>
  <c r="L106" i="46" s="1"/>
  <c r="I101" i="46"/>
  <c r="N104" i="45"/>
  <c r="J101" i="46"/>
  <c r="J104"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U23" i="33"/>
  <c r="W23" i="33"/>
  <c r="AC23" i="33"/>
  <c r="S23" i="33"/>
  <c r="AA17" i="33"/>
  <c r="S17" i="33"/>
  <c r="AB23" i="21"/>
  <c r="S23" i="21"/>
  <c r="J103" i="46"/>
  <c r="J107" i="46"/>
  <c r="J105" i="46"/>
  <c r="J109" i="46"/>
  <c r="K104"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3" i="40"/>
  <c r="E5" i="6"/>
  <c r="D12" i="11" s="1"/>
  <c r="O6" i="1"/>
  <c r="P6" i="1" s="1"/>
  <c r="C15" i="12" s="1"/>
  <c r="E12" i="6"/>
  <c r="BA5" i="3"/>
  <c r="G29" i="6"/>
  <c r="G30" i="6"/>
  <c r="E14" i="6"/>
  <c r="E10" i="6"/>
  <c r="E15" i="6"/>
  <c r="F30" i="6"/>
  <c r="E28" i="6"/>
  <c r="E13" i="6"/>
  <c r="E11" i="6"/>
  <c r="E63" i="39" s="1"/>
  <c r="H70" i="46"/>
  <c r="H72" i="46"/>
  <c r="A9" i="64"/>
  <c r="A9" i="51"/>
  <c r="B9" i="63"/>
  <c r="A25" i="51"/>
  <c r="B18" i="63" s="1"/>
  <c r="A3" i="55"/>
  <c r="B56" i="63"/>
  <c r="E52" i="37"/>
  <c r="F52" i="37" s="1"/>
  <c r="G52" i="37" s="1"/>
  <c r="H52" i="37" s="1"/>
  <c r="I52" i="37"/>
  <c r="J52" i="37" s="1"/>
  <c r="K52" i="37" s="1"/>
  <c r="L52" i="37" s="1"/>
  <c r="M52" i="37" s="1"/>
  <c r="G48" i="35"/>
  <c r="H48" i="35" s="1"/>
  <c r="I48" i="35"/>
  <c r="J48" i="35" s="1"/>
  <c r="K48" i="35" s="1"/>
  <c r="E46" i="36"/>
  <c r="D72" i="39"/>
  <c r="E70" i="39"/>
  <c r="G39" i="46"/>
  <c r="I39" i="46" s="1"/>
  <c r="G66" i="36"/>
  <c r="J18" i="36"/>
  <c r="AE7" i="1"/>
  <c r="AE6" i="1"/>
  <c r="F33" i="44"/>
  <c r="F31" i="15"/>
  <c r="F58" i="15"/>
  <c r="M17" i="15"/>
  <c r="M19" i="44"/>
  <c r="K103" i="46"/>
  <c r="J102" i="46"/>
  <c r="J106" i="46"/>
  <c r="N105" i="46"/>
  <c r="N103" i="46"/>
  <c r="N102" i="46"/>
  <c r="N104" i="46"/>
  <c r="N107" i="46"/>
  <c r="N106" i="46"/>
  <c r="G102" i="46"/>
  <c r="G107" i="46"/>
  <c r="G103" i="46"/>
  <c r="L102" i="46"/>
  <c r="L105" i="46"/>
  <c r="L104" i="46"/>
  <c r="G109" i="46"/>
  <c r="G106" i="46"/>
  <c r="G105" i="46"/>
  <c r="I105" i="46"/>
  <c r="I102" i="46"/>
  <c r="I104" i="46"/>
  <c r="I109" i="46"/>
  <c r="I103" i="46"/>
  <c r="I107" i="46"/>
  <c r="I106" i="46"/>
  <c r="M107" i="46"/>
  <c r="M104" i="46"/>
  <c r="M102" i="46"/>
  <c r="M103" i="46"/>
  <c r="M109" i="46"/>
  <c r="M105" i="46"/>
  <c r="M106" i="46"/>
  <c r="H102" i="46"/>
  <c r="H107" i="46"/>
  <c r="H103" i="46"/>
  <c r="W18" i="36"/>
  <c r="AC18" i="36"/>
  <c r="D21" i="12"/>
  <c r="C21" i="12" s="1"/>
  <c r="C12" i="11"/>
  <c r="E29" i="6"/>
  <c r="L20" i="6"/>
  <c r="E16" i="6"/>
  <c r="K14" i="1"/>
  <c r="M14" i="1" s="1"/>
  <c r="O14" i="1" s="1"/>
  <c r="P14" i="1" s="1"/>
  <c r="E30" i="6"/>
  <c r="L19" i="6"/>
  <c r="K15" i="1"/>
  <c r="E62" i="40"/>
  <c r="E67" i="39"/>
  <c r="E66" i="39"/>
  <c r="E61" i="40"/>
  <c r="F7" i="21"/>
  <c r="S7" i="21" s="1"/>
  <c r="J7" i="21"/>
  <c r="AC7" i="21" s="1"/>
  <c r="H7" i="21"/>
  <c r="AB7" i="21" s="1"/>
  <c r="E72" i="39"/>
  <c r="F70" i="39"/>
  <c r="G70" i="39" s="1"/>
  <c r="H70" i="39" s="1"/>
  <c r="I70" i="39" s="1"/>
  <c r="I72" i="39" s="1"/>
  <c r="J22" i="46"/>
  <c r="S9" i="1"/>
  <c r="F72" i="39"/>
  <c r="G72" i="39"/>
  <c r="R9" i="1"/>
  <c r="H72" i="39"/>
  <c r="J70" i="39"/>
  <c r="C45" i="9"/>
  <c r="H14" i="66"/>
  <c r="B7" i="66"/>
  <c r="O40" i="9"/>
  <c r="K31" i="9"/>
  <c r="K32" i="9"/>
  <c r="R7" i="54"/>
  <c r="B52" i="63"/>
  <c r="N76" i="9"/>
  <c r="C46" i="9"/>
  <c r="K33" i="9"/>
  <c r="O41" i="9"/>
  <c r="I14" i="66"/>
  <c r="B8" i="66"/>
  <c r="K34" i="9"/>
  <c r="R8" i="54"/>
  <c r="B54" i="63"/>
  <c r="E9" i="67"/>
  <c r="N5" i="65"/>
  <c r="M28" i="15"/>
  <c r="F36" i="15"/>
  <c r="L49" i="44"/>
  <c r="I4" i="65"/>
  <c r="B8" i="67"/>
  <c r="J4" i="65"/>
  <c r="F6" i="15"/>
  <c r="F8" i="44"/>
  <c r="F43" i="44"/>
  <c r="F46" i="44"/>
  <c r="B9" i="67"/>
  <c r="N6" i="65"/>
  <c r="M26" i="15"/>
  <c r="M8" i="15"/>
  <c r="F13" i="15"/>
  <c r="E14" i="67"/>
  <c r="J6" i="65"/>
  <c r="F26" i="15"/>
  <c r="F10" i="44"/>
  <c r="F8" i="15"/>
  <c r="M28" i="44"/>
  <c r="F11" i="44"/>
  <c r="F28" i="44"/>
  <c r="F9" i="67"/>
  <c r="I5" i="65"/>
  <c r="F40" i="15"/>
  <c r="E13" i="67"/>
  <c r="J5" i="65"/>
  <c r="F39" i="44"/>
  <c r="M23" i="15"/>
  <c r="F38" i="44"/>
  <c r="E12" i="67"/>
  <c r="N3" i="65"/>
  <c r="F15" i="44"/>
  <c r="M22" i="15"/>
  <c r="F45" i="44"/>
  <c r="M23" i="44"/>
  <c r="B11" i="67"/>
  <c r="M10" i="44"/>
  <c r="E10" i="67"/>
  <c r="M6" i="15"/>
  <c r="L47" i="15"/>
  <c r="N4" i="65"/>
  <c r="I3" i="65"/>
  <c r="M24" i="44"/>
  <c r="F10" i="67"/>
  <c r="B13" i="67"/>
  <c r="J3" i="65"/>
  <c r="F16" i="15"/>
  <c r="F40" i="44"/>
  <c r="F9" i="15"/>
  <c r="E8" i="67"/>
  <c r="I7" i="65"/>
  <c r="M24" i="15"/>
  <c r="M26" i="44"/>
  <c r="F37" i="15"/>
  <c r="F37" i="44"/>
  <c r="F12" i="67"/>
  <c r="J7" i="65"/>
  <c r="F18" i="44"/>
  <c r="M8" i="44"/>
  <c r="M9" i="15"/>
  <c r="F13" i="67"/>
  <c r="B12" i="67"/>
  <c r="I6" i="65"/>
  <c r="L48" i="44"/>
  <c r="L48" i="15"/>
  <c r="C19" i="44"/>
  <c r="F8" i="67"/>
  <c r="J17" i="44"/>
  <c r="M30" i="44"/>
  <c r="B14" i="67"/>
  <c r="M25" i="44"/>
  <c r="F14" i="67"/>
  <c r="N7" i="65"/>
  <c r="M27" i="15"/>
  <c r="J36" i="15"/>
  <c r="F38" i="15"/>
  <c r="F11" i="67"/>
  <c r="B10" i="67"/>
  <c r="M11" i="44"/>
  <c r="M29" i="44"/>
  <c r="M31" i="44"/>
  <c r="J15" i="15"/>
  <c r="E11" i="67"/>
  <c r="F9" i="44"/>
  <c r="F42" i="15"/>
  <c r="H19" i="39" l="1"/>
  <c r="AB19" i="39" s="1"/>
  <c r="H17" i="39"/>
  <c r="E10" i="52"/>
  <c r="E5" i="52"/>
  <c r="B9" i="52"/>
  <c r="B16" i="52"/>
  <c r="B8" i="52"/>
  <c r="B7" i="52"/>
  <c r="L16" i="4"/>
  <c r="J41" i="39"/>
  <c r="F41" i="39"/>
  <c r="C18" i="9"/>
  <c r="F91" i="39"/>
  <c r="G91" i="39" s="1"/>
  <c r="F17" i="39"/>
  <c r="E60" i="40"/>
  <c r="E65" i="39"/>
  <c r="H109" i="46"/>
  <c r="H106" i="46"/>
  <c r="H105" i="46"/>
  <c r="L103" i="46"/>
  <c r="L109" i="46"/>
  <c r="L107" i="46"/>
  <c r="K106" i="46"/>
  <c r="K102" i="46"/>
  <c r="G13" i="3"/>
  <c r="B6" i="52"/>
  <c r="B23" i="52"/>
  <c r="E9" i="52"/>
  <c r="E4" i="4" s="1"/>
  <c r="B21" i="55" s="1"/>
  <c r="B72" i="63" s="1"/>
  <c r="B4" i="52"/>
  <c r="B10" i="52"/>
  <c r="E11" i="52"/>
  <c r="K17" i="4"/>
  <c r="A22" i="51" s="1"/>
  <c r="B16" i="63" s="1"/>
  <c r="E21" i="6"/>
  <c r="G27" i="6"/>
  <c r="G31" i="6" s="1"/>
  <c r="AZ5" i="3"/>
  <c r="E3" i="6" s="1"/>
  <c r="K109" i="46"/>
  <c r="K107" i="46"/>
  <c r="E20" i="6"/>
  <c r="F27" i="6"/>
  <c r="F31" i="6" s="1"/>
  <c r="L27" i="6"/>
  <c r="E58" i="40"/>
  <c r="O12" i="1"/>
  <c r="P12" i="1" s="1"/>
  <c r="E64" i="39"/>
  <c r="E68" i="39" s="1"/>
  <c r="E59" i="40"/>
  <c r="P13" i="1"/>
  <c r="E22" i="46"/>
  <c r="B113" i="46"/>
  <c r="F22" i="46"/>
  <c r="C101" i="46"/>
  <c r="H22" i="46"/>
  <c r="D101" i="46"/>
  <c r="C23" i="46"/>
  <c r="C21" i="46" s="1"/>
  <c r="E101" i="46"/>
  <c r="F101" i="46"/>
  <c r="G22" i="46"/>
  <c r="S5" i="46"/>
  <c r="AI11" i="46"/>
  <c r="AI13" i="46" s="1"/>
  <c r="AA11" i="46"/>
  <c r="AA13" i="46" s="1"/>
  <c r="S3" i="46"/>
  <c r="AH11" i="46"/>
  <c r="AH13" i="46" s="1"/>
  <c r="AD11" i="46"/>
  <c r="AD13" i="46" s="1"/>
  <c r="Z11" i="46"/>
  <c r="Z13" i="46" s="1"/>
  <c r="S4" i="46"/>
  <c r="O10" i="1"/>
  <c r="S27" i="39"/>
  <c r="AC17" i="39"/>
  <c r="M43" i="9"/>
  <c r="D18" i="9"/>
  <c r="M44" i="9" s="1"/>
  <c r="W34" i="39"/>
  <c r="H43" i="39"/>
  <c r="H126" i="39"/>
  <c r="I126" i="39" s="1"/>
  <c r="J126" i="39" s="1"/>
  <c r="K126" i="39" s="1"/>
  <c r="L126" i="39" s="1"/>
  <c r="M126" i="39" s="1"/>
  <c r="F43" i="39"/>
  <c r="J43" i="39"/>
  <c r="F107" i="39"/>
  <c r="G107" i="39" s="1"/>
  <c r="H107" i="39" s="1"/>
  <c r="I107" i="39" s="1"/>
  <c r="J107" i="39" s="1"/>
  <c r="K107" i="39" s="1"/>
  <c r="L107" i="39" s="1"/>
  <c r="M107" i="39" s="1"/>
  <c r="H33" i="39"/>
  <c r="F33" i="39"/>
  <c r="J33" i="39"/>
  <c r="AC31" i="39"/>
  <c r="W29" i="39"/>
  <c r="AB29" i="39"/>
  <c r="U23" i="39"/>
  <c r="S23" i="39"/>
  <c r="AC19" i="39"/>
  <c r="W42" i="39"/>
  <c r="AB44" i="39"/>
  <c r="U41" i="39"/>
  <c r="J42" i="33"/>
  <c r="G123" i="33"/>
  <c r="H123" i="33" s="1"/>
  <c r="I123" i="33" s="1"/>
  <c r="J123" i="33" s="1"/>
  <c r="K123" i="33" s="1"/>
  <c r="L123" i="33" s="1"/>
  <c r="M123" i="33" s="1"/>
  <c r="S39" i="33"/>
  <c r="H111" i="33"/>
  <c r="I111" i="33" s="1"/>
  <c r="J111" i="33" s="1"/>
  <c r="K111" i="33" s="1"/>
  <c r="L111" i="33" s="1"/>
  <c r="M111" i="33" s="1"/>
  <c r="F36" i="33"/>
  <c r="J36" i="33"/>
  <c r="W36" i="33" s="1"/>
  <c r="H36" i="33"/>
  <c r="H101" i="33"/>
  <c r="I101" i="33" s="1"/>
  <c r="J101" i="33" s="1"/>
  <c r="K101" i="33" s="1"/>
  <c r="L101" i="33" s="1"/>
  <c r="M101" i="33" s="1"/>
  <c r="H32" i="33"/>
  <c r="AB32" i="33" s="1"/>
  <c r="F32" i="33"/>
  <c r="AA32" i="33" s="1"/>
  <c r="J32" i="33"/>
  <c r="AC32" i="33" s="1"/>
  <c r="F91" i="33"/>
  <c r="G91" i="33" s="1"/>
  <c r="H91" i="33" s="1"/>
  <c r="I91" i="33" s="1"/>
  <c r="J91" i="33" s="1"/>
  <c r="K91" i="33" s="1"/>
  <c r="L91" i="33" s="1"/>
  <c r="M91" i="33" s="1"/>
  <c r="J27" i="33"/>
  <c r="AC27" i="33" s="1"/>
  <c r="H27" i="33"/>
  <c r="U27" i="33" s="1"/>
  <c r="J25" i="33"/>
  <c r="H25" i="33"/>
  <c r="F87" i="33"/>
  <c r="G87" i="33" s="1"/>
  <c r="H87" i="33" s="1"/>
  <c r="I87" i="33" s="1"/>
  <c r="J87" i="33" s="1"/>
  <c r="K87" i="33" s="1"/>
  <c r="L87" i="33" s="1"/>
  <c r="M87" i="33" s="1"/>
  <c r="F25" i="33"/>
  <c r="S25" i="33" s="1"/>
  <c r="F81" i="33"/>
  <c r="G81" i="33" s="1"/>
  <c r="J19" i="33"/>
  <c r="W19" i="33" s="1"/>
  <c r="H19" i="33"/>
  <c r="H17" i="33"/>
  <c r="F79" i="33"/>
  <c r="G79" i="33" s="1"/>
  <c r="J17" i="33"/>
  <c r="F77" i="33"/>
  <c r="G77" i="33" s="1"/>
  <c r="H15" i="33"/>
  <c r="U15" i="33" s="1"/>
  <c r="J15" i="33"/>
  <c r="W43" i="33"/>
  <c r="S42" i="33"/>
  <c r="W40" i="33"/>
  <c r="AC19" i="33"/>
  <c r="S32" i="33"/>
  <c r="S28" i="33"/>
  <c r="S26" i="33"/>
  <c r="AA25" i="33"/>
  <c r="AA19" i="33"/>
  <c r="AB15" i="33"/>
  <c r="AC11" i="33"/>
  <c r="AB11" i="33"/>
  <c r="AC37" i="33"/>
  <c r="U35" i="33"/>
  <c r="AC35" i="33"/>
  <c r="S35" i="33"/>
  <c r="AA41" i="33"/>
  <c r="S38" i="33"/>
  <c r="U38" i="33"/>
  <c r="W38" i="33"/>
  <c r="AA34" i="33"/>
  <c r="W32" i="33"/>
  <c r="U32" i="33"/>
  <c r="AC28" i="33"/>
  <c r="W27" i="33"/>
  <c r="AA27" i="33"/>
  <c r="AB26" i="33"/>
  <c r="AA11" i="33"/>
  <c r="W10" i="33"/>
  <c r="S10" i="33"/>
  <c r="AB10" i="33"/>
  <c r="W9" i="33"/>
  <c r="AC8" i="33"/>
  <c r="H42" i="21"/>
  <c r="F42" i="21"/>
  <c r="G123" i="21"/>
  <c r="H123" i="21" s="1"/>
  <c r="I123" i="21" s="1"/>
  <c r="J123" i="21" s="1"/>
  <c r="K123" i="21" s="1"/>
  <c r="L123" i="21" s="1"/>
  <c r="M123" i="21" s="1"/>
  <c r="J42" i="21"/>
  <c r="AC42" i="21" s="1"/>
  <c r="U40" i="21"/>
  <c r="H113" i="21"/>
  <c r="J37" i="21"/>
  <c r="F37" i="21"/>
  <c r="S37" i="21" s="1"/>
  <c r="H37" i="21"/>
  <c r="AC40" i="21"/>
  <c r="W42" i="21"/>
  <c r="AA37" i="21"/>
  <c r="U43" i="21"/>
  <c r="AA38" i="21"/>
  <c r="F101" i="21"/>
  <c r="H32" i="21"/>
  <c r="U32" i="21" s="1"/>
  <c r="H19" i="21"/>
  <c r="AB19" i="21" s="1"/>
  <c r="F81" i="21"/>
  <c r="G81" i="21" s="1"/>
  <c r="J19" i="21"/>
  <c r="W19" i="21" s="1"/>
  <c r="F79" i="21"/>
  <c r="G79" i="21" s="1"/>
  <c r="H17" i="21"/>
  <c r="AB17" i="21" s="1"/>
  <c r="J17" i="21"/>
  <c r="AC17" i="21" s="1"/>
  <c r="F77" i="21"/>
  <c r="G77" i="21" s="1"/>
  <c r="J15" i="21"/>
  <c r="H15" i="21"/>
  <c r="AC23" i="21"/>
  <c r="U19" i="21"/>
  <c r="AA17" i="21"/>
  <c r="S21" i="21"/>
  <c r="S19" i="21"/>
  <c r="W17" i="21"/>
  <c r="U17" i="21"/>
  <c r="AA44" i="39"/>
  <c r="AC44" i="39"/>
  <c r="U34" i="39"/>
  <c r="S31" i="39"/>
  <c r="U27" i="39"/>
  <c r="W27" i="39"/>
  <c r="S25" i="39"/>
  <c r="W25" i="39"/>
  <c r="W23" i="39"/>
  <c r="B54" i="46"/>
  <c r="E4" i="52"/>
  <c r="E16" i="52"/>
  <c r="C4" i="4" s="1"/>
  <c r="B20" i="55" s="1"/>
  <c r="B11" i="52"/>
  <c r="E8" i="52"/>
  <c r="B5" i="52"/>
  <c r="B13" i="52"/>
  <c r="B22" i="52"/>
  <c r="E21" i="52"/>
  <c r="B14" i="52"/>
  <c r="E6" i="52"/>
  <c r="E7" i="52"/>
  <c r="B59" i="46"/>
  <c r="F69" i="21"/>
  <c r="G69" i="21" s="1"/>
  <c r="H69" i="21" s="1"/>
  <c r="I69" i="21" s="1"/>
  <c r="J69" i="21" s="1"/>
  <c r="K69" i="21" s="1"/>
  <c r="L69" i="21" s="1"/>
  <c r="M69" i="21" s="1"/>
  <c r="J11" i="21"/>
  <c r="U38" i="21"/>
  <c r="U39" i="21"/>
  <c r="AA36" i="21"/>
  <c r="AB36" i="21"/>
  <c r="S35" i="21"/>
  <c r="U35" i="21"/>
  <c r="AB32" i="21"/>
  <c r="AB10" i="21"/>
  <c r="W9" i="21"/>
  <c r="U9" i="21"/>
  <c r="S8" i="21"/>
  <c r="W7" i="21"/>
  <c r="K76" i="9"/>
  <c r="K77" i="9" s="1"/>
  <c r="K79" i="9" s="1"/>
  <c r="K81" i="9" s="1"/>
  <c r="J72" i="39"/>
  <c r="K70" i="39"/>
  <c r="L48" i="35"/>
  <c r="M48" i="35" s="1"/>
  <c r="N48" i="35" s="1"/>
  <c r="O48" i="35" s="1"/>
  <c r="H7" i="35"/>
  <c r="N52" i="37"/>
  <c r="O52" i="37" s="1"/>
  <c r="H7" i="37"/>
  <c r="F7" i="37"/>
  <c r="AA7" i="21"/>
  <c r="U7" i="21"/>
  <c r="F46" i="36"/>
  <c r="E59" i="34"/>
  <c r="F59" i="34" s="1"/>
  <c r="G59" i="34" s="1"/>
  <c r="H59" i="34" s="1"/>
  <c r="I59" i="34" s="1"/>
  <c r="J59" i="34" s="1"/>
  <c r="K59" i="34" s="1"/>
  <c r="L59" i="34" s="1"/>
  <c r="M59" i="34" s="1"/>
  <c r="N59" i="34" s="1"/>
  <c r="O59" i="34" s="1"/>
  <c r="D58" i="33"/>
  <c r="C67" i="40"/>
  <c r="D65" i="40"/>
  <c r="AP8" i="1"/>
  <c r="G8" i="1"/>
  <c r="J7" i="37"/>
  <c r="F7" i="35"/>
  <c r="AP7" i="1"/>
  <c r="G7" i="1"/>
  <c r="M20" i="46"/>
  <c r="C19" i="46" s="1"/>
  <c r="P24" i="46"/>
  <c r="B68" i="40" s="1"/>
  <c r="P25" i="46"/>
  <c r="B73" i="39" s="1"/>
  <c r="P23" i="46"/>
  <c r="P22" i="46"/>
  <c r="O19" i="46"/>
  <c r="G10" i="1"/>
  <c r="J22" i="44"/>
  <c r="C36" i="44"/>
  <c r="Q73" i="44"/>
  <c r="F64" i="15"/>
  <c r="F50" i="15"/>
  <c r="L58" i="15"/>
  <c r="L59" i="15"/>
  <c r="C8" i="44"/>
  <c r="L56" i="15"/>
  <c r="J53" i="15"/>
  <c r="I54" i="15"/>
  <c r="J59" i="15"/>
  <c r="J57" i="15"/>
  <c r="J55" i="15" s="1"/>
  <c r="J58" i="15" s="1"/>
  <c r="Q51" i="15" s="1"/>
  <c r="J60" i="15"/>
  <c r="Q49" i="15" s="1"/>
  <c r="F67" i="15"/>
  <c r="L60" i="44"/>
  <c r="L59" i="44"/>
  <c r="C27" i="15"/>
  <c r="E20" i="46"/>
  <c r="F65" i="15"/>
  <c r="I55" i="44"/>
  <c r="J60" i="44"/>
  <c r="J61" i="44"/>
  <c r="Q50" i="44" s="1"/>
  <c r="J54" i="44"/>
  <c r="J58" i="44"/>
  <c r="J56" i="44" s="1"/>
  <c r="J59" i="44" s="1"/>
  <c r="Q52" i="44" s="1"/>
  <c r="L57" i="44"/>
  <c r="L47" i="44"/>
  <c r="M9" i="44"/>
  <c r="J8" i="44" s="1"/>
  <c r="C29" i="44"/>
  <c r="F63" i="15"/>
  <c r="Q72" i="15"/>
  <c r="J1" i="65"/>
  <c r="C4" i="65"/>
  <c r="B39" i="1" s="1"/>
  <c r="C18" i="44"/>
  <c r="E2" i="65"/>
  <c r="E3" i="65"/>
  <c r="U19" i="39" l="1"/>
  <c r="U17" i="39"/>
  <c r="AB17" i="39"/>
  <c r="AA41" i="39"/>
  <c r="S41" i="39"/>
  <c r="AC41" i="39"/>
  <c r="W41" i="39"/>
  <c r="AA17" i="39"/>
  <c r="S17" i="39"/>
  <c r="E27" i="6"/>
  <c r="K20" i="6" s="1"/>
  <c r="G5" i="3"/>
  <c r="B3" i="3" s="1"/>
  <c r="E13" i="3" s="1"/>
  <c r="B40" i="1"/>
  <c r="F24" i="15" s="1"/>
  <c r="C24" i="15" s="1"/>
  <c r="K19" i="6"/>
  <c r="S6" i="1" s="1"/>
  <c r="K8" i="1"/>
  <c r="E9" i="12"/>
  <c r="K26" i="6"/>
  <c r="M26" i="6" s="1"/>
  <c r="I26" i="6" s="1"/>
  <c r="S26" i="6" s="1"/>
  <c r="K22" i="6"/>
  <c r="M22" i="6" s="1"/>
  <c r="I22" i="6" s="1"/>
  <c r="S22" i="6" s="1"/>
  <c r="K23" i="6"/>
  <c r="M23" i="6" s="1"/>
  <c r="I23" i="6" s="1"/>
  <c r="S23" i="6" s="1"/>
  <c r="D3" i="33"/>
  <c r="D9" i="12"/>
  <c r="K7" i="1"/>
  <c r="AP16" i="1" s="1"/>
  <c r="F22" i="11" s="1"/>
  <c r="F102" i="46"/>
  <c r="F104" i="46"/>
  <c r="F106" i="46"/>
  <c r="F103" i="46"/>
  <c r="F105" i="46"/>
  <c r="F107" i="46"/>
  <c r="F109" i="46"/>
  <c r="E102" i="46"/>
  <c r="E104" i="46"/>
  <c r="E106" i="46"/>
  <c r="E103" i="46"/>
  <c r="E105" i="46"/>
  <c r="E107" i="46"/>
  <c r="E109" i="46"/>
  <c r="D103" i="46"/>
  <c r="D105" i="46"/>
  <c r="D107" i="46"/>
  <c r="D109" i="46"/>
  <c r="D102" i="46"/>
  <c r="D104" i="46"/>
  <c r="D106" i="46"/>
  <c r="C103" i="46"/>
  <c r="C105" i="46"/>
  <c r="C107" i="46"/>
  <c r="C109" i="46"/>
  <c r="C102" i="46"/>
  <c r="C104" i="46"/>
  <c r="C106" i="46"/>
  <c r="I115" i="46"/>
  <c r="J115" i="46" s="1"/>
  <c r="K115" i="46" s="1"/>
  <c r="L115" i="46" s="1"/>
  <c r="M115"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D118" i="46"/>
  <c r="E118" i="46" s="1"/>
  <c r="F118" i="46" s="1"/>
  <c r="B115" i="46"/>
  <c r="B116" i="46"/>
  <c r="C116" i="46" s="1"/>
  <c r="B117" i="46"/>
  <c r="C117" i="46" s="1"/>
  <c r="B118" i="46"/>
  <c r="C118" i="46" s="1"/>
  <c r="I116" i="46"/>
  <c r="J116" i="46" s="1"/>
  <c r="K116" i="46" s="1"/>
  <c r="L116" i="46" s="1"/>
  <c r="M116" i="46" s="1"/>
  <c r="G118" i="46"/>
  <c r="H118" i="46" s="1"/>
  <c r="I118" i="46"/>
  <c r="J118" i="46" s="1"/>
  <c r="K118" i="46" s="1"/>
  <c r="L118" i="46" s="1"/>
  <c r="M118" i="46" s="1"/>
  <c r="L38" i="9"/>
  <c r="B14" i="66" s="1"/>
  <c r="B1" i="66" s="1"/>
  <c r="D16" i="43"/>
  <c r="C16" i="43" s="1"/>
  <c r="C21" i="4"/>
  <c r="O5" i="54" s="1"/>
  <c r="B45" i="63" s="1"/>
  <c r="D10" i="11"/>
  <c r="D16" i="12"/>
  <c r="E6" i="6"/>
  <c r="D45" i="9"/>
  <c r="D46" i="9"/>
  <c r="M19" i="6"/>
  <c r="D22" i="46"/>
  <c r="P10" i="1"/>
  <c r="B70" i="63"/>
  <c r="W43" i="39"/>
  <c r="AC43" i="39"/>
  <c r="AA43" i="39"/>
  <c r="S43" i="39"/>
  <c r="U43" i="39"/>
  <c r="AB43" i="39"/>
  <c r="AC33" i="39"/>
  <c r="W33" i="39"/>
  <c r="U33" i="39"/>
  <c r="AB33" i="39"/>
  <c r="S33" i="39"/>
  <c r="AA33" i="39"/>
  <c r="AC42" i="33"/>
  <c r="W42" i="33"/>
  <c r="AC36" i="33"/>
  <c r="AB36" i="33"/>
  <c r="U36" i="33"/>
  <c r="S36" i="33"/>
  <c r="AA36" i="33"/>
  <c r="AB27" i="33"/>
  <c r="AB25" i="33"/>
  <c r="U25" i="33"/>
  <c r="W25" i="33"/>
  <c r="AC25" i="33"/>
  <c r="AB19" i="33"/>
  <c r="U19" i="33"/>
  <c r="AC17" i="33"/>
  <c r="W17" i="33"/>
  <c r="U17" i="33"/>
  <c r="AB17" i="33"/>
  <c r="W15" i="33"/>
  <c r="AC15" i="33"/>
  <c r="AA42" i="21"/>
  <c r="S42" i="21"/>
  <c r="AB42" i="21"/>
  <c r="U42" i="21"/>
  <c r="U37" i="21"/>
  <c r="AB37" i="21"/>
  <c r="W37" i="21"/>
  <c r="AC37" i="21"/>
  <c r="F32" i="21"/>
  <c r="J32" i="21"/>
  <c r="G101" i="21"/>
  <c r="H101" i="21" s="1"/>
  <c r="I101" i="21" s="1"/>
  <c r="J101" i="21" s="1"/>
  <c r="K101" i="21" s="1"/>
  <c r="L101" i="21" s="1"/>
  <c r="M101" i="21" s="1"/>
  <c r="AC19" i="21"/>
  <c r="W15" i="21"/>
  <c r="AC15" i="21"/>
  <c r="U15" i="21"/>
  <c r="AB15" i="21"/>
  <c r="W11" i="21"/>
  <c r="AC11" i="21"/>
  <c r="F7" i="34"/>
  <c r="W7" i="37"/>
  <c r="AC7" i="37"/>
  <c r="V42" i="37" s="1"/>
  <c r="I42" i="37" s="1"/>
  <c r="E65" i="40"/>
  <c r="D67" i="40"/>
  <c r="H7" i="34"/>
  <c r="G46" i="36"/>
  <c r="AA7" i="37"/>
  <c r="R42" i="37" s="1"/>
  <c r="S7" i="37"/>
  <c r="J7" i="35"/>
  <c r="C29" i="46"/>
  <c r="C33" i="46"/>
  <c r="C35" i="46"/>
  <c r="C37" i="46"/>
  <c r="C39" i="46"/>
  <c r="E39" i="46" s="1"/>
  <c r="T2" i="46"/>
  <c r="V2" i="46" s="1"/>
  <c r="T7" i="46"/>
  <c r="V7" i="46" s="1"/>
  <c r="C34" i="46"/>
  <c r="C36" i="46"/>
  <c r="C38" i="46"/>
  <c r="T3" i="46"/>
  <c r="V3" i="46" s="1"/>
  <c r="T4" i="46"/>
  <c r="V4" i="46" s="1"/>
  <c r="T6" i="46"/>
  <c r="V6" i="46" s="1"/>
  <c r="T10" i="46"/>
  <c r="V10" i="46" s="1"/>
  <c r="T14" i="46"/>
  <c r="V14" i="46" s="1"/>
  <c r="T5" i="46"/>
  <c r="V5" i="46" s="1"/>
  <c r="T11" i="46"/>
  <c r="V11" i="46" s="1"/>
  <c r="T15" i="46"/>
  <c r="V15" i="46" s="1"/>
  <c r="T8" i="46"/>
  <c r="V8" i="46" s="1"/>
  <c r="T16" i="46"/>
  <c r="V16" i="46" s="1"/>
  <c r="T13" i="46"/>
  <c r="V13" i="46" s="1"/>
  <c r="T12" i="46"/>
  <c r="V12" i="46" s="1"/>
  <c r="T9" i="46"/>
  <c r="V9" i="46" s="1"/>
  <c r="AA7" i="35"/>
  <c r="R38" i="35" s="1"/>
  <c r="S7" i="35"/>
  <c r="E58" i="33"/>
  <c r="F58" i="33" s="1"/>
  <c r="G58" i="33" s="1"/>
  <c r="H58" i="33" s="1"/>
  <c r="I58" i="33" s="1"/>
  <c r="J58" i="33" s="1"/>
  <c r="K58" i="33" s="1"/>
  <c r="L58" i="33" s="1"/>
  <c r="M58" i="33" s="1"/>
  <c r="N58" i="33" s="1"/>
  <c r="O58" i="33" s="1"/>
  <c r="J7" i="34"/>
  <c r="AB7" i="37"/>
  <c r="T42" i="37" s="1"/>
  <c r="G42" i="37" s="1"/>
  <c r="U7" i="37"/>
  <c r="AB7" i="35"/>
  <c r="T38" i="35" s="1"/>
  <c r="G38" i="35" s="1"/>
  <c r="U7" i="35"/>
  <c r="K72" i="39"/>
  <c r="L70" i="39"/>
  <c r="F17" i="11"/>
  <c r="C17" i="11" s="1"/>
  <c r="P17" i="46"/>
  <c r="N17" i="46"/>
  <c r="O17" i="46"/>
  <c r="M17" i="46"/>
  <c r="Q63" i="44"/>
  <c r="Q76" i="44"/>
  <c r="Q75" i="15"/>
  <c r="Q62" i="15"/>
  <c r="F11" i="15"/>
  <c r="F13" i="44"/>
  <c r="C12" i="44" s="1"/>
  <c r="C7" i="44" s="1"/>
  <c r="M11" i="15"/>
  <c r="J10" i="15" s="1"/>
  <c r="M13" i="44"/>
  <c r="J12" i="44" s="1"/>
  <c r="J7" i="44" s="1"/>
  <c r="Q54" i="44"/>
  <c r="F1" i="44"/>
  <c r="Q62" i="44"/>
  <c r="Q75" i="44"/>
  <c r="F1" i="15"/>
  <c r="Q53" i="15"/>
  <c r="Q74" i="15"/>
  <c r="Q61" i="15"/>
  <c r="F43" i="15"/>
  <c r="F7" i="15"/>
  <c r="M29" i="15"/>
  <c r="AE8" i="1"/>
  <c r="F21" i="43" l="1"/>
  <c r="C23" i="43" s="1"/>
  <c r="D21" i="43" s="1"/>
  <c r="F26" i="44"/>
  <c r="C26" i="44" s="1"/>
  <c r="M20" i="6"/>
  <c r="I20" i="6" s="1"/>
  <c r="S20" i="6" s="1"/>
  <c r="S7" i="1"/>
  <c r="F26" i="12"/>
  <c r="C27" i="12" s="1"/>
  <c r="D26" i="12" s="1"/>
  <c r="C32" i="12" s="1"/>
  <c r="D30" i="12" s="1"/>
  <c r="K21" i="6"/>
  <c r="K25" i="6"/>
  <c r="M25" i="6" s="1"/>
  <c r="I25" i="6" s="1"/>
  <c r="S25" i="6" s="1"/>
  <c r="K24" i="6"/>
  <c r="M24" i="6" s="1"/>
  <c r="I24" i="6" s="1"/>
  <c r="S24" i="6" s="1"/>
  <c r="E31" i="6"/>
  <c r="C33" i="33" s="1"/>
  <c r="J33" i="33" s="1"/>
  <c r="AY6" i="3"/>
  <c r="D3" i="6" s="1"/>
  <c r="AY504" i="3"/>
  <c r="AY100" i="3"/>
  <c r="AY83" i="3"/>
  <c r="AY47" i="3"/>
  <c r="AY182"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549" i="3"/>
  <c r="AY69" i="3"/>
  <c r="AY88" i="3"/>
  <c r="AY26" i="3"/>
  <c r="AY129" i="3"/>
  <c r="AY52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AY420" i="3"/>
  <c r="AY405" i="3"/>
  <c r="AY555" i="3"/>
  <c r="AY429" i="3"/>
  <c r="AY188" i="3"/>
  <c r="AY442" i="3"/>
  <c r="AY143" i="3"/>
  <c r="AY37" i="3"/>
  <c r="AY203" i="3"/>
  <c r="AY95" i="3"/>
  <c r="AY150" i="3"/>
  <c r="AY216" i="3"/>
  <c r="AY432" i="3"/>
  <c r="AY28" i="3"/>
  <c r="AY280" i="3"/>
  <c r="AY311" i="3"/>
  <c r="AY172" i="3"/>
  <c r="AY257" i="3"/>
  <c r="BS6" i="3"/>
  <c r="AY254" i="3"/>
  <c r="AY394" i="3"/>
  <c r="AY359" i="3"/>
  <c r="AY282" i="3"/>
  <c r="BQ6" i="3"/>
  <c r="BT6" i="3"/>
  <c r="AY15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E283" i="3"/>
  <c r="E535" i="3"/>
  <c r="E156" i="3"/>
  <c r="E381" i="3"/>
  <c r="E49" i="3"/>
  <c r="E427" i="3"/>
  <c r="E193" i="3"/>
  <c r="E278" i="3"/>
  <c r="E104" i="3"/>
  <c r="E94" i="3"/>
  <c r="E534" i="3"/>
  <c r="E149" i="3"/>
  <c r="E295" i="3"/>
  <c r="E249" i="3"/>
  <c r="E89" i="3"/>
  <c r="E549" i="3"/>
  <c r="E201"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443" i="3"/>
  <c r="E194" i="3"/>
  <c r="E78" i="3"/>
  <c r="E390" i="3"/>
  <c r="E296" i="3"/>
  <c r="E131" i="3"/>
  <c r="E304" i="3"/>
  <c r="E165" i="3"/>
  <c r="E454" i="3"/>
  <c r="E520" i="3"/>
  <c r="AK6" i="3"/>
  <c r="E223" i="3"/>
  <c r="E205" i="3"/>
  <c r="E399" i="3"/>
  <c r="E478" i="3"/>
  <c r="E317" i="3"/>
  <c r="E357" i="3"/>
  <c r="E179" i="3"/>
  <c r="AS6" i="3"/>
  <c r="E444" i="3"/>
  <c r="E383" i="3"/>
  <c r="W6" i="3"/>
  <c r="E293" i="3"/>
  <c r="E190" i="3"/>
  <c r="E560" i="3"/>
  <c r="E420" i="3"/>
  <c r="E111" i="3"/>
  <c r="E233" i="3"/>
  <c r="E261" i="3"/>
  <c r="E203" i="3"/>
  <c r="E39" i="3"/>
  <c r="E402" i="3"/>
  <c r="E107" i="3"/>
  <c r="E172" i="3"/>
  <c r="E288" i="3"/>
  <c r="E255" i="3"/>
  <c r="E393" i="3"/>
  <c r="E417" i="3"/>
  <c r="E88" i="3"/>
  <c r="E145" i="3"/>
  <c r="E480"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23" i="3"/>
  <c r="AM6" i="3"/>
  <c r="E158" i="3"/>
  <c r="E237" i="3"/>
  <c r="E100" i="3"/>
  <c r="E230" i="3"/>
  <c r="E441" i="3"/>
  <c r="E415" i="3"/>
  <c r="E28" i="3"/>
  <c r="E168" i="3"/>
  <c r="E407" i="3"/>
  <c r="E232" i="3"/>
  <c r="E189" i="3"/>
  <c r="E507" i="3"/>
  <c r="E275" i="3"/>
  <c r="L6" i="3"/>
  <c r="E429" i="3"/>
  <c r="E116" i="3"/>
  <c r="E372" i="3"/>
  <c r="E465" i="3"/>
  <c r="E154"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265" i="3"/>
  <c r="E337" i="3"/>
  <c r="E472" i="3"/>
  <c r="E36" i="3"/>
  <c r="E428" i="3"/>
  <c r="E389" i="3"/>
  <c r="E143" i="3"/>
  <c r="E367" i="3"/>
  <c r="E80" i="3"/>
  <c r="E141" i="3"/>
  <c r="E34" i="3"/>
  <c r="E398" i="3"/>
  <c r="E533" i="3"/>
  <c r="E37" i="3"/>
  <c r="E303" i="3"/>
  <c r="AT6" i="3"/>
  <c r="E467" i="3"/>
  <c r="E67" i="3"/>
  <c r="E214" i="3"/>
  <c r="E486" i="3"/>
  <c r="E543" i="3"/>
  <c r="E264"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09" i="3"/>
  <c r="E326" i="3"/>
  <c r="E20" i="3"/>
  <c r="E356" i="3"/>
  <c r="E564" i="3"/>
  <c r="E481" i="3"/>
  <c r="E565" i="3"/>
  <c r="E380" i="3"/>
  <c r="E503" i="3"/>
  <c r="E541" i="3"/>
  <c r="E523" i="3"/>
  <c r="E557" i="3"/>
  <c r="E411" i="3"/>
  <c r="E250" i="3"/>
  <c r="E41" i="3"/>
  <c r="E471" i="3"/>
  <c r="E418" i="3"/>
  <c r="E408" i="3"/>
  <c r="E92" i="3"/>
  <c r="E238" i="3"/>
  <c r="E414" i="3"/>
  <c r="E44" i="3"/>
  <c r="E202" i="3"/>
  <c r="E376" i="3"/>
  <c r="E387" i="3"/>
  <c r="E294" i="3"/>
  <c r="R6" i="3"/>
  <c r="E21" i="3"/>
  <c r="E125"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413"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s="1"/>
  <c r="E103" i="3"/>
  <c r="E548" i="3"/>
  <c r="E200" i="3"/>
  <c r="Z6" i="3"/>
  <c r="E62" i="3"/>
  <c r="E86" i="3"/>
  <c r="E561" i="3"/>
  <c r="E395" i="3"/>
  <c r="AN6" i="3"/>
  <c r="E280" i="3"/>
  <c r="E59" i="3"/>
  <c r="E270" i="3"/>
  <c r="E464" i="3"/>
  <c r="E157" i="3"/>
  <c r="E209" i="3"/>
  <c r="E161" i="3"/>
  <c r="E450" i="3"/>
  <c r="E492" i="3"/>
  <c r="E187" i="3"/>
  <c r="E253" i="3"/>
  <c r="E225" i="3"/>
  <c r="E537" i="3"/>
  <c r="E199" i="3"/>
  <c r="E54" i="3"/>
  <c r="E460" i="3"/>
  <c r="E404" i="3"/>
  <c r="E170" i="3"/>
  <c r="E374" i="3"/>
  <c r="I3" i="6"/>
  <c r="E30" i="3"/>
  <c r="E213" i="3"/>
  <c r="E490" i="3"/>
  <c r="E536" i="3"/>
  <c r="E218" i="3"/>
  <c r="E397" i="3"/>
  <c r="E442" i="3"/>
  <c r="E462" i="3"/>
  <c r="E110" i="3"/>
  <c r="E47" i="3"/>
  <c r="E63" i="3"/>
  <c r="E545" i="3"/>
  <c r="E174" i="3"/>
  <c r="E184" i="3"/>
  <c r="E129" i="3"/>
  <c r="E482" i="3"/>
  <c r="E98" i="3"/>
  <c r="E473" i="3"/>
  <c r="E422" i="3"/>
  <c r="N6" i="3"/>
  <c r="E476" i="3"/>
  <c r="AO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297" i="3"/>
  <c r="G16" i="1"/>
  <c r="J12" i="39" s="1"/>
  <c r="M7" i="15"/>
  <c r="J6" i="15" s="1"/>
  <c r="J5" i="15" s="1"/>
  <c r="C6" i="15"/>
  <c r="F49" i="15"/>
  <c r="C48" i="15" s="1"/>
  <c r="F70" i="15"/>
  <c r="M8" i="1"/>
  <c r="M7" i="1"/>
  <c r="Q16" i="1"/>
  <c r="H16" i="1"/>
  <c r="K16" i="1"/>
  <c r="M21" i="6"/>
  <c r="I21" i="6" s="1"/>
  <c r="S21" i="6" s="1"/>
  <c r="S8" i="1"/>
  <c r="C16" i="12"/>
  <c r="D19" i="12"/>
  <c r="C19" i="12" s="1"/>
  <c r="C8" i="66"/>
  <c r="C7" i="66"/>
  <c r="S16" i="1"/>
  <c r="T7" i="1" s="1"/>
  <c r="I19" i="6"/>
  <c r="F33" i="33"/>
  <c r="D22" i="12"/>
  <c r="C22" i="12" s="1"/>
  <c r="C20" i="12" s="1"/>
  <c r="D13" i="11"/>
  <c r="C13" i="11" s="1"/>
  <c r="C115" i="46"/>
  <c r="D113" i="46" s="1"/>
  <c r="T48" i="21"/>
  <c r="G48" i="21" s="1"/>
  <c r="AC32" i="21"/>
  <c r="W32" i="21"/>
  <c r="AA32" i="21"/>
  <c r="R48" i="21" s="1"/>
  <c r="S32" i="21"/>
  <c r="V48" i="21"/>
  <c r="I48" i="21" s="1"/>
  <c r="I52" i="21" s="1"/>
  <c r="J52" i="21" s="1"/>
  <c r="G52" i="21"/>
  <c r="H52" i="21" s="1"/>
  <c r="G42" i="35"/>
  <c r="H42" i="35" s="1"/>
  <c r="G46" i="37"/>
  <c r="H46" i="37" s="1"/>
  <c r="G47" i="37"/>
  <c r="H47" i="37" s="1"/>
  <c r="H7" i="33"/>
  <c r="R39" i="35"/>
  <c r="E38" i="35"/>
  <c r="E38" i="46"/>
  <c r="G38" i="46"/>
  <c r="I38" i="46" s="1"/>
  <c r="E34" i="46"/>
  <c r="G34" i="46"/>
  <c r="I34" i="46" s="1"/>
  <c r="E37" i="46"/>
  <c r="G37" i="46"/>
  <c r="I37" i="46" s="1"/>
  <c r="G33" i="46"/>
  <c r="I33" i="46" s="1"/>
  <c r="E33" i="46"/>
  <c r="AC7" i="35"/>
  <c r="V38" i="35" s="1"/>
  <c r="I38" i="35" s="1"/>
  <c r="W7" i="35"/>
  <c r="E42" i="37"/>
  <c r="R43" i="37"/>
  <c r="AB7" i="34"/>
  <c r="T49" i="34" s="1"/>
  <c r="G49" i="34" s="1"/>
  <c r="U7" i="34"/>
  <c r="I46" i="37"/>
  <c r="J46" i="37" s="1"/>
  <c r="I47" i="37"/>
  <c r="J47" i="37" s="1"/>
  <c r="S7" i="34"/>
  <c r="AA7" i="34"/>
  <c r="R49" i="34" s="1"/>
  <c r="L72" i="39"/>
  <c r="M70" i="39"/>
  <c r="W7" i="34"/>
  <c r="AC7" i="34"/>
  <c r="V49" i="34" s="1"/>
  <c r="I49" i="34" s="1"/>
  <c r="E36" i="46"/>
  <c r="G36" i="46"/>
  <c r="I36" i="46" s="1"/>
  <c r="E35" i="46"/>
  <c r="G35" i="46"/>
  <c r="I35" i="46" s="1"/>
  <c r="C30" i="46"/>
  <c r="E30" i="46" s="1"/>
  <c r="E29" i="46"/>
  <c r="H46" i="36"/>
  <c r="J7" i="33"/>
  <c r="E67" i="40"/>
  <c r="F65" i="40"/>
  <c r="F7" i="33"/>
  <c r="J26" i="44"/>
  <c r="J20" i="44"/>
  <c r="J28" i="44"/>
  <c r="J31" i="44" s="1"/>
  <c r="C40" i="44"/>
  <c r="C34" i="44"/>
  <c r="C10" i="15"/>
  <c r="C52" i="15"/>
  <c r="C17" i="15"/>
  <c r="C16" i="15"/>
  <c r="F41" i="15"/>
  <c r="L52" i="44"/>
  <c r="F7" i="67"/>
  <c r="C5" i="15" l="1"/>
  <c r="C38" i="15" s="1"/>
  <c r="H33" i="33"/>
  <c r="U33" i="33" s="1"/>
  <c r="M27" i="6"/>
  <c r="K27" i="6"/>
  <c r="E63" i="40"/>
  <c r="D21" i="6"/>
  <c r="D10" i="6"/>
  <c r="H24" i="6"/>
  <c r="D23" i="6"/>
  <c r="D28" i="6"/>
  <c r="D8" i="6"/>
  <c r="F45" i="9"/>
  <c r="D24" i="6"/>
  <c r="D22" i="6"/>
  <c r="R22" i="6" s="1"/>
  <c r="D12" i="6"/>
  <c r="H25" i="6"/>
  <c r="R25" i="6" s="1"/>
  <c r="D5" i="6"/>
  <c r="H22" i="6"/>
  <c r="H26" i="6"/>
  <c r="F46" i="9"/>
  <c r="K38" i="9"/>
  <c r="C14" i="66" s="1"/>
  <c r="B2" i="66" s="1"/>
  <c r="D19" i="6"/>
  <c r="D25" i="6"/>
  <c r="D13" i="6"/>
  <c r="D6" i="6"/>
  <c r="D14" i="6"/>
  <c r="D20" i="6"/>
  <c r="H23" i="6"/>
  <c r="R23" i="6" s="1"/>
  <c r="C22" i="4"/>
  <c r="D26" i="6"/>
  <c r="D11" i="6"/>
  <c r="H20" i="6"/>
  <c r="D9" i="6"/>
  <c r="D29" i="6"/>
  <c r="D15" i="6"/>
  <c r="E45" i="9"/>
  <c r="E46" i="9"/>
  <c r="AY144" i="3"/>
  <c r="AY74" i="3"/>
  <c r="AY73" i="3"/>
  <c r="AY53" i="3"/>
  <c r="AY537"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30" i="3"/>
  <c r="AY97" i="3"/>
  <c r="AY198" i="3"/>
  <c r="AY77" i="3"/>
  <c r="AY158" i="3"/>
  <c r="AY290" i="3"/>
  <c r="AY443" i="3"/>
  <c r="AY46" i="3"/>
  <c r="AY219" i="3"/>
  <c r="AY569" i="3"/>
  <c r="AY148" i="3"/>
  <c r="AY371" i="3"/>
  <c r="BA6" i="3"/>
  <c r="AY283" i="3"/>
  <c r="AY446" i="3"/>
  <c r="AY380" i="3"/>
  <c r="AY211" i="3"/>
  <c r="AY457" i="3"/>
  <c r="AY412" i="3"/>
  <c r="BC6" i="3"/>
  <c r="AY82" i="3"/>
  <c r="AY128" i="3"/>
  <c r="AY246" i="3"/>
  <c r="AY408" i="3"/>
  <c r="AY374" i="3"/>
  <c r="AY183" i="3"/>
  <c r="AY25" i="3"/>
  <c r="AY197" i="3"/>
  <c r="AY321" i="3"/>
  <c r="AY406" i="3"/>
  <c r="BH6" i="3"/>
  <c r="AY493" i="3"/>
  <c r="AY86" i="3"/>
  <c r="AY24" i="3"/>
  <c r="AY431" i="3"/>
  <c r="AY239" i="3"/>
  <c r="AY500" i="3"/>
  <c r="AY107" i="3"/>
  <c r="AY458" i="3"/>
  <c r="AY152" i="3"/>
  <c r="AY489" i="3"/>
  <c r="AY546" i="3"/>
  <c r="AY242" i="3"/>
  <c r="AY417" i="3"/>
  <c r="AY287" i="3"/>
  <c r="AY163" i="3"/>
  <c r="AY385" i="3"/>
  <c r="AY492" i="3"/>
  <c r="AY15" i="3"/>
  <c r="AY355" i="3"/>
  <c r="AY13" i="3"/>
  <c r="AY103" i="3"/>
  <c r="AY21" i="3"/>
  <c r="AY52" i="3"/>
  <c r="AY191" i="3"/>
  <c r="AY204" i="3"/>
  <c r="AY92" i="3"/>
  <c r="AY31" i="3"/>
  <c r="AY118" i="3"/>
  <c r="AY234" i="3"/>
  <c r="AY209" i="3"/>
  <c r="AY317" i="3"/>
  <c r="AY416" i="3"/>
  <c r="AY402" i="3"/>
  <c r="AY55" i="3"/>
  <c r="AY181" i="3"/>
  <c r="AY250" i="3"/>
  <c r="AY343" i="3"/>
  <c r="AY560" i="3"/>
  <c r="AY65" i="3"/>
  <c r="AY141" i="3"/>
  <c r="AY265" i="3"/>
  <c r="AY350" i="3"/>
  <c r="AY50" i="3"/>
  <c r="AY346" i="3"/>
  <c r="AY161" i="3"/>
  <c r="AY101" i="3"/>
  <c r="AY305" i="3"/>
  <c r="AY109" i="3"/>
  <c r="AY34" i="3"/>
  <c r="AY309" i="3"/>
  <c r="AY176" i="3"/>
  <c r="AY44" i="3"/>
  <c r="AY318" i="3"/>
  <c r="AY561" i="3"/>
  <c r="AY22" i="3"/>
  <c r="AY438" i="3"/>
  <c r="AY336" i="3"/>
  <c r="AY36" i="3"/>
  <c r="AY117" i="3"/>
  <c r="AY337" i="3"/>
  <c r="AY76" i="3"/>
  <c r="AY221" i="3"/>
  <c r="AY320" i="3"/>
  <c r="AY268" i="3"/>
  <c r="AY407" i="3"/>
  <c r="AY140" i="3"/>
  <c r="AY461" i="3"/>
  <c r="AY66" i="3"/>
  <c r="AY186" i="3"/>
  <c r="AY222" i="3"/>
  <c r="AY540" i="3"/>
  <c r="AY505"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486" i="3"/>
  <c r="AY67" i="3"/>
  <c r="AY159" i="3"/>
  <c r="AY105" i="3"/>
  <c r="AY293" i="3"/>
  <c r="AY386" i="3"/>
  <c r="AY411" i="3"/>
  <c r="AY187" i="3"/>
  <c r="AY271" i="3"/>
  <c r="AY445" i="3"/>
  <c r="AY200" i="3"/>
  <c r="AY335" i="3"/>
  <c r="AY111" i="3"/>
  <c r="AY224" i="3"/>
  <c r="AY85" i="3"/>
  <c r="AY369" i="3"/>
  <c r="AY229" i="3"/>
  <c r="AY437" i="3"/>
  <c r="AY465" i="3"/>
  <c r="AY544" i="3"/>
  <c r="AY201" i="3"/>
  <c r="AY253" i="3"/>
  <c r="AY543" i="3"/>
  <c r="AY352" i="3"/>
  <c r="AY330" i="3"/>
  <c r="AY35" i="3"/>
  <c r="AY91" i="3"/>
  <c r="AY124" i="3"/>
  <c r="AY449" i="3"/>
  <c r="AY525" i="3"/>
  <c r="AY273" i="3"/>
  <c r="AY428" i="3"/>
  <c r="AY310" i="3"/>
  <c r="AY459" i="3"/>
  <c r="AY226" i="3"/>
  <c r="AY400" i="3"/>
  <c r="AY340" i="3"/>
  <c r="AY272" i="3"/>
  <c r="AY87" i="3"/>
  <c r="AY142" i="3"/>
  <c r="AY218" i="3"/>
  <c r="AY392" i="3"/>
  <c r="AY356" i="3"/>
  <c r="AY288" i="3"/>
  <c r="AY147" i="3"/>
  <c r="AY162" i="3"/>
  <c r="AY562" i="3"/>
  <c r="AY278" i="3"/>
  <c r="AY41" i="3"/>
  <c r="AY333" i="3"/>
  <c r="AY123" i="3"/>
  <c r="AY341" i="3"/>
  <c r="AY396" i="3"/>
  <c r="AY193" i="3"/>
  <c r="AY27" i="3"/>
  <c r="BN6" i="3"/>
  <c r="AY552" i="3"/>
  <c r="AY527" i="3"/>
  <c r="AY519" i="3"/>
  <c r="AY325" i="3"/>
  <c r="BF6" i="3"/>
  <c r="AY390" i="3"/>
  <c r="AY484"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80" i="3"/>
  <c r="AY58" i="3"/>
  <c r="AY179" i="3"/>
  <c r="AY274" i="3"/>
  <c r="AY275" i="3"/>
  <c r="AY556" i="3"/>
  <c r="AY414" i="3"/>
  <c r="AY114" i="3"/>
  <c r="AY304" i="3"/>
  <c r="AY38" i="3"/>
  <c r="AY227" i="3"/>
  <c r="AY558" i="3"/>
  <c r="AY120" i="3"/>
  <c r="AY424" i="3"/>
  <c r="AY266" i="3"/>
  <c r="AY156" i="3"/>
  <c r="AY14" i="3"/>
  <c r="AY430" i="3"/>
  <c r="AY378" i="3"/>
  <c r="AY314" i="3"/>
  <c r="AY43" i="3"/>
  <c r="AY157" i="3"/>
  <c r="AY572" i="3"/>
  <c r="AY308" i="3"/>
  <c r="AY501" i="3"/>
  <c r="AY528" i="3"/>
  <c r="AY99" i="3"/>
  <c r="AY236" i="3"/>
  <c r="AY481" i="3"/>
  <c r="AY516"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454" i="3"/>
  <c r="AY499" i="3"/>
  <c r="AY391" i="3"/>
  <c r="AY507" i="3"/>
  <c r="AY260" i="3"/>
  <c r="AY423" i="3"/>
  <c r="AY228" i="3"/>
  <c r="AY18" i="3"/>
  <c r="AY207"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63" i="3"/>
  <c r="AY524" i="3"/>
  <c r="AY231" i="3"/>
  <c r="AY300" i="3"/>
  <c r="AY554" i="3"/>
  <c r="AY539" i="3"/>
  <c r="AY532" i="3"/>
  <c r="AY564" i="3"/>
  <c r="F12" i="39"/>
  <c r="AC6" i="3"/>
  <c r="E6" i="3" s="1"/>
  <c r="F68" i="15"/>
  <c r="C27" i="46"/>
  <c r="C47" i="15"/>
  <c r="C65" i="15" s="1"/>
  <c r="J18" i="15"/>
  <c r="J26" i="15"/>
  <c r="J29" i="15" s="1"/>
  <c r="J24" i="15"/>
  <c r="H12" i="40"/>
  <c r="F12" i="40"/>
  <c r="AC12" i="39"/>
  <c r="W12" i="39"/>
  <c r="J12" i="40"/>
  <c r="H12" i="39"/>
  <c r="D30" i="6"/>
  <c r="H21" i="6"/>
  <c r="R21" i="6" s="1"/>
  <c r="R8" i="1" s="1"/>
  <c r="O8" i="1"/>
  <c r="P8" i="1"/>
  <c r="T6" i="1"/>
  <c r="F33" i="12"/>
  <c r="C34" i="12" s="1"/>
  <c r="D33" i="12" s="1"/>
  <c r="F18" i="11"/>
  <c r="C18" i="11" s="1"/>
  <c r="C19" i="11" s="1"/>
  <c r="C20" i="11" s="1"/>
  <c r="C21" i="11" s="1"/>
  <c r="C22" i="11" s="1"/>
  <c r="C23" i="11" s="1"/>
  <c r="B2" i="11" s="1"/>
  <c r="B3" i="11" s="1"/>
  <c r="F24" i="43"/>
  <c r="C26" i="43" s="1"/>
  <c r="D24" i="43" s="1"/>
  <c r="O7" i="1"/>
  <c r="M16" i="1"/>
  <c r="AA33" i="33"/>
  <c r="S33" i="33"/>
  <c r="S19" i="6"/>
  <c r="S27" i="6" s="1"/>
  <c r="I27" i="6"/>
  <c r="AB33" i="33"/>
  <c r="AC33" i="33"/>
  <c r="W33" i="33"/>
  <c r="T13" i="1"/>
  <c r="T10" i="1"/>
  <c r="T11" i="1"/>
  <c r="T9" i="1"/>
  <c r="T12" i="1"/>
  <c r="T8" i="1"/>
  <c r="R26" i="6"/>
  <c r="A6" i="64"/>
  <c r="A20" i="64"/>
  <c r="A20" i="51"/>
  <c r="B15" i="63" s="1"/>
  <c r="N5" i="54"/>
  <c r="B43" i="63" s="1"/>
  <c r="A6" i="51"/>
  <c r="B7" i="63" s="1"/>
  <c r="R20" i="6"/>
  <c r="R7" i="1" s="1"/>
  <c r="H19" i="6"/>
  <c r="D7" i="66"/>
  <c r="D8" i="66"/>
  <c r="D16" i="6"/>
  <c r="D27" i="6"/>
  <c r="D31" i="6" s="1"/>
  <c r="G53" i="21"/>
  <c r="H53" i="21" s="1"/>
  <c r="E48" i="21"/>
  <c r="R49" i="21"/>
  <c r="E4" i="67"/>
  <c r="AA7" i="33"/>
  <c r="R48" i="33" s="1"/>
  <c r="S7" i="33"/>
  <c r="C26" i="46"/>
  <c r="I53" i="34"/>
  <c r="J53" i="34" s="1"/>
  <c r="G53" i="34"/>
  <c r="H53" i="34" s="1"/>
  <c r="G54" i="34"/>
  <c r="H54" i="34" s="1"/>
  <c r="E46" i="37"/>
  <c r="F46" i="37" s="1"/>
  <c r="E47" i="37"/>
  <c r="F47" i="37" s="1"/>
  <c r="I42" i="35"/>
  <c r="J42" i="35" s="1"/>
  <c r="I43" i="35"/>
  <c r="J43" i="35" s="1"/>
  <c r="C39" i="35"/>
  <c r="B3" i="35" s="1"/>
  <c r="B2" i="35" s="1"/>
  <c r="C38" i="35"/>
  <c r="G65" i="40"/>
  <c r="F67" i="40"/>
  <c r="AC7" i="33"/>
  <c r="W7" i="33"/>
  <c r="I46" i="36"/>
  <c r="N70" i="39"/>
  <c r="N72" i="39" s="1"/>
  <c r="H9" i="39" s="1"/>
  <c r="M72" i="39"/>
  <c r="F9" i="39" s="1"/>
  <c r="R50" i="34"/>
  <c r="E49" i="34"/>
  <c r="C42" i="37"/>
  <c r="C43" i="37"/>
  <c r="B3" i="37" s="1"/>
  <c r="B2" i="37" s="1"/>
  <c r="E43" i="35"/>
  <c r="F43" i="35" s="1"/>
  <c r="E42" i="35"/>
  <c r="F42" i="35" s="1"/>
  <c r="AB7" i="33"/>
  <c r="T48" i="33" s="1"/>
  <c r="G48" i="33" s="1"/>
  <c r="U7" i="33"/>
  <c r="G43" i="35"/>
  <c r="H43" i="35" s="1"/>
  <c r="Q69" i="44"/>
  <c r="L58" i="44"/>
  <c r="L61" i="44" s="1"/>
  <c r="C32" i="15"/>
  <c r="Q49" i="44"/>
  <c r="Q55" i="44" s="1"/>
  <c r="Q58" i="44"/>
  <c r="Q67" i="44"/>
  <c r="F35" i="15"/>
  <c r="C14" i="15"/>
  <c r="C16" i="44"/>
  <c r="E7" i="67"/>
  <c r="M21" i="15"/>
  <c r="B4" i="11" l="1"/>
  <c r="R24" i="6"/>
  <c r="S12" i="39"/>
  <c r="AA12" i="39"/>
  <c r="B5" i="11"/>
  <c r="C59" i="15"/>
  <c r="S12" i="40"/>
  <c r="AA12" i="40"/>
  <c r="U12" i="40"/>
  <c r="AB12" i="40"/>
  <c r="W12" i="40"/>
  <c r="AC12" i="40"/>
  <c r="V48" i="33"/>
  <c r="I48" i="33" s="1"/>
  <c r="G53" i="33" s="1"/>
  <c r="H53" i="33" s="1"/>
  <c r="H27" i="6"/>
  <c r="AB12" i="39"/>
  <c r="U12" i="39"/>
  <c r="R19" i="6"/>
  <c r="R6" i="1" s="1"/>
  <c r="R16" i="1" s="1"/>
  <c r="T16" i="1"/>
  <c r="L16" i="1"/>
  <c r="C13" i="43"/>
  <c r="N16" i="1"/>
  <c r="C29" i="43" s="1"/>
  <c r="P7" i="1"/>
  <c r="P16" i="1" s="1"/>
  <c r="C13" i="12" s="1"/>
  <c r="O16" i="1"/>
  <c r="J20" i="15"/>
  <c r="C34" i="15"/>
  <c r="F62" i="15"/>
  <c r="C61" i="15" s="1"/>
  <c r="C15" i="15"/>
  <c r="C18" i="15"/>
  <c r="C20" i="44"/>
  <c r="C17" i="44"/>
  <c r="I6" i="6"/>
  <c r="I7" i="6" s="1"/>
  <c r="I5" i="6"/>
  <c r="E53" i="21"/>
  <c r="F53" i="21" s="1"/>
  <c r="E52" i="21"/>
  <c r="F52" i="21" s="1"/>
  <c r="I53" i="21"/>
  <c r="J53" i="21" s="1"/>
  <c r="C48" i="21"/>
  <c r="C49" i="21"/>
  <c r="E3" i="67"/>
  <c r="S9" i="39"/>
  <c r="AA9" i="39"/>
  <c r="R49" i="39" s="1"/>
  <c r="U9" i="39"/>
  <c r="AB9" i="39"/>
  <c r="E54" i="34"/>
  <c r="F54" i="34" s="1"/>
  <c r="E53" i="34"/>
  <c r="F53" i="34" s="1"/>
  <c r="J9" i="39"/>
  <c r="I54" i="34"/>
  <c r="J54" i="34" s="1"/>
  <c r="B2" i="46"/>
  <c r="G52" i="33"/>
  <c r="H52" i="33" s="1"/>
  <c r="C50" i="34"/>
  <c r="B3" i="34" s="1"/>
  <c r="B2" i="34" s="1"/>
  <c r="C49" i="34"/>
  <c r="J46" i="36"/>
  <c r="H65" i="40"/>
  <c r="G67" i="40"/>
  <c r="E48" i="33"/>
  <c r="I53" i="33" s="1"/>
  <c r="J53" i="33" s="1"/>
  <c r="Q68" i="44"/>
  <c r="Q77" i="44" s="1"/>
  <c r="Q59" i="44"/>
  <c r="Q64" i="44" s="1"/>
  <c r="B7" i="67"/>
  <c r="B3" i="21" l="1"/>
  <c r="B2" i="21" s="1"/>
  <c r="C8" i="12"/>
  <c r="C10" i="12" s="1"/>
  <c r="C21" i="44"/>
  <c r="I52" i="33"/>
  <c r="J52" i="33" s="1"/>
  <c r="R49" i="33"/>
  <c r="C49" i="33" s="1"/>
  <c r="T49" i="39"/>
  <c r="G49" i="39" s="1"/>
  <c r="G53" i="39" s="1"/>
  <c r="H53" i="39" s="1"/>
  <c r="R27" i="6"/>
  <c r="C19" i="15"/>
  <c r="C20" i="15" s="1"/>
  <c r="C26" i="15" s="1"/>
  <c r="C17" i="12"/>
  <c r="C14" i="12"/>
  <c r="C14" i="43"/>
  <c r="C17" i="43"/>
  <c r="C22" i="44"/>
  <c r="C25" i="44" s="1"/>
  <c r="B2" i="67"/>
  <c r="E52" i="33"/>
  <c r="F52" i="33" s="1"/>
  <c r="E53" i="33"/>
  <c r="F53" i="33" s="1"/>
  <c r="I65" i="40"/>
  <c r="H67" i="40"/>
  <c r="K46" i="36"/>
  <c r="D4" i="46"/>
  <c r="B4" i="46"/>
  <c r="B3" i="46"/>
  <c r="AC9" i="39"/>
  <c r="V49" i="39" s="1"/>
  <c r="I49" i="39" s="1"/>
  <c r="W9" i="39"/>
  <c r="C48" i="33"/>
  <c r="E49" i="39"/>
  <c r="C18" i="43" l="1"/>
  <c r="R50" i="39"/>
  <c r="C49" i="39" s="1"/>
  <c r="C19" i="43"/>
  <c r="C25" i="43" s="1"/>
  <c r="C24" i="43" s="1"/>
  <c r="C18" i="12"/>
  <c r="C23" i="12" s="1"/>
  <c r="B3" i="33"/>
  <c r="B2" i="33" s="1"/>
  <c r="D8" i="12"/>
  <c r="D10" i="12" s="1"/>
  <c r="C28" i="44"/>
  <c r="C31" i="44" s="1"/>
  <c r="C23" i="15"/>
  <c r="C29" i="15" s="1"/>
  <c r="I53" i="39"/>
  <c r="J53" i="39" s="1"/>
  <c r="I54" i="39"/>
  <c r="J54" i="39" s="1"/>
  <c r="E54" i="39"/>
  <c r="F54" i="39" s="1"/>
  <c r="E53" i="39"/>
  <c r="F53" i="39" s="1"/>
  <c r="G54" i="39"/>
  <c r="H54" i="39" s="1"/>
  <c r="L46" i="36"/>
  <c r="M46" i="36" s="1"/>
  <c r="N46" i="36" s="1"/>
  <c r="O46" i="36" s="1"/>
  <c r="F7" i="36"/>
  <c r="I67" i="40"/>
  <c r="J65" i="40"/>
  <c r="C50" i="39"/>
  <c r="B3" i="67"/>
  <c r="B4" i="67"/>
  <c r="C22" i="43" l="1"/>
  <c r="C21" i="43" s="1"/>
  <c r="C28" i="43" s="1"/>
  <c r="C30" i="43" s="1"/>
  <c r="C32" i="43" s="1"/>
  <c r="B2" i="43" s="1"/>
  <c r="C33" i="15"/>
  <c r="C31" i="15" s="1"/>
  <c r="C56" i="15"/>
  <c r="Q50" i="15"/>
  <c r="C36" i="15"/>
  <c r="J19" i="15"/>
  <c r="J17" i="15" s="1"/>
  <c r="C13" i="15"/>
  <c r="J14" i="15"/>
  <c r="C15" i="44"/>
  <c r="C35" i="44"/>
  <c r="C33" i="44" s="1"/>
  <c r="C38" i="44"/>
  <c r="Q51" i="44"/>
  <c r="J21" i="44"/>
  <c r="J19" i="44" s="1"/>
  <c r="J16" i="44"/>
  <c r="AA7" i="36"/>
  <c r="R36" i="36" s="1"/>
  <c r="S7" i="36"/>
  <c r="J7" i="36"/>
  <c r="H7" i="36"/>
  <c r="B64" i="39"/>
  <c r="F64" i="39" s="1"/>
  <c r="B65" i="39"/>
  <c r="F65" i="39" s="1"/>
  <c r="B58" i="39"/>
  <c r="F58" i="39" s="1"/>
  <c r="B62" i="39"/>
  <c r="F62" i="39" s="1"/>
  <c r="B67" i="39"/>
  <c r="F67" i="39" s="1"/>
  <c r="B66" i="39"/>
  <c r="F66" i="39" s="1"/>
  <c r="B61" i="39"/>
  <c r="F61" i="39" s="1"/>
  <c r="B59" i="39"/>
  <c r="F59" i="39" s="1"/>
  <c r="B63" i="39"/>
  <c r="F63" i="39" s="1"/>
  <c r="B60" i="39"/>
  <c r="F60" i="39" s="1"/>
  <c r="J67" i="40"/>
  <c r="K65" i="40"/>
  <c r="L57" i="15"/>
  <c r="L60" i="15" s="1"/>
  <c r="B3" i="43" l="1"/>
  <c r="B5" i="43"/>
  <c r="B4" i="43"/>
  <c r="J24" i="44"/>
  <c r="J15" i="44"/>
  <c r="J25" i="44" s="1"/>
  <c r="J22" i="15"/>
  <c r="J13" i="15"/>
  <c r="J23" i="15" s="1"/>
  <c r="C39" i="44"/>
  <c r="C32" i="44" s="1"/>
  <c r="C42" i="44" s="1"/>
  <c r="Q72" i="44"/>
  <c r="C43" i="44"/>
  <c r="C55" i="15"/>
  <c r="C64" i="15" s="1"/>
  <c r="C37" i="15"/>
  <c r="C30" i="15" s="1"/>
  <c r="C39" i="15" s="1"/>
  <c r="Q71" i="15"/>
  <c r="J35" i="15"/>
  <c r="J39" i="15" s="1"/>
  <c r="J40" i="15" s="1"/>
  <c r="C60" i="15"/>
  <c r="C58" i="15" s="1"/>
  <c r="C63" i="15"/>
  <c r="Q58" i="15"/>
  <c r="L46" i="15"/>
  <c r="F68" i="39"/>
  <c r="B2" i="39" s="1"/>
  <c r="K67" i="40"/>
  <c r="L65" i="40"/>
  <c r="AB7" i="36"/>
  <c r="T36" i="36" s="1"/>
  <c r="G36" i="36" s="1"/>
  <c r="U7" i="36"/>
  <c r="W7" i="36"/>
  <c r="AC7" i="36"/>
  <c r="V36" i="36" s="1"/>
  <c r="I36" i="36" s="1"/>
  <c r="E36" i="36"/>
  <c r="R37" i="36"/>
  <c r="Q67" i="15"/>
  <c r="C19" i="9"/>
  <c r="L51" i="15"/>
  <c r="J16" i="15" l="1"/>
  <c r="J25" i="15" s="1"/>
  <c r="Q68" i="15"/>
  <c r="Q71" i="44"/>
  <c r="Q70" i="44" s="1"/>
  <c r="C44" i="44"/>
  <c r="C45" i="44" s="1"/>
  <c r="B2" i="44" s="1"/>
  <c r="C57" i="15"/>
  <c r="C66" i="15" s="1"/>
  <c r="C67" i="15" s="1"/>
  <c r="C40" i="15"/>
  <c r="Q70" i="15"/>
  <c r="Q69" i="15" s="1"/>
  <c r="J18" i="44"/>
  <c r="J27" i="44" s="1"/>
  <c r="L43" i="9"/>
  <c r="E40" i="36"/>
  <c r="F40" i="36" s="1"/>
  <c r="E41" i="36"/>
  <c r="F41" i="36" s="1"/>
  <c r="G40" i="36"/>
  <c r="H40" i="36" s="1"/>
  <c r="G41" i="36"/>
  <c r="H41" i="36" s="1"/>
  <c r="C36" i="36"/>
  <c r="C37" i="36"/>
  <c r="B3" i="36" s="1"/>
  <c r="B2" i="36" s="1"/>
  <c r="I40" i="36"/>
  <c r="J40" i="36" s="1"/>
  <c r="I41" i="36"/>
  <c r="J41" i="36" s="1"/>
  <c r="M65" i="40"/>
  <c r="L67" i="40"/>
  <c r="B4" i="39"/>
  <c r="B3" i="39"/>
  <c r="B5" i="39"/>
  <c r="C21" i="9"/>
  <c r="C20" i="9"/>
  <c r="Q48" i="15" l="1"/>
  <c r="Q54" i="15" s="1"/>
  <c r="Q66" i="15"/>
  <c r="Q76" i="15" s="1"/>
  <c r="J42" i="15"/>
  <c r="J43" i="15" s="1"/>
  <c r="C43" i="15"/>
  <c r="E8" i="12" s="1"/>
  <c r="E10" i="12" s="1"/>
  <c r="C6" i="12" s="1"/>
  <c r="Q57" i="15"/>
  <c r="Q63" i="15" s="1"/>
  <c r="B2" i="15"/>
  <c r="B3" i="15" s="1"/>
  <c r="C70" i="15"/>
  <c r="C46" i="15"/>
  <c r="B4" i="44"/>
  <c r="B5" i="44"/>
  <c r="B3" i="44"/>
  <c r="N65" i="40"/>
  <c r="N67" i="40" s="1"/>
  <c r="M67" i="40"/>
  <c r="C24" i="12" l="1"/>
  <c r="C29" i="12"/>
  <c r="H9" i="40"/>
  <c r="F9" i="40"/>
  <c r="J9" i="40"/>
  <c r="C35" i="12" l="1"/>
  <c r="C33" i="12" s="1"/>
  <c r="C28" i="12"/>
  <c r="C26" i="12" s="1"/>
  <c r="C31" i="12" s="1"/>
  <c r="C30" i="12" s="1"/>
  <c r="AC9" i="40"/>
  <c r="V44" i="40" s="1"/>
  <c r="I44" i="40" s="1"/>
  <c r="W9" i="40"/>
  <c r="AA9" i="40"/>
  <c r="R44" i="40" s="1"/>
  <c r="S9" i="40"/>
  <c r="AB9" i="40"/>
  <c r="T44" i="40" s="1"/>
  <c r="G44" i="40" s="1"/>
  <c r="U9" i="40"/>
  <c r="C36" i="12" l="1"/>
  <c r="B2" i="12" s="1"/>
  <c r="G48" i="40"/>
  <c r="H48" i="40" s="1"/>
  <c r="G49" i="40"/>
  <c r="H49" i="40" s="1"/>
  <c r="E44" i="40"/>
  <c r="R45" i="40"/>
  <c r="I48" i="40"/>
  <c r="J48" i="40" s="1"/>
  <c r="I49" i="40"/>
  <c r="J49" i="40" s="1"/>
  <c r="D19" i="9"/>
  <c r="D22" i="9" l="1"/>
  <c r="L44" i="9"/>
  <c r="G19" i="9"/>
  <c r="D27" i="9" s="1"/>
  <c r="D28" i="9" s="1"/>
  <c r="B3" i="12"/>
  <c r="B4" i="12"/>
  <c r="B5" i="12"/>
  <c r="E49" i="40"/>
  <c r="F49" i="40" s="1"/>
  <c r="E48" i="40"/>
  <c r="F48" i="40" s="1"/>
  <c r="C44" i="40"/>
  <c r="C45" i="40"/>
  <c r="D20" i="9"/>
  <c r="D21" i="9"/>
  <c r="G21" i="9" l="1"/>
  <c r="G20" i="9"/>
  <c r="G22" i="9"/>
  <c r="C32" i="9"/>
  <c r="N43" i="9"/>
  <c r="B61" i="40"/>
  <c r="F61" i="40" s="1"/>
  <c r="B60" i="40"/>
  <c r="F60" i="40" s="1"/>
  <c r="B59" i="40"/>
  <c r="F59" i="40" s="1"/>
  <c r="B58" i="40"/>
  <c r="F58" i="40" s="1"/>
  <c r="F63" i="40"/>
  <c r="B2" i="40" s="1"/>
  <c r="B55" i="40"/>
  <c r="F55" i="40" s="1"/>
  <c r="B57" i="40"/>
  <c r="F57" i="40" s="1"/>
  <c r="B54" i="40"/>
  <c r="F54" i="40" s="1"/>
  <c r="B53" i="40"/>
  <c r="F53" i="40" s="1"/>
  <c r="B56" i="40"/>
  <c r="F56" i="40" s="1"/>
  <c r="B62" i="40"/>
  <c r="F62" i="40" s="1"/>
  <c r="C35" i="9" l="1"/>
  <c r="F42" i="9" s="1"/>
  <c r="C42" i="9"/>
  <c r="C33" i="9"/>
  <c r="O38" i="9"/>
  <c r="C34" i="9"/>
  <c r="O43" i="9"/>
  <c r="B3" i="40"/>
  <c r="B5" i="40"/>
  <c r="B4" i="40"/>
  <c r="K26" i="9" l="1"/>
  <c r="K25" i="9"/>
  <c r="C44" i="9"/>
  <c r="R5" i="54"/>
  <c r="B48" i="63" s="1"/>
  <c r="D14" i="66"/>
  <c r="N68" i="9"/>
  <c r="D63" i="9"/>
  <c r="E42" i="9"/>
  <c r="P5" i="54" s="1"/>
  <c r="B46" i="63" s="1"/>
  <c r="M38" i="9"/>
  <c r="K27" i="9" s="1"/>
  <c r="D42" i="9"/>
  <c r="Q5" i="54" s="1"/>
  <c r="B47" i="63" s="1"/>
  <c r="N38" i="9"/>
  <c r="K28" i="9" s="1"/>
  <c r="D71" i="9" l="1"/>
  <c r="D66" i="9" s="1"/>
  <c r="N72" i="9" s="1"/>
  <c r="D77" i="9"/>
  <c r="N75" i="9" s="1"/>
  <c r="D70" i="9"/>
  <c r="C82" i="9"/>
  <c r="C81" i="9" s="1"/>
  <c r="C85" i="9" s="1"/>
  <c r="C86" i="9" s="1"/>
  <c r="D72" i="9" s="1"/>
  <c r="C96" i="9"/>
  <c r="C91" i="9" s="1"/>
  <c r="C103" i="9"/>
  <c r="C90" i="9"/>
  <c r="C97" i="9" s="1"/>
  <c r="C111" i="9"/>
  <c r="C104" i="9" s="1"/>
  <c r="E14" i="66"/>
  <c r="F14" i="66"/>
  <c r="B5" i="66"/>
  <c r="F44" i="9"/>
  <c r="E44" i="9"/>
  <c r="N69" i="9"/>
  <c r="G14" i="66"/>
  <c r="B6" i="66" s="1"/>
  <c r="D44" i="9"/>
  <c r="O39" i="9"/>
  <c r="K29" i="9" l="1"/>
  <c r="K30" i="9" s="1"/>
  <c r="R6" i="54"/>
  <c r="B50" i="63" s="1"/>
  <c r="C6" i="66"/>
  <c r="D6" i="66"/>
  <c r="C5" i="66"/>
  <c r="D5" i="66"/>
  <c r="M84" i="9"/>
  <c r="N84" i="9" s="1"/>
  <c r="M86" i="9"/>
  <c r="N86" i="9" s="1"/>
  <c r="M83" i="9"/>
  <c r="N83" i="9" s="1"/>
  <c r="M87" i="9"/>
  <c r="N87" i="9" s="1"/>
  <c r="M85" i="9"/>
  <c r="N85" i="9" s="1"/>
  <c r="M88" i="9"/>
  <c r="N88" i="9" s="1"/>
  <c r="C113" i="9"/>
  <c r="C98" i="9"/>
  <c r="E98" i="9" s="1"/>
  <c r="E99" i="9" s="1"/>
  <c r="C99" i="9" l="1"/>
  <c r="C114" i="9"/>
  <c r="E114" i="9" s="1"/>
  <c r="E115" i="9" s="1"/>
  <c r="N89" i="9"/>
  <c r="O89" i="9" s="1"/>
  <c r="C115" i="9" l="1"/>
  <c r="D76" i="9" s="1"/>
  <c r="D74" i="9" s="1"/>
  <c r="N74" i="9" s="1"/>
  <c r="O77" i="9" s="1"/>
  <c r="Q77" i="9" l="1"/>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<sst xmlns="http://schemas.openxmlformats.org/spreadsheetml/2006/main" count="7501" uniqueCount="3284">
  <si>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</si>
  <si>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</si>
  <si>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</si>
  <si>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</si>
  <si>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</si>
  <si>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</si>
  <si>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</si>
  <si>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</si>
  <si>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</si>
  <si>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</si>
  <si>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</si>
  <si>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</si>
  <si>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</si>
  <si>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</si>
  <si>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</si>
  <si>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</si>
  <si>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</si>
  <si>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</si>
  <si>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</si>
  <si>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</si>
  <si>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</si>
  <si>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</si>
  <si>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</si>
  <si>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</si>
  <si>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</si>
  <si>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</si>
  <si>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</si>
  <si>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</si>
  <si>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</si>
  <si>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</si>
  <si>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</si>
  <si>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</si>
  <si>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</si>
  <si>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</si>
  <si>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</si>
  <si>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</si>
  <si>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</si>
  <si>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</si>
  <si>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</si>
  <si>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</si>
  <si>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</si>
  <si>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</si>
  <si>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</si>
  <si>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</si>
  <si>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</si>
  <si>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</si>
  <si>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</si>
  <si>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</si>
  <si>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</si>
  <si>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</si>
  <si>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</si>
  <si>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</si>
  <si>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</si>
  <si>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</si>
  <si>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</si>
  <si>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</si>
  <si>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</si>
  <si>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</si>
  <si>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</si>
  <si>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</si>
  <si>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</si>
  <si>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</si>
  <si>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</si>
  <si>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</si>
  <si>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</si>
  <si>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</si>
  <si>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</si>
  <si>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</si>
  <si>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</si>
  <si>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</si>
  <si>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</si>
  <si>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</si>
  <si>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</si>
  <si>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</si>
  <si>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</si>
  <si>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</si>
  <si>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</si>
  <si>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</si>
  <si>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</si>
  <si>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</si>
  <si>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</si>
  <si>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</si>
  <si>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</si>
  <si>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</si>
  <si>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</si>
  <si>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</si>
  <si>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</si>
  <si>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</si>
  <si>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</si>
  <si>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</si>
  <si>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</si>
  <si>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</si>
  <si>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</si>
  <si>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</si>
  <si>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</si>
  <si>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</si>
  <si>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</si>
  <si>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</si>
  <si>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</si>
  <si>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</si>
  <si>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</si>
  <si>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</si>
  <si>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</si>
  <si>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</si>
  <si>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</si>
  <si>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</si>
  <si>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</si>
  <si>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</si>
  <si>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</si>
  <si>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</si>
  <si>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</si>
  <si>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</si>
  <si>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</si>
  <si>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</si>
  <si>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</si>
  <si>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</si>
  <si>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</si>
  <si>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</si>
  <si>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</si>
  <si>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</si>
  <si>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</si>
  <si>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</si>
  <si>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</si>
  <si>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</si>
  <si>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</si>
  <si>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</si>
  <si>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</si>
  <si>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</si>
  <si>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</si>
  <si>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</si>
  <si>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</si>
  <si>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</si>
  <si>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</si>
  <si>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</si>
  <si>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</si>
  <si>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</si>
  <si>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</si>
  <si>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</si>
  <si>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</si>
  <si>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</si>
  <si>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</si>
  <si>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</si>
  <si>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</si>
  <si>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</si>
  <si>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</si>
  <si>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</si>
  <si>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</si>
  <si>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</si>
  <si>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</si>
  <si>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</si>
  <si>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</si>
  <si>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</si>
  <si>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</si>
  <si>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</si>
  <si>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</si>
  <si>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</si>
  <si>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</si>
  <si>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</si>
  <si>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</si>
  <si>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</si>
  <si>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</si>
  <si>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</si>
  <si>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</si>
  <si>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</si>
  <si>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</si>
  <si>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</si>
  <si>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</si>
  <si>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</si>
  <si>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</si>
  <si>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</si>
  <si>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</si>
  <si>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</si>
  <si>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</si>
  <si>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</si>
  <si>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</si>
  <si>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</si>
  <si>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</si>
  <si>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</si>
  <si>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</si>
  <si>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</si>
  <si>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</si>
  <si>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</si>
  <si>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</si>
  <si>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</si>
  <si>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</si>
  <si>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</si>
  <si>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</si>
  <si>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</si>
  <si>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</si>
  <si>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</si>
  <si>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</si>
  <si>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</si>
  <si>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</si>
  <si>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</si>
  <si>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</si>
  <si>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</si>
  <si>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</si>
  <si>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</si>
  <si>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</si>
  <si>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</si>
  <si>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</si>
  <si>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</si>
  <si>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</si>
  <si>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</si>
  <si>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</si>
  <si>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</si>
  <si>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</si>
  <si>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</si>
  <si>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</si>
  <si>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</si>
  <si>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</si>
  <si>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</si>
  <si>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</si>
  <si>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</si>
  <si>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</si>
  <si>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</si>
  <si>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</si>
  <si>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</si>
  <si>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</si>
  <si>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</si>
  <si>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</si>
  <si>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</si>
  <si>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</si>
  <si>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</si>
  <si>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</si>
  <si>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</si>
  <si>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</si>
  <si>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</si>
  <si>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</si>
  <si>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</si>
  <si>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</si>
  <si>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</si>
  <si>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</si>
  <si>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</si>
  <si>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</si>
  <si>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</si>
  <si>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</si>
  <si>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</si>
  <si>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</si>
  <si>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</si>
  <si>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</si>
  <si>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</si>
  <si>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</si>
  <si>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</si>
  <si>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</si>
  <si>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</si>
  <si>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</si>
  <si>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</si>
  <si>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</si>
  <si>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</si>
  <si>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</si>
  <si>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</si>
  <si>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</si>
  <si>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</si>
  <si>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</si>
  <si>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</si>
  <si>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</si>
  <si>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</si>
  <si>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</si>
  <si>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</si>
  <si>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</si>
  <si>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</si>
  <si>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</si>
  <si>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</si>
  <si>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</si>
  <si>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</si>
  <si>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</si>
  <si>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</si>
  <si>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</si>
  <si>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</si>
  <si>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</si>
  <si>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</si>
  <si>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</si>
  <si>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</si>
  <si>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</si>
  <si>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</si>
  <si>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</si>
  <si>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</si>
  <si>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</si>
  <si>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</si>
  <si>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</si>
  <si>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</si>
  <si>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</si>
  <si>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</si>
  <si>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</si>
  <si>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</si>
  <si>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</si>
  <si>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</si>
  <si>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</si>
  <si>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</si>
  <si>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</si>
  <si>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</si>
  <si>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</si>
  <si>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</si>
  <si>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</si>
  <si>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</si>
  <si>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</si>
  <si>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</si>
  <si>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</si>
  <si>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</si>
  <si>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</si>
  <si>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</si>
  <si>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</si>
  <si>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</si>
  <si>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</si>
  <si>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</si>
  <si>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</si>
  <si>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</si>
  <si>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</si>
  <si>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</si>
  <si>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</si>
  <si>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</si>
  <si>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</si>
  <si>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</si>
  <si>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</si>
  <si>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</si>
  <si>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</si>
  <si>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</si>
  <si>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</si>
  <si>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</si>
  <si>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</si>
  <si>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</si>
  <si>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</si>
  <si>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</si>
  <si>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</si>
  <si>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</si>
  <si>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</si>
  <si>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</si>
  <si>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</si>
  <si>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</si>
  <si>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</si>
  <si>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</si>
  <si>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</si>
  <si>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</si>
  <si>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</si>
  <si>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</si>
  <si>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</si>
  <si>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</si>
  <si>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</si>
  <si>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</si>
  <si>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</si>
  <si>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</si>
  <si>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</si>
  <si>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</si>
  <si>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</si>
  <si>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</si>
  <si>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</si>
  <si>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</si>
  <si>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</si>
  <si>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</si>
  <si>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</si>
  <si>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</si>
  <si>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</si>
  <si>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</si>
  <si>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</si>
  <si>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</si>
  <si>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</si>
  <si>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</si>
  <si>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</si>
  <si>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</si>
  <si>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</si>
  <si>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</si>
  <si>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</si>
  <si>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</si>
  <si>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</si>
  <si>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</si>
  <si>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</si>
  <si>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</si>
  <si>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</si>
  <si>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</si>
  <si>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</si>
  <si>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</si>
  <si>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</si>
  <si>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</si>
  <si>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</si>
  <si>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</si>
  <si>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</si>
  <si>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</si>
  <si>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</si>
  <si>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</si>
  <si>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</si>
  <si>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</si>
  <si>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</si>
  <si>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</si>
  <si>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</si>
  <si>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</si>
  <si>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</si>
  <si>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</si>
  <si>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</si>
  <si>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</si>
  <si>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</si>
  <si>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</si>
  <si>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</si>
  <si>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</si>
  <si>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</si>
  <si>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</si>
  <si>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</si>
  <si>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</si>
  <si>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</si>
  <si>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</si>
  <si>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</si>
  <si>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</si>
  <si>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</si>
  <si>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</si>
  <si>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</si>
  <si>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</si>
  <si>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</si>
  <si>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</si>
  <si>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</si>
  <si>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</si>
  <si>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</si>
  <si>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</si>
  <si>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</si>
  <si>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</si>
  <si>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</si>
  <si>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</si>
  <si>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</si>
  <si>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</si>
  <si>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</si>
  <si>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</si>
  <si>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</si>
  <si>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</si>
  <si>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</si>
  <si>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</si>
  <si>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</si>
  <si>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</si>
  <si>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</si>
  <si>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</si>
  <si>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</si>
  <si>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</si>
  <si>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</si>
  <si>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</si>
  <si>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</si>
  <si>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</si>
  <si>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</si>
  <si>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</si>
  <si>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</si>
  <si>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</si>
  <si>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</si>
  <si>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</si>
  <si>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</si>
  <si>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</si>
  <si>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</si>
  <si>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</si>
  <si>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</si>
  <si>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</si>
  <si>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</si>
  <si>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</si>
  <si>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</si>
  <si>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</si>
  <si>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</si>
  <si>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</si>
  <si>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</si>
  <si>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</si>
  <si>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</si>
  <si>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</si>
  <si>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</si>
  <si>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</si>
  <si>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</si>
  <si>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</si>
  <si>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</si>
  <si>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</si>
  <si>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</si>
  <si>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</si>
  <si>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</si>
  <si>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</si>
  <si>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</si>
  <si>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</si>
  <si>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</si>
  <si>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</si>
  <si>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</si>
  <si>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</si>
  <si>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</si>
  <si>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</si>
  <si>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</si>
  <si>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</si>
  <si>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</si>
  <si>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</si>
  <si>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</si>
  <si>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</si>
  <si>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</si>
  <si>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</si>
  <si>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</si>
  <si>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</si>
  <si>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</si>
  <si>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</si>
  <si>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</si>
  <si>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</si>
  <si>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</si>
  <si>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</si>
  <si>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</si>
  <si>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</si>
  <si>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</si>
  <si>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</si>
  <si>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</si>
  <si>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</si>
  <si>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</si>
  <si>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</si>
  <si>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</si>
  <si>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</si>
  <si>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</si>
  <si>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</si>
  <si>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</si>
  <si>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</si>
  <si>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</si>
  <si>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</si>
  <si>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</si>
  <si>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</si>
  <si>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</si>
  <si>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</si>
  <si>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</si>
  <si>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</si>
  <si>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</si>
  <si>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</si>
  <si>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</si>
  <si>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</si>
  <si>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</si>
  <si>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</si>
  <si>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</si>
  <si>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</si>
  <si>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</si>
  <si>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</si>
  <si>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</si>
  <si>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</si>
  <si>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</si>
  <si>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</si>
  <si>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</si>
  <si>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</si>
  <si>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</si>
  <si>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</si>
  <si>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</si>
  <si>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</si>
  <si>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</si>
  <si>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</si>
  <si>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</si>
  <si>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</si>
  <si>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</si>
  <si>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</si>
  <si>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</si>
  <si>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</si>
  <si>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</si>
  <si>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</si>
  <si>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</si>
  <si>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</si>
  <si>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</si>
  <si>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</si>
  <si>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</si>
  <si>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</si>
  <si>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</si>
  <si>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</si>
  <si>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</si>
  <si>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</si>
  <si>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</si>
  <si>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</si>
  <si>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</si>
  <si>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</si>
  <si>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</si>
  <si>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</si>
  <si>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</si>
  <si>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</si>
  <si>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</si>
  <si>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</si>
  <si>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</si>
  <si>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</si>
  <si>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</si>
  <si>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</si>
  <si>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</si>
  <si>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</si>
  <si>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</si>
  <si>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</si>
  <si>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</si>
  <si>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</si>
  <si>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</si>
  <si>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</si>
  <si>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</si>
  <si>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</si>
  <si>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</si>
  <si>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</si>
  <si>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</si>
  <si>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</si>
  <si>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</si>
  <si>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</si>
  <si>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</si>
  <si>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</si>
  <si>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</si>
  <si>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</si>
  <si>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</si>
  <si>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</si>
  <si>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</si>
  <si>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</si>
  <si>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</si>
  <si>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</si>
  <si>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</si>
  <si>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</si>
  <si>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</si>
  <si>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</si>
  <si>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</si>
  <si>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</si>
  <si>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</si>
  <si>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</si>
  <si>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</si>
  <si>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</si>
  <si>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</si>
  <si>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</si>
  <si>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</si>
  <si>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</si>
  <si>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</si>
  <si>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</si>
  <si>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</si>
  <si>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</si>
  <si>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</si>
  <si>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</si>
  <si>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</si>
  <si>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</si>
  <si>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</si>
  <si>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</si>
  <si>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</si>
  <si>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</si>
  <si>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</si>
  <si>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</si>
  <si>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</si>
  <si>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</si>
  <si>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</si>
  <si>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</si>
  <si>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</si>
  <si>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</si>
  <si>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</si>
  <si>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</si>
  <si>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</si>
  <si>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</si>
  <si>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</si>
  <si>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</si>
  <si>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</si>
  <si>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</si>
  <si>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</si>
  <si>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</si>
  <si>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</si>
  <si>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</si>
  <si>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</si>
  <si>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</si>
  <si>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</si>
  <si>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</si>
  <si>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</si>
  <si>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</si>
  <si>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</si>
  <si>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</si>
  <si>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</si>
  <si>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</si>
  <si>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</si>
  <si>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</si>
  <si>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</si>
  <si>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</si>
  <si>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</si>
  <si>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</si>
  <si>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</si>
  <si>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</si>
  <si>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</si>
  <si>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</si>
  <si>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</si>
  <si>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</si>
  <si>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</si>
  <si>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</si>
  <si>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</si>
  <si>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</si>
  <si>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</si>
  <si>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</si>
  <si>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</si>
  <si>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</si>
  <si>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</si>
  <si>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</si>
  <si>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</si>
  <si>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</si>
  <si>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</si>
  <si>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</si>
  <si>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</si>
  <si>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</si>
  <si>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</si>
  <si>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</si>
  <si>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</si>
  <si>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</si>
  <si>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</si>
  <si>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</si>
  <si>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</si>
  <si>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</si>
  <si>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</si>
  <si>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</si>
  <si>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</si>
  <si>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</si>
  <si>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</si>
  <si>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</si>
  <si>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</si>
  <si>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</si>
  <si>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</si>
  <si>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</si>
  <si>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</si>
  <si>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</si>
  <si>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</si>
  <si>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</si>
  <si>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</si>
  <si>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</si>
  <si>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</si>
  <si>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</si>
  <si>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</si>
  <si>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</si>
  <si>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</si>
  <si>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</si>
  <si>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</si>
  <si>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</si>
  <si>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</si>
  <si>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</si>
  <si>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</si>
  <si>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</si>
  <si>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</si>
  <si>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</si>
  <si>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</si>
  <si>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</si>
  <si>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</si>
  <si>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</si>
  <si>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</si>
  <si>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</si>
  <si>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</si>
  <si>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</si>
  <si>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</si>
  <si>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</si>
  <si>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</si>
  <si>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</si>
  <si>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</si>
  <si>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</si>
  <si>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</si>
  <si>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</si>
  <si>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</si>
  <si>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</si>
  <si>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</si>
  <si>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</si>
  <si>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</si>
  <si>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</si>
  <si>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</si>
  <si>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</si>
  <si>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</si>
  <si>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</si>
  <si>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</si>
  <si>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</si>
  <si>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</si>
  <si>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</si>
  <si>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</si>
  <si>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</si>
  <si>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</si>
  <si>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</si>
  <si>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</si>
  <si>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</si>
  <si>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</si>
  <si>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</si>
  <si>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</si>
  <si>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</si>
  <si>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</si>
  <si>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</si>
  <si>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</si>
  <si>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</si>
  <si>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</si>
  <si>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</si>
  <si>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</si>
  <si>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</si>
  <si>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</si>
  <si>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</si>
  <si>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</si>
  <si>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</si>
  <si>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</si>
  <si>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</si>
  <si>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</si>
  <si>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</si>
  <si>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</si>
  <si>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</si>
  <si>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</si>
  <si>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</si>
  <si>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</si>
  <si>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</si>
  <si>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</si>
  <si>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</si>
  <si>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</si>
  <si>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</si>
  <si>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</si>
  <si>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</si>
  <si>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</si>
  <si>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</si>
  <si>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</si>
  <si>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</si>
  <si>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</si>
  <si>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</si>
  <si>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</si>
  <si>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</si>
  <si>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</si>
  <si>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</si>
  <si>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</si>
  <si>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</si>
  <si>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</si>
  <si>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</si>
  <si>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</si>
  <si>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</si>
  <si>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</si>
  <si>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</si>
  <si>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</si>
  <si>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</si>
  <si>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</si>
  <si>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</si>
  <si>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</si>
  <si>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</si>
  <si>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</si>
  <si>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</si>
  <si>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</si>
  <si>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</si>
  <si>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</si>
  <si>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</si>
  <si>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</si>
  <si>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</si>
  <si>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</si>
  <si>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</si>
  <si>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</si>
  <si>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</si>
  <si>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</si>
  <si>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</si>
  <si>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</si>
  <si>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</si>
  <si>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</si>
  <si>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</si>
  <si>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</si>
  <si>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</si>
  <si>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</si>
  <si>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</si>
  <si>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</si>
  <si>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</si>
  <si>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</si>
  <si>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</si>
  <si>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</si>
  <si>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</si>
  <si>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</si>
  <si>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</si>
  <si>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</si>
  <si>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</si>
  <si>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</si>
  <si>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</si>
  <si>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</si>
  <si>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</si>
  <si>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</si>
  <si>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</si>
  <si>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</si>
  <si>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</si>
  <si>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</si>
  <si>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</si>
  <si>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</si>
  <si>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</si>
  <si>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</si>
  <si>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</si>
  <si>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</si>
  <si>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</si>
  <si>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</si>
  <si>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</si>
  <si>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</si>
  <si>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</si>
  <si>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</si>
  <si>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</si>
  <si>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</si>
  <si>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</si>
  <si>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</si>
  <si>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</si>
  <si>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</si>
  <si>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</si>
  <si>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</si>
  <si>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</si>
  <si>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</si>
  <si>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</si>
  <si>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</si>
  <si>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</si>
  <si>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</si>
  <si>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</si>
  <si>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</si>
  <si>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</si>
  <si>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</si>
  <si>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</si>
  <si>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</si>
  <si>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</si>
  <si>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</si>
  <si>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</si>
  <si>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</si>
  <si>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</si>
  <si>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</si>
  <si>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</si>
  <si>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</si>
  <si>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</si>
  <si>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</si>
  <si>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</si>
  <si>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</si>
  <si>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</si>
  <si>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</si>
  <si>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</si>
  <si>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</si>
  <si>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</si>
  <si>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</si>
  <si>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</si>
  <si>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</si>
  <si>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</si>
  <si>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</si>
  <si>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</si>
  <si>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</si>
  <si>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</si>
  <si>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</si>
  <si>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</si>
  <si>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</si>
  <si>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</si>
  <si>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</si>
  <si>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</si>
  <si>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</si>
  <si>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</si>
  <si>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</si>
  <si>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</si>
  <si>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</si>
  <si>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</si>
  <si>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</si>
  <si>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</si>
  <si>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</si>
  <si>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</si>
  <si>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</si>
  <si>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</si>
  <si>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</si>
  <si>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</si>
  <si>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</si>
  <si>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</si>
  <si>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</si>
  <si>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</si>
  <si>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</si>
  <si>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</si>
  <si>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</si>
  <si>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</si>
  <si>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</si>
  <si>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</si>
  <si>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</si>
  <si>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</si>
  <si>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</si>
  <si>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</si>
  <si>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</si>
  <si>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</si>
  <si>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</si>
  <si>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</si>
  <si>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</si>
  <si>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</si>
  <si>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</si>
  <si>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</si>
  <si>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</si>
  <si>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</si>
  <si>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</si>
  <si>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</si>
  <si>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</si>
  <si>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</si>
  <si>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</si>
  <si>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</si>
  <si>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</si>
  <si>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</si>
  <si>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</si>
  <si>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</si>
  <si>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</si>
  <si>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</si>
  <si>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</si>
  <si>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</si>
  <si>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</si>
  <si>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</si>
  <si>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</si>
  <si>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</si>
  <si>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</si>
  <si>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</si>
  <si>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</si>
  <si>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</si>
  <si>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</si>
  <si>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</si>
  <si>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</si>
  <si>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</si>
  <si>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</si>
  <si>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</si>
  <si>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</si>
  <si>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</si>
  <si>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</si>
  <si>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</si>
  <si>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</si>
  <si>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</si>
  <si>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</si>
  <si>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</si>
  <si>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</si>
  <si>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</si>
  <si>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</si>
  <si>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</si>
  <si>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</si>
  <si>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</si>
  <si>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</si>
  <si>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</si>
  <si>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</si>
  <si>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</si>
  <si>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</si>
  <si>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</si>
  <si>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</si>
  <si>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</si>
  <si>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</si>
  <si>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</si>
  <si>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</si>
  <si>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</si>
  <si>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</si>
  <si>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</si>
  <si>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</si>
  <si>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</si>
  <si>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</si>
  <si>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</si>
  <si>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</si>
  <si>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</si>
  <si>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</si>
  <si>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</si>
  <si>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</si>
  <si>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</si>
  <si>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</si>
  <si>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</si>
  <si>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</si>
  <si>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</si>
  <si>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</si>
  <si>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</si>
  <si>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</si>
  <si>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</si>
  <si>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</si>
  <si>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</si>
  <si>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</si>
  <si>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</si>
  <si>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</si>
  <si>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</si>
  <si>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</si>
  <si>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</si>
  <si>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</si>
  <si>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</si>
  <si>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</si>
  <si>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</si>
  <si>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</si>
  <si>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</si>
  <si>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</si>
  <si>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</si>
  <si>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</si>
  <si>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</si>
  <si>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</si>
  <si>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</si>
  <si>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</si>
  <si>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</si>
  <si>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</si>
  <si>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</si>
  <si>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</si>
  <si>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</si>
  <si>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</si>
  <si>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</si>
  <si>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</si>
  <si>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</si>
  <si>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</si>
  <si>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</si>
  <si>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</si>
  <si>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</si>
  <si>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</si>
  <si>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</si>
  <si>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</si>
  <si>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</si>
  <si>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</si>
  <si>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</si>
  <si>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</si>
  <si>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</si>
  <si>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</si>
  <si>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</si>
  <si>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</si>
  <si>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</si>
  <si>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</si>
  <si>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</si>
  <si>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</si>
  <si>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</si>
  <si>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</si>
  <si>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</si>
  <si>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</si>
  <si>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</si>
  <si>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</si>
  <si>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</si>
  <si>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</si>
  <si>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</si>
  <si>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</si>
  <si>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</si>
  <si>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</si>
  <si>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</si>
  <si>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</si>
  <si>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</si>
  <si>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</si>
  <si>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</si>
  <si>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</si>
  <si>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</si>
  <si>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</si>
  <si>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</si>
  <si>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</si>
  <si>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</si>
  <si>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</si>
  <si>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</si>
  <si>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</si>
  <si>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</si>
  <si>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</si>
  <si>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</si>
  <si>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</si>
  <si>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</si>
  <si>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</si>
  <si>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</si>
  <si>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</si>
  <si>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</si>
  <si>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</si>
  <si>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</si>
  <si>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</si>
  <si>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</si>
  <si>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</si>
  <si>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</si>
  <si>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</si>
  <si>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</si>
  <si>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</si>
  <si>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</si>
  <si>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</si>
  <si>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</si>
  <si>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</si>
  <si>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</si>
  <si>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</si>
  <si>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</si>
  <si>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</si>
  <si>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</si>
  <si>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</si>
  <si>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</si>
  <si>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</si>
  <si>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</si>
  <si>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</si>
  <si>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</si>
  <si>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</si>
  <si>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</si>
  <si>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</si>
  <si>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</si>
  <si>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</si>
  <si>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</si>
  <si>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</si>
  <si>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</si>
  <si>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</si>
  <si>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</si>
  <si>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</si>
  <si>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</si>
  <si>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</si>
  <si>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</si>
  <si>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</si>
  <si>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</si>
  <si>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</si>
  <si>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</si>
  <si>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</si>
  <si>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</si>
  <si>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</si>
  <si>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</si>
  <si>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</si>
  <si>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</si>
  <si>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</si>
  <si>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</si>
  <si>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</si>
  <si>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</si>
  <si>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</si>
  <si>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</si>
  <si>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</si>
  <si>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</si>
  <si>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</si>
  <si>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</si>
  <si>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</si>
  <si>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</si>
  <si>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</si>
  <si>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</si>
  <si>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</si>
  <si>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</si>
  <si>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</si>
  <si>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</si>
  <si>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</si>
  <si>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</si>
  <si>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</si>
  <si>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</si>
  <si>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</si>
  <si>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</si>
  <si>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</si>
  <si>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</si>
  <si>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</si>
  <si>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</si>
  <si>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</si>
  <si>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</si>
  <si>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</si>
  <si>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</si>
  <si>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</si>
  <si>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</si>
  <si>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</si>
  <si>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</si>
  <si>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</si>
  <si>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</si>
  <si>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</si>
  <si>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</si>
  <si>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</si>
  <si>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</si>
  <si>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</si>
  <si>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</si>
  <si>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</si>
  <si>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</si>
  <si>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</si>
  <si>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</si>
  <si>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</si>
  <si>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</si>
  <si>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</si>
  <si>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</si>
  <si>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</si>
  <si>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</si>
  <si>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</si>
  <si>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</si>
  <si>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</si>
  <si>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</si>
  <si>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</si>
  <si>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</si>
  <si>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</si>
  <si>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</si>
  <si>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</si>
  <si>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</si>
  <si>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</si>
  <si>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</si>
  <si>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</si>
  <si>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</si>
  <si>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</si>
  <si>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</si>
  <si>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</si>
  <si>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</si>
  <si>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</si>
  <si>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</si>
  <si>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</si>
  <si>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</si>
  <si>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</si>
  <si>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</si>
  <si>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</si>
  <si>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</si>
  <si>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</si>
  <si>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</si>
  <si>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</si>
  <si>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</si>
  <si>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</si>
  <si>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</si>
  <si>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</si>
  <si>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</si>
  <si>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</si>
  <si>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</si>
  <si>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</si>
  <si>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</si>
  <si>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</si>
  <si>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</si>
  <si>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</si>
  <si>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</si>
  <si>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</si>
  <si>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</si>
  <si>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</si>
  <si>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</si>
  <si>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</si>
  <si>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</si>
  <si>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</si>
  <si>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</si>
  <si>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</si>
  <si>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</si>
  <si>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</si>
  <si>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</si>
  <si>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</si>
  <si>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</si>
  <si>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</si>
  <si>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</si>
  <si>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</si>
  <si>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</si>
  <si>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</si>
  <si>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</si>
  <si>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</si>
  <si>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</si>
  <si>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</si>
  <si>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</si>
  <si>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</si>
  <si>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</si>
  <si>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</si>
  <si>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</si>
  <si>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</si>
  <si>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</si>
  <si>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</si>
  <si>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</si>
  <si>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</si>
  <si>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</si>
  <si>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</si>
  <si>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</si>
  <si>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</si>
  <si>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</si>
  <si>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</si>
  <si>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</si>
  <si>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</si>
  <si>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</si>
  <si>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</si>
  <si>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</si>
  <si>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</si>
  <si>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</si>
  <si>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</si>
  <si>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</si>
  <si>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</si>
  <si>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</si>
  <si>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</si>
  <si>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</si>
  <si>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</si>
  <si>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</si>
  <si>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</si>
  <si>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</si>
  <si>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</si>
  <si>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</si>
  <si>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</si>
  <si>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</si>
  <si>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</si>
  <si>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</si>
  <si>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</si>
  <si>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</si>
  <si>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</si>
  <si>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</si>
  <si>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</si>
  <si>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</si>
  <si>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</si>
  <si>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</si>
  <si>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</si>
  <si>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</si>
  <si>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</si>
  <si>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</si>
  <si>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</si>
  <si>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</si>
  <si>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</si>
  <si>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</si>
  <si>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</si>
  <si>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</si>
  <si>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</si>
  <si>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</si>
  <si>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</si>
  <si>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</si>
  <si>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</si>
  <si>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</si>
  <si>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</si>
  <si>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</si>
  <si>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</si>
  <si>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</si>
  <si>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</si>
  <si>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</si>
  <si>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</si>
  <si>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</si>
  <si>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</si>
  <si>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</si>
  <si>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</si>
  <si>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</si>
  <si>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</si>
  <si>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</si>
  <si>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</si>
  <si>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</si>
  <si>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</si>
  <si>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</si>
  <si>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</si>
  <si>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</si>
  <si>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</si>
  <si>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</si>
  <si>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</si>
  <si>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</si>
  <si>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</si>
  <si>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</si>
  <si>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</si>
  <si>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</si>
  <si>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</si>
  <si>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</si>
  <si>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</si>
  <si>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</si>
  <si>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</si>
  <si>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</si>
  <si>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</si>
  <si>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</si>
  <si>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</si>
  <si>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</si>
  <si>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</si>
  <si>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</si>
  <si>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</si>
  <si>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</si>
  <si>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</si>
  <si>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</si>
  <si>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</si>
  <si>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</si>
  <si>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</si>
  <si>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</si>
  <si>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</si>
  <si>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</si>
  <si>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</si>
  <si>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</si>
  <si>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</si>
  <si>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</si>
  <si>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</si>
  <si>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</si>
  <si>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</si>
  <si>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</si>
  <si>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</si>
  <si>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</si>
  <si>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</si>
  <si>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</si>
  <si>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</si>
  <si>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</si>
  <si>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</si>
  <si>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</si>
  <si>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</si>
  <si>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</si>
  <si>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</si>
  <si>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</si>
  <si>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</si>
  <si>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</si>
  <si>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</si>
  <si>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</si>
  <si>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</si>
  <si>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</si>
  <si>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</si>
  <si>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</si>
  <si>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</si>
  <si>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</si>
  <si>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</si>
  <si>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</si>
  <si>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</si>
  <si>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</si>
  <si>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</si>
  <si>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</si>
  <si>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</si>
  <si>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</si>
  <si>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</si>
  <si>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</si>
  <si>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</si>
  <si>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</si>
  <si>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</si>
  <si>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</si>
  <si>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</si>
  <si>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</si>
  <si>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</si>
  <si>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</si>
  <si>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</si>
  <si>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</si>
  <si>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</si>
  <si>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</si>
  <si>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</si>
  <si>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</si>
  <si>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</si>
  <si>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</si>
  <si>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</si>
  <si>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</si>
  <si>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</si>
  <si>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</si>
  <si>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</si>
  <si>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</si>
  <si>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</si>
  <si>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</si>
  <si>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</si>
  <si>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</si>
  <si>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</si>
  <si>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</si>
  <si>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</si>
  <si>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</si>
  <si>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</si>
  <si>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</si>
  <si>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</si>
  <si>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</si>
  <si>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</si>
  <si>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</si>
  <si>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</si>
  <si>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</si>
  <si>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</si>
  <si>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</si>
  <si>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</si>
  <si>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</si>
  <si>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</si>
  <si>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</si>
  <si>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</si>
  <si>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</si>
  <si>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</si>
  <si>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</si>
  <si>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</si>
  <si>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</si>
  <si>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</si>
  <si>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</si>
  <si>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</si>
  <si>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</si>
  <si>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</si>
  <si>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</si>
  <si>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</si>
  <si>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</si>
  <si>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</si>
  <si>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</si>
  <si>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</si>
  <si>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</si>
  <si>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</si>
  <si>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</si>
  <si>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</si>
  <si>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</si>
  <si>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</si>
  <si>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</si>
  <si>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</si>
  <si>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</si>
  <si>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</si>
  <si>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</si>
  <si>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</si>
  <si>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</si>
  <si>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</si>
  <si>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</si>
  <si>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</si>
  <si>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</si>
  <si>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</si>
  <si>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</si>
  <si>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</si>
  <si>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</si>
  <si>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</si>
  <si>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</si>
  <si>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</si>
  <si>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</si>
  <si>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</si>
  <si>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</si>
  <si>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</si>
  <si>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</si>
  <si>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</si>
  <si>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</si>
  <si>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</si>
  <si>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</si>
  <si>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</si>
  <si>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</si>
  <si>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</si>
  <si>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</si>
  <si>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</si>
  <si>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</si>
  <si>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</si>
  <si>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</si>
  <si>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</si>
  <si>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</si>
  <si>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</si>
  <si>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</si>
  <si>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</si>
  <si>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</si>
  <si>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</si>
  <si>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</si>
  <si>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</si>
  <si>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</si>
  <si>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</si>
  <si>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</si>
  <si>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</si>
  <si>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</si>
  <si>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</si>
  <si>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</si>
  <si>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</si>
  <si>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</si>
  <si>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</si>
  <si>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</si>
  <si>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</si>
  <si>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</si>
  <si>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</si>
  <si>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</si>
  <si>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</si>
  <si>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</si>
  <si>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</si>
  <si>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</si>
  <si>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</si>
  <si>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</si>
  <si>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</si>
  <si>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</si>
  <si>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</si>
  <si>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</si>
  <si>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</si>
  <si>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</si>
  <si>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</si>
  <si>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</si>
  <si>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</si>
  <si>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</si>
  <si>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</si>
  <si>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</si>
  <si>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</si>
  <si>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</si>
  <si>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</si>
  <si>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</si>
  <si>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</si>
  <si>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</si>
  <si>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</si>
  <si>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</si>
  <si>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</si>
  <si>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</si>
  <si>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</si>
  <si>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</si>
  <si>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</si>
  <si>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</si>
  <si>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</si>
  <si>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</si>
  <si>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</si>
  <si>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</si>
  <si>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</si>
  <si>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</si>
  <si>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</si>
  <si>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</si>
  <si>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</si>
  <si>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</si>
  <si>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</si>
  <si>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</si>
  <si>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</si>
  <si>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</si>
  <si>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</si>
  <si>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</si>
  <si>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</si>
  <si>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</si>
  <si>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</si>
  <si>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</si>
  <si>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</si>
  <si>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</si>
  <si>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</si>
  <si>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</si>
  <si>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</si>
  <si>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</si>
  <si>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</si>
  <si>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</si>
  <si>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</si>
  <si>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</si>
  <si>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</si>
  <si>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</si>
  <si>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</si>
  <si>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</si>
  <si>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</si>
  <si>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</si>
  <si>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</si>
  <si>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</si>
  <si>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</si>
  <si>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</si>
  <si>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</si>
  <si>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</si>
  <si>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</si>
  <si>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</si>
  <si>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</si>
  <si>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</si>
  <si>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</si>
  <si>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</si>
  <si>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</si>
  <si>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</si>
  <si>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</si>
  <si>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</si>
  <si>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</si>
  <si>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</si>
  <si>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</si>
  <si>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</si>
  <si>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</si>
  <si>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</si>
  <si>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</si>
  <si>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</si>
  <si>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</si>
  <si>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</si>
  <si>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</si>
  <si>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</si>
  <si>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</si>
  <si>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</si>
  <si>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</si>
  <si>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</si>
  <si>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</si>
  <si>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</si>
  <si>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</si>
  <si>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</si>
  <si>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</si>
  <si>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</si>
  <si>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</si>
  <si>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</si>
  <si>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</si>
  <si>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</si>
  <si>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</si>
  <si>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</si>
  <si>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</si>
  <si>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</si>
  <si>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</si>
  <si>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</si>
  <si>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</si>
  <si>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</si>
  <si>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</si>
  <si>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</si>
  <si>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</si>
  <si>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</si>
  <si>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</si>
  <si>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</si>
  <si>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</si>
  <si>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</si>
  <si>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</si>
  <si>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</si>
  <si>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</si>
  <si>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</si>
  <si>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</si>
  <si>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</si>
  <si>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</si>
  <si>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</si>
  <si>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</si>
  <si>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</si>
  <si>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</si>
  <si>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</si>
  <si>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</si>
  <si>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</si>
  <si>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</si>
  <si>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</si>
  <si>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</si>
  <si>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</si>
  <si>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</si>
  <si>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</si>
  <si>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</si>
  <si>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</si>
  <si>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</si>
  <si>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</si>
  <si>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</si>
  <si>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</si>
  <si>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</si>
  <si>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</si>
  <si>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</si>
  <si>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</si>
  <si>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</si>
  <si>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</si>
  <si>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</si>
  <si>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</si>
  <si>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</si>
  <si>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</si>
  <si>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</si>
  <si>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</si>
  <si>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</si>
  <si>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</si>
  <si>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</si>
  <si>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</si>
  <si>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</si>
  <si>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</si>
  <si>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</si>
  <si>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</si>
  <si>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</si>
  <si>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</si>
  <si>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</si>
  <si>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</si>
  <si>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</si>
  <si>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</si>
  <si>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</si>
  <si>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</si>
  <si>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</si>
  <si>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</si>
  <si>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</si>
  <si>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</si>
  <si>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</si>
  <si>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</si>
  <si>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</si>
  <si>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</si>
  <si>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</si>
  <si>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</si>
  <si>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</si>
  <si>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</si>
  <si>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</si>
  <si>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</si>
  <si>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</si>
  <si>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</si>
  <si>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</si>
  <si>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</si>
  <si>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</si>
  <si>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</si>
  <si>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</si>
  <si>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</si>
  <si>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</si>
  <si>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</si>
  <si>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</si>
  <si>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</si>
  <si>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</si>
  <si>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</si>
  <si>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</si>
  <si>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</si>
  <si>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</si>
  <si>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</si>
  <si>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</si>
  <si>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</si>
  <si>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</si>
  <si>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</si>
  <si>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</si>
  <si>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</si>
  <si>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</si>
  <si>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</si>
  <si>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</si>
  <si>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</si>
  <si>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</si>
  <si>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</si>
  <si>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</si>
  <si>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</si>
  <si>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</si>
  <si>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</si>
  <si>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</si>
  <si>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</si>
  <si>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</si>
  <si>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</si>
  <si>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</si>
  <si>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</si>
  <si>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</si>
  <si>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</si>
  <si>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</si>
  <si>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</si>
  <si>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</si>
  <si>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</si>
  <si>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</si>
  <si>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</si>
  <si>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</si>
  <si>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</si>
  <si>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</si>
  <si>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</si>
  <si>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</si>
  <si>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</si>
  <si>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</si>
  <si>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</si>
  <si>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</si>
  <si>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</si>
  <si>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</si>
  <si>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</si>
  <si>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</si>
  <si>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</si>
  <si>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</si>
  <si>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</si>
  <si>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</si>
  <si>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</si>
  <si>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</si>
  <si>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</si>
  <si>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</si>
  <si>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</si>
  <si>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</si>
  <si>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</si>
  <si>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</si>
  <si>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</si>
  <si>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</si>
  <si>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</si>
  <si>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</si>
  <si>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</si>
  <si>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</si>
  <si>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</si>
  <si>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</si>
  <si>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</si>
  <si>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</si>
  <si>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</si>
  <si>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</si>
  <si>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</si>
  <si>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</si>
  <si>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</si>
  <si>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</si>
  <si>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</si>
  <si>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</si>
  <si>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</si>
  <si>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</si>
  <si>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</si>
  <si>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</si>
  <si>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</si>
  <si>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</si>
  <si>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</si>
  <si>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</si>
  <si>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</si>
  <si>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</si>
  <si>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</si>
  <si>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</si>
  <si>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</si>
  <si>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</si>
  <si>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</si>
  <si>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</si>
  <si>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</si>
  <si>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</si>
  <si>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</si>
  <si>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</si>
  <si>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</si>
  <si>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</si>
  <si>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</si>
  <si>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</si>
  <si>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</si>
  <si>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</si>
  <si>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</si>
  <si>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</si>
  <si>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</si>
  <si>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</si>
  <si>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</si>
  <si>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</si>
  <si>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</si>
  <si>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</si>
  <si>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</si>
  <si>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</si>
  <si>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</si>
  <si>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</si>
  <si>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</si>
  <si>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</si>
  <si>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</si>
  <si>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</si>
  <si>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</si>
  <si>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</si>
  <si>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</si>
  <si>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</si>
  <si>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</si>
  <si>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</si>
  <si>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</si>
  <si>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</si>
  <si>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</si>
  <si>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</si>
  <si>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</si>
  <si>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</si>
  <si>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</si>
  <si>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</si>
  <si>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</si>
  <si>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</si>
  <si>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</si>
  <si>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</si>
  <si>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</si>
  <si>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</si>
  <si>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</si>
  <si>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</si>
  <si>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</si>
  <si>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</si>
  <si>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</si>
  <si>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</si>
  <si>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</si>
  <si>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</si>
  <si>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</si>
  <si>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</si>
  <si>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</si>
  <si>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</si>
  <si>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</si>
  <si>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</si>
  <si>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</si>
  <si>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</si>
  <si>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</si>
  <si>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</si>
  <si>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</si>
  <si>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</si>
  <si>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</si>
  <si>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</si>
  <si>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</si>
  <si>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</si>
  <si>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</si>
  <si>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</si>
  <si>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</si>
  <si>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</si>
  <si>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</si>
  <si>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</si>
  <si>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</si>
  <si>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</si>
  <si>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</si>
  <si>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</si>
  <si>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</si>
  <si>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</si>
  <si>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</si>
  <si>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</si>
  <si>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</si>
  <si>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</si>
  <si>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</si>
  <si>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</si>
  <si>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</si>
  <si>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</si>
  <si>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</si>
  <si>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</si>
  <si>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</si>
  <si>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</si>
  <si>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</si>
  <si>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</si>
  <si>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</si>
  <si>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</si>
  <si>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</si>
  <si>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</si>
  <si>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</si>
  <si>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</si>
  <si>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</si>
  <si>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</si>
  <si>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</si>
  <si>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</si>
  <si>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</si>
  <si>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</si>
  <si>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</si>
  <si>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</si>
  <si>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</si>
  <si>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</si>
  <si>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</si>
  <si>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</si>
  <si>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</si>
  <si>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</si>
  <si>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</si>
  <si>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</si>
  <si>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</si>
  <si>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</si>
  <si>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</si>
  <si>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</si>
  <si>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</si>
  <si>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</si>
  <si>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</si>
  <si>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</si>
  <si>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</si>
  <si>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</si>
  <si>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</si>
  <si>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</si>
  <si>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</si>
  <si>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</si>
  <si>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</si>
  <si>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</si>
  <si>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</si>
  <si>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</si>
  <si>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</si>
  <si>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</si>
  <si>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</si>
  <si>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</si>
  <si>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</si>
  <si>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</si>
  <si>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</si>
  <si>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</si>
  <si>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</si>
  <si>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</si>
  <si>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</si>
  <si>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</si>
  <si>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</si>
  <si>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</si>
  <si>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</si>
  <si>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</si>
  <si>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</si>
  <si>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</si>
  <si>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</si>
  <si>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</si>
  <si>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</si>
  <si>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</si>
  <si>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</si>
  <si>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</si>
  <si>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</si>
  <si>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</si>
  <si>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</si>
  <si>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</si>
  <si>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</si>
  <si>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</si>
  <si>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</si>
  <si>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</si>
  <si>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</si>
  <si>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</si>
  <si>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</si>
  <si>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</si>
  <si>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</si>
  <si>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</si>
  <si>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</si>
  <si>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</si>
  <si>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</si>
  <si>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</si>
  <si>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</si>
  <si>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</si>
  <si>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</si>
  <si>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</si>
  <si>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</si>
  <si>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</si>
  <si>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</si>
  <si>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</si>
  <si>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</si>
  <si>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</si>
  <si>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</si>
  <si>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</si>
  <si>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</si>
  <si>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</si>
  <si>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</si>
  <si>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</si>
  <si>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</si>
  <si>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</si>
  <si>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</si>
  <si>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</si>
  <si>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</si>
  <si>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</si>
  <si>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</si>
  <si>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</si>
  <si>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</si>
  <si>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</si>
  <si>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</si>
  <si>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</si>
  <si>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</si>
  <si>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</si>
  <si>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</si>
  <si>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</si>
  <si>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</si>
  <si>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</si>
  <si>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</si>
  <si>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</si>
  <si>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</si>
  <si>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</si>
  <si>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</si>
  <si>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</si>
  <si>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</si>
  <si>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</si>
  <si>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</si>
  <si>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</si>
  <si>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</si>
  <si>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</si>
  <si>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</si>
  <si>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</si>
  <si>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</si>
  <si>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</si>
  <si>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</si>
  <si>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</si>
  <si>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</si>
  <si>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</si>
  <si>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</si>
  <si>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</si>
  <si>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</si>
  <si>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</si>
  <si>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</si>
  <si>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</si>
  <si>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</si>
  <si>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</si>
  <si>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</si>
  <si>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</si>
  <si>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</si>
  <si>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</si>
  <si>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</si>
  <si>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</si>
  <si>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</si>
  <si>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</si>
  <si>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</si>
  <si>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</si>
  <si>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</si>
  <si>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</si>
  <si>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</si>
  <si>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</si>
  <si>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</si>
  <si>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</si>
  <si>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</si>
  <si>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</si>
  <si>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</si>
  <si>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</si>
  <si>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</si>
  <si>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</si>
  <si>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</si>
  <si>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</si>
  <si>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</si>
  <si>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</si>
  <si>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</si>
  <si>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</si>
  <si>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</si>
  <si>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</si>
  <si>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</si>
  <si>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</si>
  <si>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</si>
  <si>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</si>
  <si>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</si>
  <si>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</si>
  <si>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</si>
  <si>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</si>
  <si>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</si>
  <si>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</si>
  <si>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</si>
  <si>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</si>
  <si>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</si>
  <si>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</si>
  <si>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</si>
  <si>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</si>
  <si>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</si>
  <si>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</si>
  <si>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</si>
  <si>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</si>
  <si>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</si>
  <si>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</si>
  <si>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</si>
  <si>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</si>
  <si>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</si>
  <si>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</si>
  <si>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</si>
  <si>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</si>
  <si>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</si>
  <si>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</si>
  <si>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</si>
  <si>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</si>
  <si>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</si>
  <si>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</si>
  <si>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</si>
  <si>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</si>
  <si>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</si>
  <si>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</si>
  <si>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</si>
  <si>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</si>
  <si>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</si>
  <si>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</si>
  <si>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</si>
  <si>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</si>
  <si>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</si>
  <si>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</si>
  <si>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</si>
  <si>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</si>
  <si>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</si>
  <si>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</si>
  <si>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</si>
  <si>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</si>
  <si>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</si>
  <si>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</si>
  <si>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</si>
  <si>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</si>
  <si>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</si>
  <si>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</si>
  <si>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</si>
  <si>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</si>
  <si>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</si>
  <si>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</si>
  <si>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</si>
  <si>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</si>
  <si>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</si>
  <si>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</si>
  <si>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</si>
  <si>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</si>
  <si>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</si>
  <si>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</si>
  <si>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</si>
  <si>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</si>
  <si>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</si>
  <si>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</si>
  <si>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</si>
  <si>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</si>
  <si>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</si>
  <si>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</si>
  <si>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</si>
  <si>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</si>
  <si>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</si>
  <si>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</si>
  <si>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</si>
  <si>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</si>
  <si>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</si>
  <si>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</si>
  <si>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</si>
  <si>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</si>
  <si>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</si>
  <si>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</si>
  <si>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</si>
  <si>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</si>
  <si>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</si>
  <si>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</si>
  <si>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</si>
  <si>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</si>
  <si>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</si>
  <si>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</si>
  <si>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</si>
  <si>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</si>
  <si>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</si>
  <si>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</si>
  <si>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</si>
  <si>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</si>
  <si>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</si>
  <si>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</si>
  <si>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</si>
  <si>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</si>
  <si>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</si>
  <si>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</si>
  <si>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</si>
  <si>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</si>
  <si>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</si>
  <si>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</si>
  <si>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</si>
  <si>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</si>
  <si>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</si>
  <si>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</si>
  <si>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</si>
  <si>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</si>
  <si>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</si>
  <si>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</si>
  <si>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</si>
  <si>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</si>
  <si>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</si>
  <si>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</si>
  <si>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</si>
  <si>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</si>
  <si>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</si>
  <si>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</si>
  <si>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</si>
  <si>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</si>
  <si>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</si>
  <si>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</si>
  <si>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</si>
  <si>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</si>
  <si>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</si>
  <si>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</si>
  <si>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</si>
  <si>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</si>
  <si>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</si>
  <si>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</si>
  <si>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</si>
  <si>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</si>
  <si>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</si>
  <si>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</si>
  <si>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</si>
  <si>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</si>
  <si>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</si>
  <si>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</si>
  <si>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</si>
  <si>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</si>
  <si>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</si>
  <si>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</si>
  <si>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</si>
  <si>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</si>
  <si>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</si>
  <si>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</si>
  <si>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</si>
  <si>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</si>
  <si>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</si>
  <si>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</si>
  <si>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</si>
  <si>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</si>
  <si>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</si>
  <si>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</si>
  <si>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</si>
  <si>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</si>
  <si>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</si>
  <si>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</si>
  <si>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</si>
  <si>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</si>
  <si>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</si>
  <si>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</si>
  <si>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</si>
  <si>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</si>
  <si>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</si>
  <si>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</si>
  <si>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</si>
  <si>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</si>
  <si>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</si>
  <si>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</si>
  <si>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</si>
  <si>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</si>
  <si>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</si>
  <si>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</si>
  <si>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</si>
  <si>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</si>
  <si>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</si>
  <si>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</si>
  <si>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</si>
  <si>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</si>
  <si>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</si>
  <si>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</si>
  <si>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</si>
  <si>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</si>
  <si>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</si>
  <si>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</si>
  <si>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</si>
  <si>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</si>
  <si>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</si>
  <si>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</si>
  <si>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</si>
  <si>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</si>
  <si>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</si>
  <si>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</si>
  <si>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</si>
  <si>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</si>
  <si>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</si>
  <si>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</si>
  <si>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</si>
  <si>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</si>
  <si>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</si>
  <si>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</si>
  <si>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</si>
  <si>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</si>
  <si>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</si>
  <si>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</si>
  <si>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</si>
  <si>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</si>
  <si>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</si>
  <si>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</si>
  <si>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</si>
  <si>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</si>
  <si>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</si>
  <si>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</si>
  <si>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</si>
  <si>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</si>
  <si>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</si>
  <si>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</si>
  <si>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</si>
  <si>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</si>
  <si>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</si>
  <si>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</si>
  <si>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</si>
  <si>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</si>
  <si>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</si>
  <si>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</si>
  <si>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</si>
  <si>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</si>
  <si>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</si>
  <si>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</si>
  <si>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</si>
  <si>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</si>
  <si>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</si>
  <si>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</si>
  <si>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</si>
  <si>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</si>
  <si>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</si>
  <si>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</si>
  <si>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</si>
  <si>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</si>
  <si>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</si>
  <si>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</si>
  <si>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</si>
  <si>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</si>
  <si>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</si>
  <si>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</si>
  <si>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</si>
  <si>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</si>
  <si>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</si>
  <si>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</si>
  <si>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</si>
  <si>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</si>
  <si>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</si>
  <si>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</si>
  <si>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</si>
  <si>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</si>
  <si>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</si>
  <si>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</si>
  <si>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</si>
  <si>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</si>
  <si>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</si>
  <si>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</si>
  <si>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</si>
  <si>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</si>
  <si>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</si>
  <si>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</si>
  <si>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</si>
  <si>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</si>
  <si>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</si>
  <si>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</si>
  <si>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</si>
  <si>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</si>
  <si>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</si>
  <si>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</si>
  <si>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</si>
  <si>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</si>
  <si>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</si>
  <si>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</si>
  <si>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</si>
  <si>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</si>
  <si>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</si>
  <si>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</si>
  <si>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</si>
  <si>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</si>
  <si>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</si>
  <si>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</si>
  <si>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</si>
  <si>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</si>
  <si>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</si>
  <si>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</si>
  <si>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</si>
  <si>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</si>
  <si>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</si>
  <si>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</si>
  <si>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</si>
  <si>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</si>
  <si>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</si>
  <si>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</si>
  <si>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</si>
  <si>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</si>
  <si>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</si>
  <si>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</si>
  <si>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</si>
  <si>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</si>
  <si>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</si>
  <si>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</si>
  <si>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</si>
  <si>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</si>
  <si>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</si>
  <si>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</si>
  <si>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</si>
  <si>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</si>
  <si>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</si>
  <si>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</si>
  <si>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</si>
  <si>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</si>
  <si>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</si>
  <si>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</si>
  <si>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</si>
  <si>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</si>
  <si>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</si>
  <si>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</si>
  <si>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</si>
  <si>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</si>
  <si>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</si>
  <si>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</si>
  <si>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</si>
  <si>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</si>
  <si>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</si>
  <si>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</si>
  <si>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</si>
  <si>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</si>
  <si>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</si>
  <si>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</si>
  <si>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</si>
  <si>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</si>
  <si>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</si>
  <si>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</si>
  <si>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</si>
  <si>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</si>
  <si>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</si>
  <si>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</si>
  <si>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</si>
  <si>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</si>
  <si>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</si>
  <si>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</si>
  <si>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</si>
  <si>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</si>
  <si>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</si>
  <si>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</si>
  <si>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</si>
  <si>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</si>
  <si>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</si>
  <si>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</si>
  <si>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</si>
  <si>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</si>
  <si>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</si>
  <si>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</si>
  <si>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</si>
  <si>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</si>
  <si>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</si>
  <si>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</si>
  <si>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</si>
  <si>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</si>
  <si>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</si>
  <si>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</si>
  <si>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</si>
  <si>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</si>
  <si>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</si>
  <si>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</si>
  <si>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</si>
  <si>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</si>
  <si>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</si>
  <si>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</si>
  <si>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</si>
  <si>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</si>
  <si>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</si>
  <si>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</si>
  <si>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</si>
  <si>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</si>
  <si>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</si>
  <si>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</si>
  <si>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</si>
  <si>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</si>
  <si>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</si>
  <si>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</si>
  <si>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</si>
  <si>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</si>
  <si>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</si>
  <si>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</si>
  <si>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</si>
  <si>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</si>
  <si>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</si>
  <si>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</si>
  <si>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</si>
  <si>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</si>
  <si>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</si>
  <si>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</si>
  <si>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</si>
  <si>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</si>
  <si>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</si>
  <si>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</si>
  <si>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</si>
  <si>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</si>
  <si>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</si>
  <si>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</si>
  <si>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</si>
  <si>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</si>
  <si>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</si>
  <si>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</si>
  <si>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</si>
  <si>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</si>
  <si>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</si>
  <si>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</si>
  <si>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</si>
  <si>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</si>
  <si>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</si>
  <si>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</si>
  <si>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</si>
  <si>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</si>
  <si>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</si>
  <si>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</si>
  <si>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</si>
  <si>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</si>
  <si>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</si>
  <si>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</si>
  <si>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</si>
  <si>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</si>
  <si>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</si>
  <si>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</si>
  <si>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</si>
  <si>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</si>
  <si>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</si>
  <si>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</si>
  <si>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</si>
  <si>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</si>
  <si>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</si>
  <si>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</si>
  <si>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</si>
  <si>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</si>
  <si>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</si>
  <si>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</si>
  <si>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</si>
  <si>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</si>
  <si>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</si>
  <si>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</si>
  <si>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</si>
  <si>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</si>
  <si>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</si>
  <si>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</si>
  <si>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</si>
  <si>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</si>
  <si>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</si>
  <si>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</si>
  <si>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</si>
  <si>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</si>
  <si>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</si>
  <si>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</si>
  <si>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</si>
  <si>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</si>
  <si>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</si>
  <si>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</si>
  <si>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</si>
  <si>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</si>
  <si>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</si>
  <si>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</si>
  <si>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</si>
  <si>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</si>
  <si>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</si>
  <si>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</si>
  <si>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</si>
  <si>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</si>
  <si>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</si>
  <si>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</si>
  <si>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</si>
  <si>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</si>
  <si>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</si>
  <si>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</si>
  <si>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</si>
  <si>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</si>
  <si>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</si>
  <si>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</si>
  <si>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</si>
  <si>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</si>
  <si>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</si>
  <si>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</si>
  <si>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</si>
  <si>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</si>
  <si>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</si>
  <si>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</si>
  <si>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</si>
  <si>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</si>
  <si>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</si>
  <si>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</si>
  <si>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</si>
  <si>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</si>
  <si>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</si>
  <si>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</si>
  <si>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</si>
  <si>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</si>
  <si>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</si>
  <si>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</si>
  <si>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</si>
  <si>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</si>
  <si>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</si>
  <si>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</si>
  <si>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</si>
  <si>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</si>
  <si>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</si>
  <si>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</si>
  <si>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</si>
  <si>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</si>
  <si>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</si>
  <si>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</si>
  <si>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</si>
  <si>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</si>
  <si>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</si>
  <si>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</si>
  <si>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</si>
  <si>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</si>
  <si>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</si>
  <si>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</si>
  <si>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</si>
  <si>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</si>
  <si>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</si>
  <si>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</si>
  <si>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</si>
  <si>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</si>
  <si>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</si>
  <si>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</si>
  <si>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</si>
  <si>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</si>
  <si>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</si>
  <si>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</si>
  <si>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</si>
  <si>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</si>
  <si>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</si>
  <si>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</si>
  <si>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</si>
  <si>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</si>
  <si>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</si>
  <si>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</si>
  <si>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</si>
  <si>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</si>
  <si>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</si>
  <si>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</si>
  <si>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</si>
  <si>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</si>
  <si>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</si>
  <si>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</si>
  <si>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</si>
  <si>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</si>
  <si>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</si>
  <si>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</si>
  <si>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</si>
  <si>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</si>
  <si>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</si>
  <si>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</si>
  <si>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</si>
  <si>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</si>
  <si>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</si>
  <si>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</si>
  <si>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</si>
  <si>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</si>
  <si>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</si>
  <si>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</si>
  <si>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</si>
  <si>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</si>
  <si>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</si>
  <si>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</si>
  <si>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</si>
  <si>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</si>
  <si>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</si>
  <si>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</si>
  <si>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</si>
  <si>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</si>
  <si>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</si>
  <si>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</si>
  <si>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</si>
  <si>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</si>
  <si>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</si>
  <si>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</si>
  <si>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</si>
  <si>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</si>
  <si>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</si>
  <si>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</si>
  <si>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</si>
  <si>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</si>
  <si>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</si>
  <si>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</si>
  <si>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</si>
  <si>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</si>
  <si>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</si>
  <si>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</si>
  <si>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</si>
  <si>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</si>
  <si>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</si>
  <si>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</si>
  <si>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</si>
  <si>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</si>
  <si>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</si>
  <si>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</si>
  <si>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</si>
  <si>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</si>
  <si>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</si>
  <si>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</si>
  <si>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</si>
  <si>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</si>
  <si>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</si>
  <si>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</si>
  <si>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</si>
  <si>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</si>
  <si>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</si>
  <si>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</si>
  <si>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</si>
  <si>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</si>
  <si>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</si>
  <si>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</si>
  <si>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</si>
  <si>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</si>
  <si>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</si>
  <si>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</si>
  <si>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</si>
  <si>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</si>
  <si>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</si>
  <si>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</si>
  <si>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</si>
  <si>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</si>
  <si>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</si>
  <si>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</si>
  <si>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</si>
  <si>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</si>
  <si>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</si>
  <si>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</si>
  <si>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</si>
  <si>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</si>
  <si>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</si>
  <si>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</si>
  <si>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</si>
  <si>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</si>
  <si>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</si>
  <si>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</si>
  <si>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</si>
  <si>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</si>
  <si>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</si>
  <si>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</si>
  <si>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</si>
  <si>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</si>
  <si>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</si>
  <si>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</si>
  <si>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</si>
  <si>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</si>
  <si>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</si>
  <si>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</si>
  <si>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</si>
  <si>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</si>
  <si>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</si>
  <si>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</si>
  <si>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</si>
  <si>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</si>
  <si>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</si>
  <si>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</si>
  <si>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</si>
  <si>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</si>
  <si>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</si>
  <si>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</si>
  <si>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</si>
  <si>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</si>
  <si>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</si>
  <si>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</si>
  <si>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</si>
  <si>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</si>
  <si>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</si>
  <si>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</si>
  <si>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</si>
  <si>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</si>
  <si>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</si>
  <si>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</si>
  <si>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</si>
  <si>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</si>
  <si>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</si>
  <si>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</si>
  <si>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</si>
  <si>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</si>
  <si>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</si>
  <si>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</si>
  <si>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</si>
  <si>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</si>
  <si>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</si>
  <si>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</si>
  <si>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</si>
  <si>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</si>
  <si>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</si>
  <si>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</si>
  <si>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</si>
  <si>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</si>
  <si>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</si>
  <si>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</si>
  <si>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</si>
  <si>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</si>
  <si>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</si>
  <si>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</si>
  <si>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</si>
  <si>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</si>
  <si>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</si>
  <si>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</si>
  <si>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</si>
  <si>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</si>
  <si>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</si>
  <si>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</si>
  <si>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</si>
  <si>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</si>
  <si>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</si>
  <si>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</si>
  <si>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</si>
  <si>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</si>
  <si>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</si>
  <si>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</si>
  <si>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</si>
  <si>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</si>
  <si>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</si>
  <si>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</si>
  <si>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</si>
  <si>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</si>
  <si>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</si>
  <si>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</si>
  <si>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</si>
  <si>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</si>
  <si>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</si>
  <si>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</si>
  <si>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</si>
  <si>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</si>
  <si>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</si>
  <si>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</si>
  <si>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</si>
  <si>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</si>
  <si>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</si>
  <si>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</si>
  <si>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</si>
  <si>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</si>
  <si>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</si>
  <si>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</si>
  <si>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</si>
  <si>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</si>
  <si>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</si>
  <si>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</si>
  <si>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</si>
  <si>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</si>
  <si>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</si>
  <si>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</si>
  <si>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</si>
  <si>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</si>
  <si>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</si>
  <si>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</si>
  <si>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</si>
  <si>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</si>
  <si>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</si>
  <si>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</si>
  <si>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</si>
  <si>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</si>
  <si>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</si>
  <si>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</si>
  <si>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</si>
  <si>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</si>
  <si>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</si>
  <si>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</si>
  <si>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</si>
  <si>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</si>
  <si>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</si>
  <si>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</si>
  <si>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</si>
  <si>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</si>
  <si>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</si>
  <si>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</si>
  <si>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</si>
  <si>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</si>
  <si>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</si>
  <si>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</si>
  <si>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</si>
  <si>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</si>
  <si>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</si>
  <si>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</si>
  <si>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</si>
  <si>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</si>
  <si>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</si>
  <si>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</si>
  <si>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</si>
  <si>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</si>
  <si>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</si>
  <si>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</si>
  <si>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</si>
  <si>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</si>
  <si>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</si>
  <si>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</si>
  <si>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</si>
  <si>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</si>
  <si>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</si>
  <si>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</si>
  <si>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</si>
  <si>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</si>
  <si>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</si>
  <si>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</si>
  <si>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</si>
  <si>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</si>
  <si>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</si>
  <si>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</si>
  <si>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</si>
  <si>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</si>
  <si>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</si>
  <si>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</si>
  <si>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</si>
  <si>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</si>
  <si>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</si>
  <si>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</si>
  <si>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</si>
  <si>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</si>
  <si>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</si>
  <si>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</si>
  <si>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</si>
  <si>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</si>
  <si>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</si>
  <si>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</si>
  <si>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</si>
  <si>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</si>
  <si>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</si>
  <si>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</si>
  <si>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</si>
  <si>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</si>
  <si>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</si>
  <si>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</si>
  <si>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</si>
  <si>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</si>
  <si>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</si>
  <si>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</si>
  <si>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</si>
  <si>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</si>
  <si>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</si>
  <si>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</si>
  <si>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</si>
  <si>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</si>
  <si>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</si>
  <si>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</si>
  <si>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</si>
  <si>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</si>
  <si>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</si>
  <si>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</si>
  <si>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</si>
  <si>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</si>
  <si>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</si>
  <si>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</si>
  <si>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</si>
  <si>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</si>
  <si>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</si>
  <si>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</si>
  <si>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</si>
  <si>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</si>
  <si>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</si>
  <si>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</si>
  <si>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</si>
  <si>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</si>
  <si>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宜兴环科园绿园路北侧兴业路东侧</t>
  </si>
  <si>
    <t>无锡市</t>
  </si>
  <si>
    <t>住宅用地</t>
  </si>
  <si>
    <t>＞1,＜1.6</t>
  </si>
  <si>
    <t>挂牌</t>
  </si>
  <si>
    <t>2018-04-11</t>
  </si>
  <si>
    <t>苏州市梁雨庭置业有限公司</t>
  </si>
  <si>
    <t>宜兴市丁蜀镇任墅村</t>
  </si>
  <si>
    <t>＞1,≤1.2</t>
  </si>
  <si>
    <t>2018-03-19</t>
  </si>
  <si>
    <t>无锡市紫光置业发展有限公司</t>
  </si>
  <si>
    <t>宜兴市新庄街道宜官公路北侧芳塍路西侧</t>
  </si>
  <si>
    <t>＞1,＜1.5</t>
  </si>
  <si>
    <t>2018-03-16</t>
  </si>
  <si>
    <t>宜兴龙湖置业有限公司</t>
  </si>
  <si>
    <t>宜兴市张渚镇人民南路西侧南环路北侧</t>
  </si>
  <si>
    <t>＞1且≤1.6</t>
  </si>
  <si>
    <t>2018-02-06</t>
  </si>
  <si>
    <t>无锡市洪业天华置业有限公司</t>
  </si>
  <si>
    <t>宜兴市湖父镇洑西村(A地块)</t>
  </si>
  <si>
    <t>等于1.01</t>
  </si>
  <si>
    <t>2018-01-23</t>
  </si>
  <si>
    <t>宜兴雅达置业有限公司</t>
  </si>
  <si>
    <t>宜兴市湖父镇洑西村(B1地块)</t>
  </si>
  <si>
    <t>宜兴市湖父镇洑西村(B2地块)</t>
  </si>
  <si>
    <t>宜兴市高塍镇红高西路西侧</t>
  </si>
  <si>
    <t>＞1且＜1.3</t>
  </si>
  <si>
    <t>2017-12-01</t>
  </si>
  <si>
    <t>宜兴市新园房地产开发有限公司</t>
  </si>
  <si>
    <t>宜兴市高塍镇广场路南侧</t>
  </si>
  <si>
    <t>＞1且＜1.4</t>
  </si>
  <si>
    <t>宜兴市芳桥街道芳南苑南侧A地块</t>
  </si>
  <si>
    <t>＞1且＜1.2</t>
  </si>
  <si>
    <t>2017-11-29</t>
  </si>
  <si>
    <t>宜兴市恒誉置业有限公司</t>
  </si>
  <si>
    <t>宜兴市芳桥街道芳南苑西侧</t>
  </si>
  <si>
    <t>宜兴市新庄街道王婆河东侧B-2</t>
  </si>
  <si>
    <t>＞1且＜1.9</t>
  </si>
  <si>
    <t>2017-11-22</t>
  </si>
  <si>
    <t>上海新碧房地产开发有限公司</t>
  </si>
  <si>
    <t>宜兴市新庄街道王婆河东侧C-2</t>
  </si>
  <si>
    <t>＞1且＜3</t>
  </si>
  <si>
    <t>宜兴市新庄街道王婆河东侧B-1</t>
  </si>
  <si>
    <t>泰州恒骏通房地产开发有限公司</t>
  </si>
  <si>
    <t>宜兴市新庄街道王婆河东侧B-3</t>
  </si>
  <si>
    <t>宜兴市新庄街道宜官公路南侧</t>
  </si>
  <si>
    <t>＞1且＜2</t>
  </si>
  <si>
    <t>2017-11-01</t>
  </si>
  <si>
    <t>宜兴市宜城街道新长铁路西侧C-1</t>
  </si>
  <si>
    <t>＞1且＜1.8</t>
  </si>
  <si>
    <t>2017-10-20</t>
  </si>
  <si>
    <t>恒大地产集团珠三角房地产开发有限公司</t>
  </si>
  <si>
    <t>宜兴市丁蜀镇查林村</t>
  </si>
  <si>
    <t>＞1且≤1.2</t>
  </si>
  <si>
    <t>2017-09-04</t>
  </si>
  <si>
    <t>宜兴市兴浦房地产开发有限公司</t>
  </si>
  <si>
    <t>宜兴市丁蜀镇通蜀西路北侧</t>
  </si>
  <si>
    <t>＞1且≤1.5</t>
  </si>
  <si>
    <t>2017-08-30</t>
  </si>
  <si>
    <t>鸿威(宜兴)房地产开发有限公司</t>
  </si>
  <si>
    <t>宜兴市高塍镇人民路北侧</t>
  </si>
  <si>
    <t>＞1且≤1.1</t>
  </si>
  <si>
    <t>2017-08-28</t>
  </si>
  <si>
    <t>宜兴市鹏龙置业有限公司</t>
  </si>
  <si>
    <t>宜兴市丁蜀镇通蜀路北侧</t>
  </si>
  <si>
    <t>＞1,≤1.9</t>
  </si>
  <si>
    <t>2017-07-10</t>
  </si>
  <si>
    <t>宜兴市久旺房地产开发有限公司</t>
  </si>
  <si>
    <t>宜兴市宜城街道城东X2-2</t>
  </si>
  <si>
    <t>2017-05-23</t>
  </si>
  <si>
    <t>常州上元置业有限公司</t>
  </si>
  <si>
    <t>宜兴市宜城街道城东X2-1</t>
  </si>
  <si>
    <t>苏州市宏杰置业有限公司</t>
  </si>
  <si>
    <t>宜兴市丁蜀镇汤渡社区</t>
  </si>
  <si>
    <t>＞1且≤1.3</t>
  </si>
  <si>
    <t>2017-01-10</t>
  </si>
  <si>
    <t>宜兴尚源置业有限公司</t>
  </si>
  <si>
    <t>宜兴市新街街道振兴路北侧绿洲路东侧</t>
  </si>
  <si>
    <t>2017-01-05</t>
  </si>
  <si>
    <t>＞1且≤2.5</t>
  </si>
  <si>
    <t>2016-10-28</t>
  </si>
  <si>
    <t>华虹集团宜兴市华盛房地产开发有限公司</t>
  </si>
  <si>
    <t>宜兴市太华镇胥锦村</t>
  </si>
  <si>
    <t>＞1且≤1.05</t>
  </si>
  <si>
    <t>2016-10-26</t>
  </si>
  <si>
    <t>宜兴市太华商品房开发公司</t>
  </si>
  <si>
    <t>宜兴市官林镇官新路北侧</t>
  </si>
  <si>
    <t>2016-04-19</t>
  </si>
  <si>
    <t>宜兴正宇置业有限公司</t>
  </si>
  <si>
    <t>宜兴市宜城街道梅林区域F-1地块</t>
  </si>
  <si>
    <t>2016-01-27</t>
  </si>
  <si>
    <t>宜兴城东文化旅游投资开发有限责任公司</t>
  </si>
  <si>
    <t>宜兴市宜城街道梅林区域F-3地块</t>
  </si>
  <si>
    <t>宜兴市宜城街道梅林区域F-2地块</t>
  </si>
  <si>
    <t>宜兴市徐舍镇云溪南路西侧</t>
  </si>
  <si>
    <t>＞1,≤1.25</t>
  </si>
  <si>
    <t>2016-01-25</t>
  </si>
  <si>
    <t>宜兴市新凯跃房地产开发有限公司</t>
  </si>
  <si>
    <t>宜兴市宜城街道蠡河花园F地块</t>
  </si>
  <si>
    <t>＞1,＜1.43</t>
  </si>
  <si>
    <t>2016-01-12</t>
  </si>
  <si>
    <t>江苏伟丰集团宜滨房地产开发有限公司</t>
  </si>
  <si>
    <t>宜兴市新庄街道宜官公路南侧A-2地块</t>
  </si>
  <si>
    <t>＞1,＜2.2</t>
  </si>
  <si>
    <t>2015-12-15</t>
  </si>
  <si>
    <t>江苏太湖西岸生态休闲发展有限公司</t>
  </si>
  <si>
    <t>宜兴市新庄街道宜官公路南侧A-3地块</t>
  </si>
  <si>
    <t>宜兴市新庄街道宜官公路南侧A-1地块</t>
  </si>
  <si>
    <t>宜兴市新庄街道宜官公路南侧A-4地块</t>
  </si>
  <si>
    <t>宜兴市和桥镇永兴村</t>
  </si>
  <si>
    <t>＞1,≤1.1</t>
  </si>
  <si>
    <t>2015-12-07</t>
  </si>
  <si>
    <t>宜兴市光明置业有限公司</t>
  </si>
  <si>
    <t>宜兴市新庄街道宜官公路南侧C地块</t>
  </si>
  <si>
    <t>＞1,＜1.53</t>
  </si>
  <si>
    <t>2015-09-28</t>
  </si>
  <si>
    <t>宜兴市新鸿置业有限公司</t>
  </si>
  <si>
    <t>太华镇石门村</t>
  </si>
  <si>
    <t>≤1.2</t>
  </si>
  <si>
    <t>2015-09-11</t>
  </si>
  <si>
    <t>江苏实盟建设投资有限公司</t>
  </si>
  <si>
    <t>宜兴市新庄街道宜官公路南侧B地块</t>
  </si>
  <si>
    <t>2015-07-01</t>
  </si>
  <si>
    <t>宜兴市宜城街道雁行东路北侧</t>
  </si>
  <si>
    <t>＞1,≤2</t>
  </si>
  <si>
    <t>2015-05-06</t>
  </si>
  <si>
    <t>宜兴市荆溪房地产开发有限公司</t>
  </si>
  <si>
    <t>宜兴市新街街道创业路南侧绿洲路东侧</t>
  </si>
  <si>
    <t>大于1并且小于1.6</t>
  </si>
  <si>
    <t>2015-04-15</t>
  </si>
  <si>
    <t>宜兴市丁蜀镇常安西路北侧</t>
  </si>
  <si>
    <t>大于1并且小于或等于2.1</t>
  </si>
  <si>
    <t>2015-04-06</t>
  </si>
  <si>
    <t>江苏恒昊置业发展有限公司</t>
  </si>
  <si>
    <t>宜兴市太华镇振华东路北侧</t>
  </si>
  <si>
    <t>大于1并且小于或等于1.41</t>
  </si>
  <si>
    <t>2015-02-11</t>
  </si>
  <si>
    <t>宜兴市鼎浩置业有限公司</t>
  </si>
  <si>
    <t>宜兴市经济开发区学府路东侧袁桥路南侧</t>
  </si>
  <si>
    <t>大于1并且小于或等于1.5</t>
  </si>
  <si>
    <t>2015-01-13</t>
  </si>
  <si>
    <t>宜兴市屺亭新农村建设发展有限公司</t>
  </si>
  <si>
    <t>大于1并且小于或等于1.8</t>
  </si>
  <si>
    <t>2015-01-08</t>
  </si>
  <si>
    <t>宜兴市经济开发区钱墅荡路西侧杏里东路南侧</t>
  </si>
  <si>
    <t>江苏宜兴经济开发区投资发展有限公司</t>
  </si>
  <si>
    <t>宜兴市经济开发区庆源大道北侧学府路东侧</t>
  </si>
  <si>
    <t>大于1并且小于或等于2.8</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</si>
  <si>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</si>
  <si>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正常</t>
  </si>
  <si>
    <t>住宅</t>
    <phoneticPr fontId="26" type="noConversion"/>
  </si>
  <si>
    <t>住宅</t>
    <phoneticPr fontId="26" type="noConversion"/>
  </si>
  <si>
    <t>抵押</t>
  </si>
  <si>
    <t>抵押价格</t>
  </si>
  <si>
    <t>其他：</t>
  </si>
  <si>
    <t>企业</t>
  </si>
  <si>
    <t>一致</t>
  </si>
  <si>
    <t>出让</t>
  </si>
  <si>
    <t>符合</t>
  </si>
  <si>
    <t>商业</t>
  </si>
  <si>
    <t>否</t>
  </si>
  <si>
    <t>居住项目</t>
  </si>
  <si>
    <t>场地平整</t>
  </si>
  <si>
    <t>平整</t>
  </si>
  <si>
    <t>通路</t>
  </si>
  <si>
    <t>通电</t>
  </si>
  <si>
    <t>通上水</t>
  </si>
  <si>
    <t>住宅</t>
    <phoneticPr fontId="3" type="noConversion"/>
  </si>
  <si>
    <t>商业</t>
    <phoneticPr fontId="3" type="noConversion"/>
  </si>
  <si>
    <t>地下车库</t>
    <phoneticPr fontId="3" type="noConversion"/>
  </si>
  <si>
    <t>地上</t>
  </si>
  <si>
    <t>地下</t>
  </si>
  <si>
    <t>车库</t>
  </si>
  <si>
    <t>是</t>
    <phoneticPr fontId="3" type="noConversion"/>
  </si>
  <si>
    <t>是</t>
    <phoneticPr fontId="3" type="noConversion"/>
  </si>
  <si>
    <t>住宅</t>
    <phoneticPr fontId="7" type="noConversion"/>
  </si>
  <si>
    <t>商业</t>
    <phoneticPr fontId="7" type="noConversion"/>
  </si>
  <si>
    <t>车库</t>
    <phoneticPr fontId="7" type="noConversion"/>
  </si>
  <si>
    <t>已全部缴纳</t>
  </si>
  <si>
    <t>较好</t>
  </si>
  <si>
    <t>好</t>
  </si>
  <si>
    <t>项目全部</t>
  </si>
  <si>
    <t>土地</t>
  </si>
  <si>
    <t>剩余法-待开发</t>
  </si>
  <si>
    <t>比较法-住宅、综合</t>
  </si>
  <si>
    <t>售价</t>
  </si>
  <si>
    <t>刘梅</t>
  </si>
  <si>
    <t>吴薇</t>
  </si>
  <si>
    <t>苏州市梁雨庭置业有限公司</t>
    <phoneticPr fontId="6" type="noConversion"/>
  </si>
  <si>
    <t>华澳国际信托有限公司</t>
    <phoneticPr fontId="6" type="noConversion"/>
  </si>
  <si>
    <t>宜兴市环科园绿园路北侧兴业路东侧一宗住宅、商业及地下车库用途出让国有建设用地使用权</t>
    <phoneticPr fontId="6" type="noConversion"/>
  </si>
  <si>
    <t>江苏省</t>
    <phoneticPr fontId="6" type="noConversion"/>
  </si>
  <si>
    <t>住宅</t>
    <phoneticPr fontId="6" type="noConversion"/>
  </si>
  <si>
    <t>住宅、商业、地下车库</t>
    <phoneticPr fontId="6" type="noConversion"/>
  </si>
  <si>
    <t>住宅69.9年，商业39.9年，地下车库49.9年</t>
    <phoneticPr fontId="6" type="noConversion"/>
  </si>
  <si>
    <t>不动产收益法</t>
  </si>
  <si>
    <t>自定义</t>
  </si>
  <si>
    <t>钢混</t>
  </si>
  <si>
    <t>金水名都</t>
    <phoneticPr fontId="3" type="noConversion"/>
  </si>
  <si>
    <t>住宅</t>
    <phoneticPr fontId="21" type="noConversion"/>
  </si>
  <si>
    <t>60-70（含）</t>
  </si>
  <si>
    <t>优湖美地</t>
    <phoneticPr fontId="3" type="noConversion"/>
  </si>
  <si>
    <t>独栋别墅</t>
    <phoneticPr fontId="21" type="noConversion"/>
  </si>
  <si>
    <t>双拼别墅</t>
    <phoneticPr fontId="21" type="noConversion"/>
  </si>
  <si>
    <t>花园洋房</t>
  </si>
  <si>
    <t>花园洋房</t>
    <phoneticPr fontId="21" type="noConversion"/>
  </si>
  <si>
    <t>高层住宅</t>
  </si>
  <si>
    <t>高层住宅</t>
    <phoneticPr fontId="21" type="noConversion"/>
  </si>
  <si>
    <t>钢混</t>
    <phoneticPr fontId="21" type="noConversion"/>
  </si>
  <si>
    <t>高档</t>
  </si>
  <si>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</si>
  <si>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</si>
  <si>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</si>
  <si>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</si>
  <si>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</si>
  <si>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</si>
  <si>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</si>
  <si>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</si>
  <si>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七通</t>
    <phoneticPr fontId="21" type="noConversion"/>
  </si>
  <si>
    <t>六通</t>
  </si>
  <si>
    <t>六通</t>
    <phoneticPr fontId="21" type="noConversion"/>
  </si>
  <si>
    <t>五通</t>
    <phoneticPr fontId="21" type="noConversion"/>
  </si>
  <si>
    <t>四通</t>
    <phoneticPr fontId="21" type="noConversion"/>
  </si>
  <si>
    <t>三通</t>
  </si>
  <si>
    <t>三通</t>
    <phoneticPr fontId="21" type="noConversion"/>
  </si>
  <si>
    <t>专业</t>
  </si>
  <si>
    <t>专业</t>
    <phoneticPr fontId="21" type="noConversion"/>
  </si>
  <si>
    <t>壹号院</t>
    <phoneticPr fontId="3" type="noConversion"/>
  </si>
  <si>
    <t>估价对象周边居住用地大、居住小区规模大，社区发展完善，综合评价居住社区成熟度较好</t>
    <phoneticPr fontId="3" type="noConversion"/>
  </si>
  <si>
    <t>估价对象周边商业氛围较成熟，人流量较大，商业繁华度较好</t>
    <phoneticPr fontId="3" type="noConversion"/>
  </si>
  <si>
    <t>估价对象周边道路状况、公共交通通达情况、停车便捷程度，综合评价交通便捷度较好</t>
    <phoneticPr fontId="3" type="noConversion"/>
  </si>
  <si>
    <t>主干道——兴业路</t>
    <phoneticPr fontId="21" type="noConversion"/>
  </si>
  <si>
    <t>区域自然环境较好；人文环境一般；综合评价环境状况较好</t>
    <phoneticPr fontId="3" type="noConversion"/>
  </si>
  <si>
    <t>估价对象所在区域基础设施水平六通</t>
    <phoneticPr fontId="3" type="noConversion"/>
  </si>
  <si>
    <t>估价对象所在区域公共配套设施齐备</t>
    <phoneticPr fontId="3" type="noConversion"/>
  </si>
  <si>
    <t>多面临街</t>
  </si>
  <si>
    <t>较一致</t>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</si>
  <si>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</si>
  <si>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t>住宅</t>
    </r>
    <r>
      <rPr>
        <sz val="11"/>
        <color indexed="8"/>
        <rFont val="Arial"/>
        <family val="2"/>
      </rPr>
      <t>70</t>
    </r>
    <r>
      <rPr>
        <sz val="11"/>
        <color indexed="8"/>
        <rFont val="宋体"/>
        <family val="3"/>
        <charset val="134"/>
      </rPr>
      <t>年</t>
    </r>
  </si>
  <si>
    <r>
      <t>69.9</t>
    </r>
    <r>
      <rPr>
        <sz val="11"/>
        <color indexed="8"/>
        <rFont val="宋体"/>
        <family val="3"/>
        <charset val="134"/>
      </rPr>
      <t>年</t>
    </r>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</si>
  <si>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</si>
  <si>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</si>
  <si>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</si>
  <si>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</si>
  <si>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</si>
  <si>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</si>
  <si>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phoneticPr fontId="26" type="noConversion"/>
  </si>
  <si>
    <t>较适宜</t>
  </si>
  <si>
    <t>较适宜</t>
    <phoneticPr fontId="26" type="noConversion"/>
  </si>
  <si>
    <t>好</t>
    <phoneticPr fontId="26" type="noConversion"/>
  </si>
  <si>
    <t>较好</t>
    <phoneticPr fontId="26" type="noConversion"/>
  </si>
  <si>
    <t>一般</t>
  </si>
  <si>
    <t>商业</t>
    <phoneticPr fontId="26" type="noConversion"/>
  </si>
  <si>
    <t>30-40（含）</t>
  </si>
  <si>
    <t>多面临街</t>
    <phoneticPr fontId="26" type="noConversion"/>
  </si>
  <si>
    <t>双面临街</t>
    <phoneticPr fontId="26" type="noConversion"/>
  </si>
  <si>
    <t>单面临街</t>
  </si>
  <si>
    <t>单面临街</t>
    <phoneticPr fontId="26" type="noConversion"/>
  </si>
  <si>
    <t>临内部道路</t>
    <phoneticPr fontId="26" type="noConversion"/>
  </si>
  <si>
    <r>
      <rPr>
        <sz val="11"/>
        <color indexed="8"/>
        <rFont val="宋体"/>
        <family val="3"/>
        <charset val="134"/>
      </rPr>
      <t>好</t>
    </r>
    <r>
      <rPr>
        <sz val="11"/>
        <color indexed="8"/>
        <rFont val="Arial"/>
        <family val="2"/>
      </rPr>
      <t xml:space="preserve"> </t>
    </r>
    <phoneticPr fontId="26" type="noConversion"/>
  </si>
  <si>
    <t>大</t>
    <phoneticPr fontId="26" type="noConversion"/>
  </si>
  <si>
    <t>较大</t>
  </si>
  <si>
    <t>较大</t>
    <phoneticPr fontId="26" type="noConversion"/>
  </si>
  <si>
    <t>一般</t>
    <phoneticPr fontId="26" type="noConversion"/>
  </si>
  <si>
    <r>
      <t>1</t>
    </r>
    <r>
      <rPr>
        <sz val="11"/>
        <color indexed="8"/>
        <rFont val="宋体"/>
        <family val="3"/>
        <charset val="134"/>
      </rPr>
      <t>层</t>
    </r>
    <phoneticPr fontId="26" type="noConversion"/>
  </si>
  <si>
    <r>
      <t>1-3</t>
    </r>
    <r>
      <rPr>
        <sz val="11"/>
        <color indexed="8"/>
        <rFont val="宋体"/>
        <family val="3"/>
        <charset val="134"/>
      </rPr>
      <t>层</t>
    </r>
    <phoneticPr fontId="26" type="noConversion"/>
  </si>
  <si>
    <t>大型商业综合体</t>
    <phoneticPr fontId="26" type="noConversion"/>
  </si>
  <si>
    <t>独栋商业</t>
    <phoneticPr fontId="26" type="noConversion"/>
  </si>
  <si>
    <t>商业街商铺</t>
    <phoneticPr fontId="26" type="noConversion"/>
  </si>
  <si>
    <t>写字楼底商</t>
    <phoneticPr fontId="26" type="noConversion"/>
  </si>
  <si>
    <t>住宅底商</t>
  </si>
  <si>
    <t>住宅底商</t>
    <phoneticPr fontId="26" type="noConversion"/>
  </si>
  <si>
    <t>钢混</t>
    <phoneticPr fontId="26" type="noConversion"/>
  </si>
  <si>
    <t>可餐饮</t>
    <phoneticPr fontId="26" type="noConversion"/>
  </si>
  <si>
    <t>不可餐饮</t>
  </si>
  <si>
    <t>不可餐饮</t>
    <phoneticPr fontId="26" type="noConversion"/>
  </si>
  <si>
    <t>超高</t>
    <phoneticPr fontId="26" type="noConversion"/>
  </si>
  <si>
    <t>标准</t>
  </si>
  <si>
    <t>标准</t>
    <phoneticPr fontId="26" type="noConversion"/>
  </si>
  <si>
    <t>1-3层</t>
  </si>
  <si>
    <t>兴业路</t>
    <phoneticPr fontId="26" type="noConversion"/>
  </si>
  <si>
    <t>珺睿府</t>
    <phoneticPr fontId="3" type="noConversion"/>
  </si>
  <si>
    <t>洑溪路</t>
    <phoneticPr fontId="26" type="noConversion"/>
  </si>
  <si>
    <t>按租金收入计税</t>
  </si>
  <si>
    <t>规则</t>
  </si>
  <si>
    <t>单位面积地价</t>
  </si>
  <si>
    <r>
      <rPr>
        <sz val="10"/>
        <rFont val="宋体"/>
        <family val="3"/>
        <charset val="134"/>
      </rPr>
      <t>宜兴市新庄街道王婆河东侧</t>
    </r>
    <r>
      <rPr>
        <sz val="10"/>
        <rFont val="Arial"/>
        <family val="2"/>
      </rPr>
      <t>C-1</t>
    </r>
    <phoneticPr fontId="233" type="noConversion"/>
  </si>
  <si>
    <t>宜官路</t>
    <phoneticPr fontId="26" type="noConversion"/>
  </si>
  <si>
    <t>宜官路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</si>
</sst>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86" fillId="0" borderId="0" xfId="15"/>
    <xf numFmtId="0" fontId="158" fillId="0" borderId="0" xfId="15" applyFont="1"/>
    <xf numFmtId="0" fontId="86" fillId="0" borderId="0" xfId="15" applyFont="1"/>
    <xf numFmtId="0" fontId="86" fillId="6" borderId="0" xfId="15" applyFill="1"/>
    <xf numFmtId="0" fontId="86" fillId="6" borderId="0" xfId="15" applyFont="1" applyFill="1"/>
    <xf numFmtId="0" fontId="86" fillId="9" borderId="0" xfId="15" applyFill="1"/>
    <xf numFmtId="0" fontId="86" fillId="9" borderId="0" xfId="15" applyFont="1" applyFill="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67"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6" fontId="71" fillId="0" borderId="12" xfId="0" applyNumberFormat="1" applyFont="1" applyFill="1" applyBorder="1" applyAlignment="1" applyProtection="1">
      <alignment vertical="center"/>
      <protection locked="0"/>
    </xf>
    <xf numFmtId="10" fontId="153" fillId="0" borderId="12"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104776</xdr:rowOff>
    </xdr:from>
    <xdr:to>
      <xdr:col>5</xdr:col>
      <xdr:colOff>1506527</xdr:colOff>
      <xdr:row>83</xdr:row>
      <xdr:rowOff>123826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362951"/>
          <a:ext cx="7316777" cy="5200650"/>
        </a:xfrm>
        <a:prstGeom prst="rect">
          <a:avLst/>
        </a:prstGeom>
      </xdr:spPr>
    </xdr:pic>
    <xdr:clientData/>
  </xdr:twoCellAnchor>
  <xdr:twoCellAnchor editAs="oneCell">
    <xdr:from>
      <xdr:col>0</xdr:col>
      <xdr:colOff>28575</xdr:colOff>
      <xdr:row>83</xdr:row>
      <xdr:rowOff>142875</xdr:rowOff>
    </xdr:from>
    <xdr:to>
      <xdr:col>5</xdr:col>
      <xdr:colOff>1462752</xdr:colOff>
      <xdr:row>122</xdr:row>
      <xdr:rowOff>141890</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3582650"/>
          <a:ext cx="7244427" cy="6314090"/>
        </a:xfrm>
        <a:prstGeom prst="rect">
          <a:avLst/>
        </a:prstGeom>
      </xdr:spPr>
    </xdr:pic>
    <xdr:clientData/>
  </xdr:twoCellAnchor>
  <xdr:twoCellAnchor editAs="oneCell">
    <xdr:from>
      <xdr:col>5</xdr:col>
      <xdr:colOff>1485900</xdr:colOff>
      <xdr:row>50</xdr:row>
      <xdr:rowOff>80684</xdr:rowOff>
    </xdr:from>
    <xdr:to>
      <xdr:col>13</xdr:col>
      <xdr:colOff>770365</xdr:colOff>
      <xdr:row>83</xdr:row>
      <xdr:rowOff>56181</xdr:rowOff>
    </xdr:to>
    <xdr:pic>
      <xdr:nvPicPr>
        <xdr:cNvPr id="4" name="图片 3"/>
        <xdr:cNvPicPr>
          <a:picLocks noChangeAspect="1"/>
        </xdr:cNvPicPr>
      </xdr:nvPicPr>
      <xdr:blipFill>
        <a:blip xmlns:r="http://schemas.openxmlformats.org/officeDocument/2006/relationships" r:embed="rId3"/>
        <a:stretch>
          <a:fillRect/>
        </a:stretch>
      </xdr:blipFill>
      <xdr:spPr>
        <a:xfrm>
          <a:off x="7296150" y="8176934"/>
          <a:ext cx="6371065" cy="5319022"/>
        </a:xfrm>
        <a:prstGeom prst="rect">
          <a:avLst/>
        </a:prstGeom>
      </xdr:spPr>
    </xdr:pic>
    <xdr:clientData/>
  </xdr:twoCellAnchor>
  <xdr:twoCellAnchor editAs="oneCell">
    <xdr:from>
      <xdr:col>6</xdr:col>
      <xdr:colOff>28575</xdr:colOff>
      <xdr:row>82</xdr:row>
      <xdr:rowOff>160293</xdr:rowOff>
    </xdr:from>
    <xdr:to>
      <xdr:col>13</xdr:col>
      <xdr:colOff>313158</xdr:colOff>
      <xdr:row>112</xdr:row>
      <xdr:rowOff>132386</xdr:rowOff>
    </xdr:to>
    <xdr:pic>
      <xdr:nvPicPr>
        <xdr:cNvPr id="5" name="图片 4"/>
        <xdr:cNvPicPr>
          <a:picLocks noChangeAspect="1"/>
        </xdr:cNvPicPr>
      </xdr:nvPicPr>
      <xdr:blipFill>
        <a:blip xmlns:r="http://schemas.openxmlformats.org/officeDocument/2006/relationships" r:embed="rId4"/>
        <a:stretch>
          <a:fillRect/>
        </a:stretch>
      </xdr:blipFill>
      <xdr:spPr>
        <a:xfrm>
          <a:off x="7353300" y="13438143"/>
          <a:ext cx="5856708" cy="4829843"/>
        </a:xfrm>
        <a:prstGeom prst="rect">
          <a:avLst/>
        </a:prstGeom>
      </xdr:spPr>
    </xdr:pic>
    <xdr:clientData/>
  </xdr:twoCellAnchor>
  <xdr:twoCellAnchor editAs="oneCell">
    <xdr:from>
      <xdr:col>6</xdr:col>
      <xdr:colOff>28574</xdr:colOff>
      <xdr:row>112</xdr:row>
      <xdr:rowOff>45027</xdr:rowOff>
    </xdr:from>
    <xdr:to>
      <xdr:col>13</xdr:col>
      <xdr:colOff>151234</xdr:colOff>
      <xdr:row>141</xdr:row>
      <xdr:rowOff>8572</xdr:rowOff>
    </xdr:to>
    <xdr:pic>
      <xdr:nvPicPr>
        <xdr:cNvPr id="6" name="图片 5"/>
        <xdr:cNvPicPr>
          <a:picLocks noChangeAspect="1"/>
        </xdr:cNvPicPr>
      </xdr:nvPicPr>
      <xdr:blipFill>
        <a:blip xmlns:r="http://schemas.openxmlformats.org/officeDocument/2006/relationships" r:embed="rId5"/>
        <a:stretch>
          <a:fillRect/>
        </a:stretch>
      </xdr:blipFill>
      <xdr:spPr>
        <a:xfrm>
          <a:off x="7353299" y="18180627"/>
          <a:ext cx="5694785" cy="4659370"/>
        </a:xfrm>
        <a:prstGeom prst="rect">
          <a:avLst/>
        </a:prstGeom>
      </xdr:spPr>
    </xdr:pic>
    <xdr:clientData/>
  </xdr:twoCellAnchor>
  <xdr:twoCellAnchor editAs="oneCell">
    <xdr:from>
      <xdr:col>0</xdr:col>
      <xdr:colOff>1</xdr:colOff>
      <xdr:row>122</xdr:row>
      <xdr:rowOff>161924</xdr:rowOff>
    </xdr:from>
    <xdr:to>
      <xdr:col>5</xdr:col>
      <xdr:colOff>1476375</xdr:colOff>
      <xdr:row>158</xdr:row>
      <xdr:rowOff>13853</xdr:rowOff>
    </xdr:to>
    <xdr:pic>
      <xdr:nvPicPr>
        <xdr:cNvPr id="7" name="图片 6"/>
        <xdr:cNvPicPr>
          <a:picLocks noChangeAspect="1"/>
        </xdr:cNvPicPr>
      </xdr:nvPicPr>
      <xdr:blipFill>
        <a:blip xmlns:r="http://schemas.openxmlformats.org/officeDocument/2006/relationships" r:embed="rId6"/>
        <a:stretch>
          <a:fillRect/>
        </a:stretch>
      </xdr:blipFill>
      <xdr:spPr>
        <a:xfrm>
          <a:off x="1" y="19916774"/>
          <a:ext cx="7286624" cy="56812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F41" sqref="F41"/>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2660</v>
      </c>
      <c r="B1" s="2915" t="s">
        <v>2757</v>
      </c>
    </row>
    <row r="2" spans="1:55" s="2919" customFormat="1" ht="15" thickTop="1">
      <c r="A2" s="2917" t="s">
        <v>2664</v>
      </c>
      <c r="B2" s="2918" t="str">
        <f>'预评函-封皮'!B37</f>
        <v>江苏省宜兴市环科园绿园路北侧兴业路东侧一宗住宅、商业及地下车库用途出让国有建设用地使用权出让国有建设用地使用权抵押价格预评估</v>
      </c>
      <c r="AX2" s="2920"/>
      <c r="AZ2" s="2920"/>
      <c r="BA2" s="2921"/>
      <c r="BC2" s="2921"/>
    </row>
    <row r="3" spans="1:55" s="2922" customFormat="1">
      <c r="A3" s="2901" t="s">
        <v>2665</v>
      </c>
      <c r="B3" s="2904" t="str">
        <f>'预评函-封皮'!B40</f>
        <v>苏州市梁雨庭置业有限公司</v>
      </c>
    </row>
    <row r="4" spans="1:55" s="2903" customFormat="1">
      <c r="A4" s="2901" t="s">
        <v>2666</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2667</v>
      </c>
      <c r="B5" s="2924" t="str">
        <f>'预评函-封皮'!B49</f>
        <v>康正预评字号</v>
      </c>
    </row>
    <row r="6" spans="1:55" s="2925" customFormat="1" ht="15" thickTop="1">
      <c r="A6" s="2917" t="s">
        <v>2709</v>
      </c>
      <c r="B6" s="2918" t="str">
        <f>'预评函-1'!A4</f>
        <v>受贵公司委托，我公司对江苏省宜兴市环科园绿园路北侧兴业路东侧一宗住宅、商业及地下车库用途出让国有建设用地使用权出让国有建设用地使用权抵押价格进行了预评估。</v>
      </c>
      <c r="AM6" s="2926"/>
    </row>
    <row r="7" spans="1:55" s="2900" customFormat="1">
      <c r="A7" s="2901" t="s">
        <v>2661</v>
      </c>
      <c r="B7" s="2902" t="str">
        <f>'预评函-1'!A6</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53350.36平方米。</v>
      </c>
    </row>
    <row r="8" spans="1:55" s="2900" customFormat="1">
      <c r="A8" s="2901" t="s">
        <v>2662</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2712</v>
      </c>
      <c r="B9" s="2902"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2663</v>
      </c>
      <c r="B10" s="2902" t="str">
        <f>'预评函-1'!A11</f>
        <v>2018年5月29日（评估专业人员勘察现场之日）</v>
      </c>
    </row>
    <row r="11" spans="1:55" s="2900" customFormat="1">
      <c r="A11" s="2901" t="s">
        <v>2669</v>
      </c>
      <c r="B11" s="2902" t="str">
        <f>'预评函-1'!A14</f>
        <v>根据，本次评估估价对象证载（地类）用途为住宅。</v>
      </c>
    </row>
    <row r="12" spans="1:55" s="2900" customFormat="1">
      <c r="A12" s="2901" t="s">
        <v>2670</v>
      </c>
      <c r="B12" s="2902" t="str">
        <f>'预评函-1'!A15</f>
        <v>本次评估设定用途即为证载用途住宅、商业、地下车库。</v>
      </c>
    </row>
    <row r="13" spans="1:55" s="2900" customFormat="1">
      <c r="A13" s="2901" t="s">
        <v>2671</v>
      </c>
      <c r="B13" s="2902" t="str">
        <f>'预评函-1'!A17</f>
        <v>根据委托估价方介绍及评估专业人员现场勘查，本次评估估价对象实际土地开发程度为红线外市政基础设施达“七通”（即通路、通电、通上水、、、、）、宗地红线内场地平整。</v>
      </c>
    </row>
    <row r="14" spans="1:55" s="2900" customFormat="1">
      <c r="A14" s="2901" t="s">
        <v>2672</v>
      </c>
      <c r="B14" s="2902" t="str">
        <f>'预评函-1'!A18</f>
        <v>本次评估设定土地开发程度为红线外市政基础设施达“七通”、宗地红线内场地平整。</v>
      </c>
    </row>
    <row r="15" spans="1:55" s="2900" customFormat="1">
      <c r="A15" s="2901" t="s">
        <v>2668</v>
      </c>
      <c r="B15" s="2902" t="str">
        <f>'预评函-1'!A20</f>
        <v>根据《国有土地使用证》[]，估价对象（分摊）出让国有建设用地使用权面积为25829平方米。根据《建设工程规划许可证》[]、《出让合同》[]，估价对象规划建筑面积为53350.36平方米。</v>
      </c>
    </row>
    <row r="16" spans="1:55" s="2900" customFormat="1">
      <c r="A16" s="2901" t="s">
        <v>2673</v>
      </c>
      <c r="B16" s="2902" t="str">
        <f>'预评函-1'!A22</f>
        <v>本次估价对象为出让国有建设用地使用权，证载土地终止日期为住宅2088年5月29日、商业2058年5月29日地下车库2068年5月29日。截至估价期日，出让国有建设用地使用权剩余土地使用年限为住宅69.9年，商业39.9年，地下车库49.9年。</v>
      </c>
    </row>
    <row r="17" spans="1:48" s="2900" customFormat="1">
      <c r="A17" s="2901" t="s">
        <v>2674</v>
      </c>
      <c r="B17" s="2902" t="str">
        <f>'预评函-1'!A23</f>
        <v>本次评估设定估价对象剩余土地使用年限为住宅69.9年，商业39.9年，地下车库49.9年。</v>
      </c>
    </row>
    <row r="18" spans="1:48" s="2900" customFormat="1">
      <c r="A18" s="2901" t="s">
        <v>2675</v>
      </c>
      <c r="B18" s="2902" t="str">
        <f>'预评函-1'!A25</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19" spans="1:48" s="2900" customFormat="1">
      <c r="A19" s="2901" t="s">
        <v>2676</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2677</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2678</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2679</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2680</v>
      </c>
      <c r="B23" s="2902" t="str">
        <f>'预评函-2'!K2</f>
        <v>估价期日：2018年5月29日</v>
      </c>
    </row>
    <row r="24" spans="1:48">
      <c r="A24" s="2901" t="s">
        <v>2681</v>
      </c>
      <c r="B24" s="2902" t="str">
        <f>'预评函-2'!R2</f>
        <v>估价期日的国有建设用地使用权性质：出让</v>
      </c>
    </row>
    <row r="25" spans="1:48">
      <c r="A25" s="2901" t="s">
        <v>2737</v>
      </c>
      <c r="B25" s="2902" t="str">
        <f>'预评函-2'!A3</f>
        <v>估价期日土地使用者</v>
      </c>
    </row>
    <row r="26" spans="1:48">
      <c r="A26" s="2901" t="s">
        <v>2713</v>
      </c>
      <c r="B26" s="2902" t="str">
        <f>'预评函-2'!A5</f>
        <v>中信开发</v>
      </c>
    </row>
    <row r="27" spans="1:48">
      <c r="A27" s="2901" t="s">
        <v>2738</v>
      </c>
      <c r="B27" s="2902" t="str">
        <f>'预评函-2'!B3</f>
        <v>宗地编号/不动产单元号</v>
      </c>
    </row>
    <row r="28" spans="1:48">
      <c r="A28" s="2901" t="s">
        <v>2714</v>
      </c>
      <c r="B28" s="2902" t="str">
        <f>'预评函-2'!B5</f>
        <v>11111111111</v>
      </c>
    </row>
    <row r="29" spans="1:48">
      <c r="A29" s="2901" t="s">
        <v>2740</v>
      </c>
      <c r="B29" s="2902">
        <f>'预评函-2'!C5</f>
        <v>22</v>
      </c>
    </row>
    <row r="30" spans="1:48">
      <c r="A30" s="2901" t="s">
        <v>2741</v>
      </c>
      <c r="B30" s="2902" t="str">
        <f>'预评函-2'!D3</f>
        <v>土地使用证编号/不动产权证书编号</v>
      </c>
    </row>
    <row r="31" spans="1:48">
      <c r="A31" s="2901" t="s">
        <v>2715</v>
      </c>
      <c r="B31" s="2902" t="str">
        <f>'预评函-2'!D5</f>
        <v>京国土字第111号</v>
      </c>
    </row>
    <row r="32" spans="1:48">
      <c r="A32" s="2901" t="s">
        <v>2716</v>
      </c>
      <c r="B32" s="2902" t="str">
        <f>'预评函-2'!E5</f>
        <v>住宅</v>
      </c>
      <c r="AV32" s="2906"/>
    </row>
    <row r="33" spans="1:2">
      <c r="A33" s="2901" t="s">
        <v>2717</v>
      </c>
      <c r="B33" s="2902">
        <f>'预评函-2'!F5</f>
        <v>258</v>
      </c>
    </row>
    <row r="34" spans="1:2">
      <c r="A34" s="2901" t="s">
        <v>2718</v>
      </c>
      <c r="B34" s="2902" t="str">
        <f>'预评函-2'!G5</f>
        <v>住宅、商业、地下车库</v>
      </c>
    </row>
    <row r="35" spans="1:2">
      <c r="A35" s="2901" t="s">
        <v>2719</v>
      </c>
      <c r="B35" s="2902">
        <f>'预评函-2'!H5</f>
        <v>1.5</v>
      </c>
    </row>
    <row r="36" spans="1:2">
      <c r="A36" s="2901" t="s">
        <v>2720</v>
      </c>
      <c r="B36" s="2902">
        <f>'预评函-2'!I5</f>
        <v>1.5</v>
      </c>
    </row>
    <row r="37" spans="1:2">
      <c r="A37" s="2901" t="s">
        <v>2721</v>
      </c>
      <c r="B37" s="2902">
        <f>'预评函-2'!J5</f>
        <v>1.5</v>
      </c>
    </row>
    <row r="38" spans="1:2">
      <c r="A38" s="2901" t="s">
        <v>2722</v>
      </c>
      <c r="B38" s="2902" t="str">
        <f>'预评函-2'!K5</f>
        <v>红线外七通、宗地红线内场地平整</v>
      </c>
    </row>
    <row r="39" spans="1:2">
      <c r="A39" s="2901" t="s">
        <v>2723</v>
      </c>
      <c r="B39" s="2902" t="str">
        <f>'预评函-2'!L5</f>
        <v>红线外七通、宗地红线内场地平整</v>
      </c>
    </row>
    <row r="40" spans="1:2">
      <c r="A40" s="2901" t="s">
        <v>2742</v>
      </c>
      <c r="B40" s="2902" t="str">
        <f>'预评函-2'!M3</f>
        <v>（剩余）土地使用年限/年</v>
      </c>
    </row>
    <row r="41" spans="1:2">
      <c r="A41" s="2901" t="s">
        <v>2724</v>
      </c>
      <c r="B41" s="2902" t="str">
        <f>'预评函-2'!M5</f>
        <v>住宅69.9年，商业39.9年，地下车库49.9年</v>
      </c>
    </row>
    <row r="42" spans="1:2">
      <c r="A42" s="2901" t="s">
        <v>2743</v>
      </c>
      <c r="B42" s="2902" t="str">
        <f>'预评函-2'!N3</f>
        <v>（分摊）出让国有建设用地使用权面积/㎡</v>
      </c>
    </row>
    <row r="43" spans="1:2">
      <c r="A43" s="2901" t="s">
        <v>2725</v>
      </c>
      <c r="B43" s="2902">
        <f>'预评函-2'!N5</f>
        <v>25829</v>
      </c>
    </row>
    <row r="44" spans="1:2">
      <c r="A44" s="2901" t="s">
        <v>2744</v>
      </c>
      <c r="B44" s="2902" t="str">
        <f>'预评函-2'!O3</f>
        <v>规划建筑面积/㎡</v>
      </c>
    </row>
    <row r="45" spans="1:2">
      <c r="A45" s="2901" t="s">
        <v>2726</v>
      </c>
      <c r="B45" s="2902">
        <f>'预评函-2'!O5</f>
        <v>53350.36</v>
      </c>
    </row>
    <row r="46" spans="1:2">
      <c r="A46" s="2901" t="s">
        <v>2727</v>
      </c>
      <c r="B46" s="2902">
        <f ca="1">'预评函-2'!P5</f>
        <v>10874</v>
      </c>
    </row>
    <row r="47" spans="1:2">
      <c r="A47" s="2901" t="s">
        <v>2728</v>
      </c>
      <c r="B47" s="2902">
        <f ca="1">'预评函-2'!Q5</f>
        <v>5265</v>
      </c>
    </row>
    <row r="48" spans="1:2">
      <c r="A48" s="2901" t="s">
        <v>2729</v>
      </c>
      <c r="B48" s="2902">
        <f ca="1">'预评函-2'!R5</f>
        <v>28087</v>
      </c>
    </row>
    <row r="49" spans="1:2">
      <c r="A49" s="2901" t="s">
        <v>2745</v>
      </c>
      <c r="B49" s="2902" t="str">
        <f>'预评函-2'!A6</f>
        <v>抵押价格</v>
      </c>
    </row>
    <row r="50" spans="1:2">
      <c r="A50" s="2901" t="s">
        <v>2730</v>
      </c>
      <c r="B50" s="2902">
        <f ca="1">'预评函-2'!R6</f>
        <v>28087</v>
      </c>
    </row>
    <row r="51" spans="1:2">
      <c r="A51" s="2901" t="s">
        <v>2746</v>
      </c>
      <c r="B51" s="2902" t="str">
        <f>'预评函-2'!A7</f>
        <v>——</v>
      </c>
    </row>
    <row r="52" spans="1:2">
      <c r="A52" s="2901" t="s">
        <v>2731</v>
      </c>
      <c r="B52" s="2902" t="str">
        <f>'预评函-2'!R7</f>
        <v>——</v>
      </c>
    </row>
    <row r="53" spans="1:2">
      <c r="A53" s="2901" t="s">
        <v>2747</v>
      </c>
      <c r="B53" s="2902">
        <f>'预评函-2'!A8</f>
        <v>0</v>
      </c>
    </row>
    <row r="54" spans="1:2" s="2916" customFormat="1" ht="15" thickBot="1">
      <c r="A54" s="2923" t="s">
        <v>2732</v>
      </c>
      <c r="B54" s="2924" t="str">
        <f>'预评函-2'!R8</f>
        <v>——</v>
      </c>
    </row>
    <row r="55" spans="1:2" ht="15" thickTop="1">
      <c r="A55" s="2912" t="s">
        <v>2682</v>
      </c>
      <c r="B55" s="2913" t="str">
        <f>'预评函-3'!A2</f>
        <v>1.权利限制：根据估价对象《不动产权证书》原件、《国有土地使用权》复印件，截至估价期日，估价对象抵押权未见登记。未设定租赁等其他他项权利。</v>
      </c>
    </row>
    <row r="56" spans="1:2">
      <c r="A56" s="2901" t="s">
        <v>2683</v>
      </c>
      <c r="B56" s="2902" t="str">
        <f>'预评函-3'!A3</f>
        <v>2.基础设施条件：估价对象实际开发程度为红线外七通、宗地红线内场地平整；本次评估设定开发程度为红线外七通、宗地红线内场地平整。</v>
      </c>
    </row>
    <row r="57" spans="1:2">
      <c r="A57" s="2901" t="s">
        <v>2684</v>
      </c>
      <c r="B57" s="2902" t="str">
        <f>'预评函-3'!A4</f>
        <v>3.估价规划限制条件：详见《建设工程规划许可证》[]、《出让合同》[]。</v>
      </c>
    </row>
    <row r="58" spans="1:2" s="2916" customFormat="1" ht="15" thickBot="1">
      <c r="A58" s="2923" t="s">
        <v>2733</v>
      </c>
      <c r="B58" s="2924" t="str">
        <f>'预评函-3'!A5</f>
        <v>4.影响价格的其他限定条件：无。</v>
      </c>
    </row>
    <row r="59" spans="1:2" ht="15" thickTop="1">
      <c r="A59" s="2912" t="s">
        <v>2685</v>
      </c>
      <c r="B59" s="2913" t="str">
        <f>'预评函-3'!A8</f>
        <v>2.本《评估意见函》仅供金融机构进行内部审核使用，不做其他目的之用。</v>
      </c>
    </row>
    <row r="60" spans="1:2">
      <c r="A60" s="2901" t="s">
        <v>2686</v>
      </c>
      <c r="B60" s="2902" t="str">
        <f>'预评函-3'!A9</f>
        <v>3.抵押双方在办理抵押登记手续时，应使用本公司出具的正式《土地估价报告》，特提请报告使用者注意。</v>
      </c>
    </row>
    <row r="61" spans="1:2">
      <c r="A61" s="2901" t="s">
        <v>2688</v>
      </c>
      <c r="B61" s="2902" t="str">
        <f>'预评函-3'!A10</f>
        <v>4.估价师所知悉的法定优先受偿款情况为：</v>
      </c>
    </row>
    <row r="62" spans="1:2">
      <c r="A62" s="2901" t="s">
        <v>2687</v>
      </c>
      <c r="B62" s="2902" t="str">
        <f>'预评函-3'!A11</f>
        <v>（1）根据估价对象《不动产权证书》原件、《国有土地使用权》复印件，截至估价期日，估价对象抵押权未见登记。</v>
      </c>
    </row>
    <row r="63" spans="1:2">
      <c r="A63" s="2901" t="s">
        <v>2689</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2690</v>
      </c>
      <c r="B64" s="2907" t="str">
        <f>'预评函-3'!A13</f>
        <v>（3）。</v>
      </c>
    </row>
    <row r="65" spans="1:2">
      <c r="A65" s="2901" t="s">
        <v>2691</v>
      </c>
      <c r="B65" s="2908" t="str">
        <f>'预评函-3'!A14</f>
        <v>综上，本次评估不存在估价师知悉的法定优先受偿款</v>
      </c>
    </row>
    <row r="66" spans="1:2">
      <c r="A66" s="2901" t="s">
        <v>2692</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2693</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2696</v>
      </c>
      <c r="B68" s="2927">
        <f>'预评函-3'!D30</f>
        <v>42558</v>
      </c>
    </row>
    <row r="69" spans="1:2" ht="15" thickTop="1">
      <c r="A69" s="2912" t="s">
        <v>2694</v>
      </c>
      <c r="B69" s="2913" t="str">
        <f>'预评函-3'!A20</f>
        <v>刘梅</v>
      </c>
    </row>
    <row r="70" spans="1:2">
      <c r="A70" s="2901" t="s">
        <v>2694</v>
      </c>
      <c r="B70" s="2908">
        <f ca="1">'预评函-3'!B20</f>
        <v>2008110059</v>
      </c>
    </row>
    <row r="71" spans="1:2">
      <c r="A71" s="2901" t="s">
        <v>2695</v>
      </c>
      <c r="B71" s="2902" t="str">
        <f>'预评函-3'!A21</f>
        <v>吴薇</v>
      </c>
    </row>
    <row r="72" spans="1:2" s="2916" customFormat="1" ht="15" thickBot="1">
      <c r="A72" s="2923" t="s">
        <v>2695</v>
      </c>
      <c r="B72" s="2929">
        <f ca="1">'预评函-3'!B21</f>
        <v>2002110125</v>
      </c>
    </row>
    <row r="73" spans="1:2" ht="15" thickTop="1">
      <c r="A73" s="2912" t="s">
        <v>2754</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2755</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2756</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2791</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244" t="str">
        <f>IF(B10="北京市","北京市",C10)&amp;F10&amp;B16&amp;"国有建设用地使用权"&amp;B9&amp;"预评估"</f>
        <v>江苏省宜兴市环科园绿园路北侧兴业路东侧一宗住宅、商业及地下车库用途出让国有建设用地使用权出让国有建设用地使用权抵押价格预评估</v>
      </c>
      <c r="C1" s="3245"/>
      <c r="D1" s="3245"/>
      <c r="E1" s="3245"/>
      <c r="F1" s="3245"/>
      <c r="G1" s="3245"/>
      <c r="H1" s="3245"/>
      <c r="I1" s="3246"/>
      <c r="J1" s="1692"/>
      <c r="K1" s="2478" t="str">
        <f>IF(B10="北京市","北京市",C10)&amp;F10&amp;B16&amp;"国有建设用地使用权"&amp;B9</f>
        <v>江苏省宜兴市环科园绿园路北侧兴业路东侧一宗住宅、商业及地下车库用途出让国有建设用地使用权出让国有建设用地使用权抵押价格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8" t="str">
        <f>IF(B10="北京市","北京市",C10)&amp;F10&amp;B16&amp;"国有建设用地使用权"</f>
        <v>江苏省宜兴市环科园绿园路北侧兴业路东侧一宗住宅、商业及地下车库用途出让国有建设用地使用权出让国有建设用地使用权</v>
      </c>
      <c r="L2" s="1721"/>
      <c r="M2" s="1721"/>
      <c r="N2" s="1692"/>
      <c r="O2" s="1693"/>
      <c r="P2" s="1692"/>
      <c r="Q2" s="1692"/>
      <c r="R2" s="1692"/>
      <c r="S2" s="1692"/>
      <c r="T2" s="1692"/>
      <c r="U2" s="1692"/>
    </row>
    <row r="3" spans="1:21">
      <c r="A3" s="1659" t="s">
        <v>1942</v>
      </c>
      <c r="B3" s="1660">
        <v>43249</v>
      </c>
      <c r="C3" s="1661" t="s">
        <v>1998</v>
      </c>
      <c r="D3" s="1660">
        <v>43249</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3181</v>
      </c>
      <c r="C4" s="1844">
        <f ca="1">SUMIF(土地估价师,B4,估价师及机构信息!E3:E24)</f>
        <v>2008110059</v>
      </c>
      <c r="D4" s="1841" t="s">
        <v>3182</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1944</v>
      </c>
      <c r="B5" s="1787" t="s">
        <v>3183</v>
      </c>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t="s">
        <v>3184</v>
      </c>
      <c r="C6" s="1759"/>
      <c r="D6" s="1666"/>
      <c r="E6" s="1692"/>
      <c r="F6" s="1692"/>
      <c r="G6" s="1692"/>
      <c r="H6" s="1658"/>
      <c r="I6" s="1693"/>
      <c r="J6" s="1692"/>
      <c r="K6" s="3078" t="str">
        <f>IF(COUNTIF(B6,"*上海银行*"),"上海银行","")</f>
        <v/>
      </c>
      <c r="L6" s="1721"/>
      <c r="M6" s="1721"/>
      <c r="N6" s="1692"/>
      <c r="O6" s="1693"/>
      <c r="P6" s="1692"/>
      <c r="Q6" s="1692"/>
      <c r="R6" s="1692"/>
      <c r="S6" s="1692"/>
      <c r="T6" s="1692"/>
      <c r="U6" s="1692"/>
    </row>
    <row r="7" spans="1:21">
      <c r="A7" s="1667" t="s">
        <v>2711</v>
      </c>
      <c r="B7" s="1787" t="str">
        <f>B5</f>
        <v>苏州市梁雨庭置业有限公司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3147</v>
      </c>
      <c r="C8" s="1669"/>
      <c r="D8" s="3250" t="s">
        <v>1947</v>
      </c>
      <c r="E8" s="1842" t="s">
        <v>3148</v>
      </c>
      <c r="F8" s="1670"/>
      <c r="G8" s="1658"/>
      <c r="H8" s="1658"/>
      <c r="I8" s="1705"/>
      <c r="J8" s="1692"/>
      <c r="K8" s="1772"/>
      <c r="L8" s="1721"/>
      <c r="M8" s="1721"/>
      <c r="N8" s="1692"/>
      <c r="O8" s="1693"/>
      <c r="P8" s="1692"/>
      <c r="Q8" s="1692"/>
      <c r="R8" s="1692"/>
      <c r="S8" s="1692"/>
      <c r="T8" s="1692"/>
      <c r="U8" s="1692"/>
    </row>
    <row r="9" spans="1:21" ht="15" thickBot="1">
      <c r="A9" s="1671" t="s">
        <v>1946</v>
      </c>
      <c r="B9" s="1672" t="s">
        <v>3148</v>
      </c>
      <c r="C9" s="1673"/>
      <c r="D9" s="3251"/>
      <c r="E9" s="1672"/>
      <c r="F9" s="1745"/>
      <c r="G9" s="1740"/>
      <c r="H9" s="1740"/>
      <c r="I9" s="1741"/>
      <c r="J9" s="1692"/>
      <c r="K9" s="1772"/>
      <c r="L9" s="1721"/>
      <c r="M9" s="1721"/>
      <c r="N9" s="1692"/>
      <c r="O9" s="1693"/>
      <c r="P9" s="1692"/>
      <c r="Q9" s="1692"/>
      <c r="R9" s="1692"/>
      <c r="S9" s="1692"/>
      <c r="T9" s="1692"/>
      <c r="U9" s="1692"/>
    </row>
    <row r="10" spans="1:21" ht="15" thickTop="1">
      <c r="A10" s="1742" t="s">
        <v>2002</v>
      </c>
      <c r="B10" s="1717" t="s">
        <v>3149</v>
      </c>
      <c r="C10" s="1674" t="s">
        <v>3186</v>
      </c>
      <c r="D10" s="1665"/>
      <c r="E10" s="1675" t="s">
        <v>1949</v>
      </c>
      <c r="F10" s="1676" t="s">
        <v>3185</v>
      </c>
      <c r="G10" s="1743"/>
      <c r="H10" s="1744"/>
      <c r="I10" s="1665"/>
      <c r="J10" s="1692"/>
      <c r="K10" s="1772"/>
      <c r="L10" s="1721"/>
      <c r="M10" s="1721"/>
      <c r="N10" s="1692"/>
      <c r="O10" s="1693"/>
      <c r="P10" s="1692"/>
      <c r="Q10" s="1692"/>
      <c r="R10" s="1692"/>
      <c r="S10" s="1692"/>
      <c r="T10" s="1692"/>
      <c r="U10" s="1692"/>
    </row>
    <row r="11" spans="1:21">
      <c r="A11" s="1695" t="s">
        <v>2003</v>
      </c>
      <c r="B11" s="1696" t="s">
        <v>3150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247" t="s">
        <v>3187</v>
      </c>
      <c r="C12" s="3248"/>
      <c r="D12" s="3249"/>
      <c r="E12" s="1697" t="s">
        <v>2064</v>
      </c>
      <c r="F12" s="3265"/>
      <c r="G12" s="3266"/>
      <c r="H12" s="3266"/>
      <c r="I12" s="3267"/>
      <c r="J12" s="1692"/>
      <c r="K12" s="1772"/>
      <c r="L12" s="1721"/>
      <c r="M12" s="1721"/>
      <c r="N12" s="1692"/>
      <c r="O12" s="1693"/>
      <c r="P12" s="1692"/>
      <c r="Q12" s="1692"/>
      <c r="R12" s="1692"/>
      <c r="S12" s="1692"/>
      <c r="T12" s="1692"/>
      <c r="U12" s="1692"/>
    </row>
    <row r="13" spans="1:21">
      <c r="A13" s="1685" t="s">
        <v>2062</v>
      </c>
      <c r="B13" s="3247" t="s">
        <v>3188</v>
      </c>
      <c r="C13" s="3248"/>
      <c r="D13" s="3249"/>
      <c r="E13" s="1697" t="s">
        <v>2064</v>
      </c>
      <c r="F13" s="3265" t="s">
        <v>2893</v>
      </c>
      <c r="G13" s="3266"/>
      <c r="H13" s="3266"/>
      <c r="I13" s="3267"/>
      <c r="J13" s="1692"/>
      <c r="K13" s="1772"/>
      <c r="L13" s="1721"/>
      <c r="M13" s="1721"/>
      <c r="N13" s="1692"/>
      <c r="O13" s="1693"/>
      <c r="P13" s="1692"/>
      <c r="Q13" s="1692"/>
      <c r="R13" s="1692"/>
      <c r="S13" s="1692"/>
      <c r="T13" s="1692"/>
      <c r="U13" s="1692"/>
    </row>
    <row r="14" spans="1:21">
      <c r="A14" s="1659" t="s">
        <v>2065</v>
      </c>
      <c r="B14" s="1697"/>
      <c r="C14" s="1843" t="s">
        <v>3151</v>
      </c>
      <c r="D14" s="1731" t="str">
        <f>IF(C14="不一致","是否符合证载地类范围","")</f>
        <v/>
      </c>
      <c r="E14" s="1697"/>
      <c r="F14" s="1788" t="s">
        <v>3153</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3152</v>
      </c>
      <c r="C16" s="1697" t="s">
        <v>1951</v>
      </c>
      <c r="D16" s="2669" t="s">
        <v>1952</v>
      </c>
      <c r="E16" s="1720" t="s">
        <v>3154</v>
      </c>
      <c r="F16" s="1720"/>
      <c r="G16" s="1720" t="s">
        <v>35</v>
      </c>
      <c r="H16" s="1720"/>
      <c r="I16" s="1684" t="s">
        <v>1957</v>
      </c>
      <c r="J16" s="1692"/>
      <c r="K16" s="2479" t="str">
        <f>IF(D17="","",D16&amp;TEXT(D17,"yyyy年m月d日;;"))</f>
        <v>住宅2088年5月29日</v>
      </c>
      <c r="L16" s="1697" t="str">
        <f>IF(OR(K16="",M16=""),"","、")</f>
        <v>、</v>
      </c>
      <c r="M16" s="2479" t="str">
        <f>IF(E17="","",E16&amp;TEXT(E17,"yyyy年m月d日;;"))</f>
        <v>商业2058年5月29日</v>
      </c>
      <c r="N16" s="1697" t="str">
        <f>IF(OR(M16="",O16=""),"","、")</f>
        <v/>
      </c>
      <c r="O16" s="2479" t="str">
        <f>IF(F17="","",F16&amp;TEXT(F17,"yyyy年m月d日;;"))</f>
        <v/>
      </c>
      <c r="P16" s="1697" t="str">
        <f>IF(OR(O16="",Q16=""),"","、")</f>
        <v/>
      </c>
      <c r="Q16" s="2479" t="str">
        <f>IF(G17="","",G16&amp;TEXT(G17,"yyyy年m月d日;;"))</f>
        <v>地下车库2068年5月29日</v>
      </c>
      <c r="R16" s="1697" t="str">
        <f>IF(OR(Q16="",S16=""),"","、")</f>
        <v/>
      </c>
      <c r="S16" s="2479" t="str">
        <f>IF(H17="","",H16&amp;TEXT(H17,"yyyy年m月d日;;"))</f>
        <v/>
      </c>
      <c r="T16" s="1697" t="str">
        <f>IF(OR(S16="",U16=""),"","、")</f>
        <v/>
      </c>
      <c r="U16" s="2479" t="str">
        <f>IF(I17="","",I16&amp;TEXT(I17,"yyyy年m月d日;;"))</f>
        <v/>
      </c>
    </row>
    <row r="17" spans="1:21">
      <c r="A17" s="1761"/>
      <c r="B17" s="1680"/>
      <c r="C17" s="1681" t="s">
        <v>1958</v>
      </c>
      <c r="D17" s="1698">
        <v>68817</v>
      </c>
      <c r="E17" s="1698">
        <v>57859</v>
      </c>
      <c r="F17" s="1698"/>
      <c r="G17" s="1698">
        <v>61512</v>
      </c>
      <c r="H17" s="1698"/>
      <c r="I17" s="1698"/>
      <c r="J17" s="1692"/>
      <c r="K17" s="2478" t="str">
        <f>CONCATENATE(K16,L16,M16,N16,O16,P16,Q16,R16,S16,T16,,U16)</f>
        <v>住宅2088年5月29日、商业2058年5月29日地下车库2068年5月29日</v>
      </c>
      <c r="L17" s="1721"/>
      <c r="M17" s="1721"/>
      <c r="N17" s="1692"/>
      <c r="O17" s="1693"/>
      <c r="P17" s="1692"/>
      <c r="Q17" s="1692"/>
      <c r="R17" s="1692"/>
      <c r="S17" s="1692"/>
      <c r="T17" s="1692"/>
      <c r="U17" s="1692"/>
    </row>
    <row r="18" spans="1:21">
      <c r="A18" s="1761"/>
      <c r="B18" s="1680"/>
      <c r="C18" s="1681" t="s">
        <v>1959</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1960</v>
      </c>
      <c r="D19" s="1756">
        <f>IF(B16="出让",IF(D17="","",ROUNDDOWN(MIN((D17-$D$3)/365,D18),2)),D18)</f>
        <v>70</v>
      </c>
      <c r="E19" s="1683">
        <f>IF(B16="出让",IF(E17="","",ROUNDDOWN(MIN((E17-$D$3)/365,E18),2)),E18)</f>
        <v>40</v>
      </c>
      <c r="F19" s="1683" t="str">
        <f>IF(B16="出让",IF(F17="","",ROUNDDOWN(MIN((F17-$D$3)/365,F18),2)),F18)</f>
        <v/>
      </c>
      <c r="G19" s="1683">
        <f>IF(B16="出让",IF(G17="","",ROUNDDOWN(MIN((G17-$D$3)/365,G18),2)),G18)</f>
        <v>50</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262" t="s">
        <v>3189</v>
      </c>
      <c r="E20" s="3263"/>
      <c r="F20" s="3263"/>
      <c r="G20" s="3263"/>
      <c r="H20" s="3263"/>
      <c r="I20" s="3264"/>
      <c r="J20" s="1692"/>
      <c r="K20" s="1772"/>
      <c r="L20" s="1721"/>
      <c r="M20" s="1721"/>
      <c r="N20" s="1692"/>
      <c r="O20" s="1693"/>
      <c r="P20" s="1692"/>
      <c r="Q20" s="1692"/>
      <c r="R20" s="1692"/>
      <c r="S20" s="1692"/>
      <c r="T20" s="1692"/>
      <c r="U20" s="1692"/>
    </row>
    <row r="21" spans="1:21">
      <c r="A21" s="1761" t="s">
        <v>1961</v>
      </c>
      <c r="B21" s="1762" t="s">
        <v>1962</v>
      </c>
      <c r="C21" s="1757">
        <f>'数据-汇总表'!E3</f>
        <v>53350.36</v>
      </c>
      <c r="D21" s="1758" t="s">
        <v>1963</v>
      </c>
      <c r="E21" s="3252" t="s">
        <v>2001</v>
      </c>
      <c r="F21" s="3253"/>
      <c r="G21" s="3253"/>
      <c r="H21" s="3253"/>
      <c r="I21" s="3254"/>
      <c r="J21" s="1692"/>
      <c r="K21" s="1772"/>
      <c r="L21" s="1721"/>
      <c r="M21" s="1721"/>
      <c r="N21" s="1692"/>
      <c r="O21" s="1693"/>
      <c r="P21" s="1692"/>
      <c r="Q21" s="1692"/>
      <c r="R21" s="1692"/>
      <c r="S21" s="1692"/>
      <c r="T21" s="1692"/>
      <c r="U21" s="1692"/>
    </row>
    <row r="22" spans="1:21">
      <c r="A22" s="3175" t="s">
        <v>952</v>
      </c>
      <c r="B22" s="1659" t="s">
        <v>1964</v>
      </c>
      <c r="C22" s="1684">
        <f>'数据-汇总表'!D3</f>
        <v>25829</v>
      </c>
      <c r="D22" s="1685" t="s">
        <v>1963</v>
      </c>
      <c r="E22" s="3252" t="s">
        <v>2894</v>
      </c>
      <c r="F22" s="3253"/>
      <c r="G22" s="3253"/>
      <c r="H22" s="3253"/>
      <c r="I22" s="3254"/>
      <c r="J22" s="1692"/>
      <c r="K22" s="1772"/>
      <c r="L22" s="1721"/>
      <c r="M22" s="1721"/>
      <c r="N22" s="1692"/>
      <c r="O22" s="1693"/>
      <c r="P22" s="1692"/>
      <c r="Q22" s="1692"/>
      <c r="R22" s="1692"/>
      <c r="S22" s="1692"/>
      <c r="T22" s="1692"/>
      <c r="U22" s="1692"/>
    </row>
    <row r="23" spans="1:21" ht="43.5" thickBot="1">
      <c r="A23" s="1763" t="s">
        <v>1965</v>
      </c>
      <c r="B23" s="1699" t="s">
        <v>1966</v>
      </c>
      <c r="C23" s="1700" t="s">
        <v>3155</v>
      </c>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55" t="s">
        <v>1969</v>
      </c>
      <c r="C24" s="3256"/>
      <c r="D24" s="3257" t="s">
        <v>1970</v>
      </c>
      <c r="E24" s="3258"/>
      <c r="F24" s="1706" t="s">
        <v>1971</v>
      </c>
      <c r="G24" s="1692"/>
      <c r="H24" s="1692"/>
      <c r="I24" s="1705"/>
      <c r="J24" s="1692"/>
      <c r="K24" s="3243" t="s">
        <v>1972</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24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24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4"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5"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5"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6"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29" t="s">
        <v>2004</v>
      </c>
      <c r="B31" s="1762" t="s">
        <v>2005</v>
      </c>
      <c r="C31" s="3268" t="s">
        <v>3156</v>
      </c>
      <c r="D31" s="3269"/>
      <c r="E31" s="1692"/>
      <c r="F31" s="1692"/>
      <c r="G31" s="1692"/>
      <c r="H31" s="1692"/>
      <c r="I31" s="1705"/>
      <c r="J31" s="1692"/>
      <c r="K31" s="2481"/>
      <c r="L31" s="1692"/>
      <c r="M31" s="1692"/>
      <c r="N31" s="1692"/>
      <c r="O31" s="1692"/>
      <c r="P31" s="1692"/>
      <c r="Q31" s="1692"/>
      <c r="R31" s="1692"/>
      <c r="S31" s="1692"/>
      <c r="T31" s="1692"/>
      <c r="U31" s="1692"/>
    </row>
    <row r="32" spans="1:21">
      <c r="A32" s="3229"/>
      <c r="B32" s="1659" t="s">
        <v>2006</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29"/>
      <c r="B33" s="1659" t="s">
        <v>2007</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30"/>
      <c r="B34" s="1659" t="s">
        <v>2008</v>
      </c>
      <c r="C34" s="3231"/>
      <c r="D34" s="3232"/>
      <c r="E34" s="1692"/>
      <c r="F34" s="1692"/>
      <c r="G34" s="1692"/>
      <c r="H34" s="1692"/>
      <c r="I34" s="1705"/>
      <c r="J34" s="1692"/>
      <c r="K34" s="2481"/>
      <c r="L34" s="1692"/>
      <c r="M34" s="1692"/>
      <c r="N34" s="1692"/>
      <c r="O34" s="1692"/>
      <c r="P34" s="1692"/>
      <c r="Q34" s="1692"/>
      <c r="R34" s="1692"/>
      <c r="S34" s="1692"/>
      <c r="T34" s="1692"/>
      <c r="U34" s="1692"/>
    </row>
    <row r="35" spans="1:21">
      <c r="A35" s="3233" t="s">
        <v>847</v>
      </c>
      <c r="B35" s="1720" t="s">
        <v>3157</v>
      </c>
      <c r="C35" s="1774" t="str">
        <f>IF(B35="场地平整","——","具体情况：")</f>
        <v>——</v>
      </c>
      <c r="D35" s="3235"/>
      <c r="E35" s="3236"/>
      <c r="F35" s="3236"/>
      <c r="G35" s="3236"/>
      <c r="H35" s="3236"/>
      <c r="I35" s="3237"/>
      <c r="J35" s="1692"/>
      <c r="K35" s="1773"/>
      <c r="L35" s="1721"/>
      <c r="M35" s="1721"/>
      <c r="N35" s="1692"/>
      <c r="O35" s="1693"/>
      <c r="P35" s="1692"/>
      <c r="Q35" s="1692"/>
      <c r="R35" s="1692"/>
      <c r="S35" s="1692"/>
      <c r="T35" s="1692"/>
      <c r="U35" s="1692"/>
    </row>
    <row r="36" spans="1:21">
      <c r="A36" s="3229"/>
      <c r="B36" s="3238" t="s">
        <v>2057</v>
      </c>
      <c r="C36" s="3239"/>
      <c r="D36" s="1790" t="s">
        <v>3158</v>
      </c>
      <c r="E36" s="3240"/>
      <c r="F36" s="3240"/>
      <c r="G36" s="1685" t="str">
        <f>IF(B35="场地未平整","估价结果处理","")</f>
        <v/>
      </c>
      <c r="H36" s="3241"/>
      <c r="I36" s="3241"/>
      <c r="J36" s="1692"/>
      <c r="K36" s="1773"/>
      <c r="L36" s="1721"/>
      <c r="M36" s="1721"/>
      <c r="N36" s="1692"/>
      <c r="O36" s="1693"/>
      <c r="P36" s="1692"/>
      <c r="Q36" s="1692"/>
      <c r="R36" s="1692"/>
      <c r="S36" s="1692"/>
      <c r="T36" s="1692"/>
      <c r="U36" s="1692"/>
    </row>
    <row r="37" spans="1:21" ht="28.5">
      <c r="A37" s="3229"/>
      <c r="B37" s="325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9"/>
      <c r="B38" s="3260"/>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30"/>
      <c r="B39" s="326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3159</v>
      </c>
      <c r="C40" s="1688" t="s">
        <v>3160</v>
      </c>
      <c r="D40" s="1688" t="s">
        <v>3161</v>
      </c>
      <c r="E40" s="1688"/>
      <c r="F40" s="1688"/>
      <c r="G40" s="1688"/>
      <c r="H40" s="1688"/>
      <c r="I40" s="1705"/>
      <c r="J40" s="1692"/>
      <c r="K40" s="1728">
        <f>COUNTIF(B40:H40,"——")</f>
        <v>0</v>
      </c>
      <c r="L40" s="1697" t="s">
        <v>1981</v>
      </c>
      <c r="M40" s="1694" t="s">
        <v>1982</v>
      </c>
      <c r="N40" s="1694" t="s">
        <v>1983</v>
      </c>
      <c r="O40" s="1694" t="s">
        <v>1984</v>
      </c>
      <c r="P40" s="1694" t="s">
        <v>1985</v>
      </c>
      <c r="Q40" s="1694" t="s">
        <v>1986</v>
      </c>
      <c r="R40" s="1694" t="s">
        <v>1987</v>
      </c>
      <c r="S40" s="3242" t="s">
        <v>1988</v>
      </c>
      <c r="T40" s="1729" t="str">
        <f>NUMBERSTRING(7-K40,1)&amp;"通"</f>
        <v>七通</v>
      </c>
      <c r="U40" s="1692"/>
    </row>
    <row r="41" spans="1:21">
      <c r="A41" s="1661"/>
      <c r="B41" s="3234" t="s">
        <v>1722</v>
      </c>
      <c r="C41" s="3234"/>
      <c r="D41" s="3234"/>
      <c r="E41" s="3234"/>
      <c r="F41" s="1730" t="str">
        <f>C10</f>
        <v>江苏省</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242"/>
      <c r="T41" s="1731" t="str">
        <f>IF(T40="一通",L41,IF(T40="二通",M41,IF(T40="三通",N41,IF(T40="四通",O41,IF(T40="五通",P41,IF(T40="六通",Q41,R41))))))</f>
        <v>通路、通电、通上水、、、、</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5" customFormat="1" ht="21" thickBot="1">
      <c r="A45" s="3096" t="s">
        <v>2895</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I20" sqref="AI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25829</v>
      </c>
      <c r="B3" s="22">
        <f>IF(C3="否",G5-AT5,G5)</f>
        <v>53350.36</v>
      </c>
      <c r="C3" s="23"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53350.36</v>
      </c>
      <c r="H5" s="27">
        <f t="shared" ref="H5:AT5" si="0">SUM(H13:H641)</f>
        <v>52672.57</v>
      </c>
      <c r="I5" s="27">
        <f t="shared" si="0"/>
        <v>39893.33</v>
      </c>
      <c r="J5" s="27">
        <f t="shared" si="0"/>
        <v>0</v>
      </c>
      <c r="K5" s="27">
        <f t="shared" si="0"/>
        <v>754.88</v>
      </c>
      <c r="L5" s="27">
        <f t="shared" si="0"/>
        <v>0</v>
      </c>
      <c r="M5" s="27">
        <f t="shared" si="0"/>
        <v>12024.36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677.79</v>
      </c>
      <c r="AD5" s="27">
        <f t="shared" si="0"/>
        <v>334.97</v>
      </c>
      <c r="AE5" s="27">
        <f t="shared" si="0"/>
        <v>0</v>
      </c>
      <c r="AF5" s="27">
        <f t="shared" si="0"/>
        <v>0</v>
      </c>
      <c r="AG5" s="27">
        <f t="shared" si="0"/>
        <v>0</v>
      </c>
      <c r="AH5" s="27">
        <f t="shared" si="0"/>
        <v>0</v>
      </c>
      <c r="AI5" s="27">
        <f t="shared" si="0"/>
        <v>0</v>
      </c>
      <c r="AJ5" s="27">
        <f t="shared" si="0"/>
        <v>0</v>
      </c>
      <c r="AK5" s="27">
        <f t="shared" si="0"/>
        <v>0</v>
      </c>
      <c r="AL5" s="27">
        <f t="shared" si="0"/>
        <v>342.82</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53350.36</v>
      </c>
      <c r="BA5" s="29">
        <f t="shared" si="1"/>
        <v>52672.57</v>
      </c>
      <c r="BB5" s="29">
        <f t="shared" si="1"/>
        <v>39893.33</v>
      </c>
      <c r="BC5" s="29">
        <f t="shared" si="1"/>
        <v>754.88</v>
      </c>
      <c r="BD5" s="29">
        <f t="shared" si="1"/>
        <v>12024.36</v>
      </c>
      <c r="BE5" s="29">
        <f t="shared" si="1"/>
        <v>0</v>
      </c>
      <c r="BF5" s="29">
        <f t="shared" si="1"/>
        <v>0</v>
      </c>
      <c r="BG5" s="29">
        <f t="shared" si="1"/>
        <v>0</v>
      </c>
      <c r="BH5" s="29">
        <f t="shared" si="1"/>
        <v>0</v>
      </c>
      <c r="BI5" s="29">
        <f t="shared" si="1"/>
        <v>0</v>
      </c>
      <c r="BJ5" s="29">
        <f t="shared" si="1"/>
        <v>0</v>
      </c>
      <c r="BK5" s="29">
        <f t="shared" si="1"/>
        <v>0</v>
      </c>
      <c r="BL5" s="29">
        <f t="shared" si="1"/>
        <v>677.79</v>
      </c>
      <c r="BM5" s="29">
        <f t="shared" si="1"/>
        <v>334.97</v>
      </c>
      <c r="BN5" s="29">
        <f t="shared" si="1"/>
        <v>0</v>
      </c>
      <c r="BO5" s="29">
        <f t="shared" si="1"/>
        <v>0</v>
      </c>
      <c r="BP5" s="29">
        <f t="shared" si="1"/>
        <v>0</v>
      </c>
      <c r="BQ5" s="29">
        <f t="shared" si="1"/>
        <v>342.82</v>
      </c>
      <c r="BR5" s="29">
        <f t="shared" si="1"/>
        <v>0</v>
      </c>
      <c r="BS5" s="29">
        <f t="shared" si="1"/>
        <v>0</v>
      </c>
      <c r="BT5" s="30">
        <f t="shared" si="1"/>
        <v>0</v>
      </c>
    </row>
    <row r="6" spans="1:72" s="37" customFormat="1" ht="12.75">
      <c r="A6" s="26" t="s">
        <v>169</v>
      </c>
      <c r="B6" s="31"/>
      <c r="C6" s="31"/>
      <c r="D6" s="32"/>
      <c r="E6" s="27">
        <f>H6+AC6+AT6</f>
        <v>25828.989999999998</v>
      </c>
      <c r="F6" s="27" t="s">
        <v>1</v>
      </c>
      <c r="G6" s="27" t="s">
        <v>2</v>
      </c>
      <c r="H6" s="33">
        <f>SUMIF(I$12:AB$12,"总值",I6:AB6)</f>
        <v>25500.85</v>
      </c>
      <c r="I6" s="27">
        <f t="shared" ref="I6:AB6" si="2">ROUND($A$3*I5/$B$3,2)</f>
        <v>19313.919999999998</v>
      </c>
      <c r="J6" s="27">
        <f t="shared" si="2"/>
        <v>0</v>
      </c>
      <c r="K6" s="27">
        <f t="shared" si="2"/>
        <v>365.47</v>
      </c>
      <c r="L6" s="27">
        <f t="shared" si="2"/>
        <v>0</v>
      </c>
      <c r="M6" s="27">
        <f t="shared" si="2"/>
        <v>5821.46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328.14</v>
      </c>
      <c r="AD6" s="27">
        <f t="shared" ref="AD6:AS6" si="3">ROUND($A$3*AD5/$B$3,2)</f>
        <v>162.16999999999999</v>
      </c>
      <c r="AE6" s="27">
        <f t="shared" si="3"/>
        <v>0</v>
      </c>
      <c r="AF6" s="27">
        <f t="shared" si="3"/>
        <v>0</v>
      </c>
      <c r="AG6" s="27">
        <f t="shared" si="3"/>
        <v>0</v>
      </c>
      <c r="AH6" s="27">
        <f t="shared" si="3"/>
        <v>0</v>
      </c>
      <c r="AI6" s="27">
        <f t="shared" si="3"/>
        <v>0</v>
      </c>
      <c r="AJ6" s="27">
        <f t="shared" si="3"/>
        <v>0</v>
      </c>
      <c r="AK6" s="27">
        <f t="shared" si="3"/>
        <v>0</v>
      </c>
      <c r="AL6" s="27">
        <f t="shared" si="3"/>
        <v>165.97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25829</v>
      </c>
      <c r="AZ6" s="27" t="s">
        <v>3</v>
      </c>
      <c r="BA6" s="27">
        <f>ROUND($AY$6*BA5/$AZ$5,2)</f>
        <v>25500.86</v>
      </c>
      <c r="BB6" s="27">
        <f>ROUND($AY$6*BB5/$AZ$5,2)</f>
        <v>19313.919999999998</v>
      </c>
      <c r="BC6" s="27">
        <f t="shared" ref="BC6:BH6" si="4">ROUND($AY$6*BC5/$AZ$5,2)</f>
        <v>365.47</v>
      </c>
      <c r="BD6" s="27">
        <f t="shared" si="4"/>
        <v>5821.46</v>
      </c>
      <c r="BE6" s="27">
        <f t="shared" si="4"/>
        <v>0</v>
      </c>
      <c r="BF6" s="27">
        <f t="shared" si="4"/>
        <v>0</v>
      </c>
      <c r="BG6" s="27">
        <f t="shared" si="4"/>
        <v>0</v>
      </c>
      <c r="BH6" s="27">
        <f t="shared" si="4"/>
        <v>0</v>
      </c>
      <c r="BI6" s="27">
        <f t="shared" ref="BI6:BT6" si="5">ROUND($AY$6*BI5/$AZ$5,2)</f>
        <v>0</v>
      </c>
      <c r="BJ6" s="27">
        <f t="shared" si="5"/>
        <v>0</v>
      </c>
      <c r="BK6" s="27">
        <f t="shared" si="5"/>
        <v>0</v>
      </c>
      <c r="BL6" s="27">
        <f t="shared" si="5"/>
        <v>328.14</v>
      </c>
      <c r="BM6" s="27">
        <f t="shared" si="5"/>
        <v>162.16999999999999</v>
      </c>
      <c r="BN6" s="27">
        <f t="shared" si="5"/>
        <v>0</v>
      </c>
      <c r="BO6" s="27">
        <f t="shared" si="5"/>
        <v>0</v>
      </c>
      <c r="BP6" s="27">
        <f t="shared" si="5"/>
        <v>0</v>
      </c>
      <c r="BQ6" s="27">
        <f t="shared" si="5"/>
        <v>165.97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1" t="s">
        <v>3165</v>
      </c>
      <c r="J9" s="51"/>
      <c r="K9" s="3041" t="s">
        <v>3165</v>
      </c>
      <c r="L9" s="51"/>
      <c r="M9" s="3041" t="s">
        <v>3166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1" t="s">
        <v>923</v>
      </c>
      <c r="J10" s="51"/>
      <c r="K10" s="3043" t="s">
        <v>3154</v>
      </c>
      <c r="L10" s="51"/>
      <c r="M10" s="3043" t="s">
        <v>3167</v>
      </c>
      <c r="N10" s="51"/>
      <c r="O10" s="66"/>
      <c r="P10" s="51"/>
      <c r="Q10" s="66"/>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2"/>
      <c r="J11" s="71"/>
      <c r="K11" s="3042"/>
      <c r="L11" s="71"/>
      <c r="M11" s="70"/>
      <c r="N11" s="71"/>
      <c r="O11" s="70"/>
      <c r="P11" s="71"/>
      <c r="Q11" s="70"/>
      <c r="R11" s="71"/>
      <c r="S11" s="70"/>
      <c r="T11" s="71"/>
      <c r="U11" s="70"/>
      <c r="V11" s="71"/>
      <c r="W11" s="70"/>
      <c r="X11" s="71"/>
      <c r="Y11" s="70"/>
      <c r="Z11" s="71"/>
      <c r="AA11" s="70"/>
      <c r="AB11" s="71"/>
      <c r="AC11" s="55"/>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6"/>
      <c r="B13" s="3036"/>
      <c r="C13" s="3036" t="s">
        <v>3162</v>
      </c>
      <c r="D13" s="3037" t="s">
        <v>3168</v>
      </c>
      <c r="E13" s="27">
        <f t="shared" ref="E13:E20" si="6">IF($C$3="是",ROUND($A$3*G13/$B$3,2),ROUND($A$3*(G13-AT13)/$B$3,2))</f>
        <v>19642.07</v>
      </c>
      <c r="F13" s="81"/>
      <c r="G13" s="82">
        <f t="shared" ref="G13:G20" si="7">H13+AC13+AT13</f>
        <v>40571.120000000003</v>
      </c>
      <c r="H13" s="33">
        <f t="shared" ref="H13:H20" si="8">SUMIF(I$12:AB$12,"总值",I13:AB13)</f>
        <v>39893.33</v>
      </c>
      <c r="I13" s="3040">
        <v>39893.33</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677.79</v>
      </c>
      <c r="AD13" s="3044">
        <f>214.4+120.57</f>
        <v>334.97</v>
      </c>
      <c r="AE13" s="3044"/>
      <c r="AF13" s="3044"/>
      <c r="AG13" s="3044"/>
      <c r="AH13" s="3044"/>
      <c r="AI13" s="3044"/>
      <c r="AJ13" s="3044"/>
      <c r="AK13" s="3044"/>
      <c r="AL13" s="3044">
        <f>79.08+263.74</f>
        <v>342.82</v>
      </c>
      <c r="AM13" s="3044"/>
      <c r="AN13" s="3044"/>
      <c r="AO13" s="3044"/>
      <c r="AP13" s="3044"/>
      <c r="AQ13" s="3044"/>
      <c r="AR13" s="3044"/>
      <c r="AS13" s="3044"/>
      <c r="AT13" s="3045"/>
      <c r="AU13" s="3046"/>
      <c r="AV13" s="17">
        <f t="shared" ref="AV13:AX20" si="10">A13</f>
        <v>0</v>
      </c>
      <c r="AW13" s="17">
        <f t="shared" si="10"/>
        <v>0</v>
      </c>
      <c r="AX13" s="17" t="str">
        <f t="shared" si="10"/>
        <v>住宅</v>
      </c>
      <c r="AY13" s="994">
        <f t="shared" ref="AY13:AY20" si="11">ROUND($AY$6*AZ13/$AZ$5,2)</f>
        <v>19642.07</v>
      </c>
      <c r="AZ13" s="27">
        <f t="shared" ref="AZ13:AZ20" si="12">BA13+BL13</f>
        <v>40571.120000000003</v>
      </c>
      <c r="BA13" s="27">
        <f t="shared" ref="BA13:BA20" si="13">SUM(BB13:BK13)</f>
        <v>39893.33</v>
      </c>
      <c r="BB13" s="27">
        <f t="shared" ref="BB13:BB20" si="14">IF($D13="是",I13-J13,0)</f>
        <v>39893.33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677.79</v>
      </c>
      <c r="BM13" s="27">
        <f t="shared" ref="BM13:BM20" si="25">IF($D13="是",AD13-AE13,0)</f>
        <v>334.97</v>
      </c>
      <c r="BN13" s="27">
        <f t="shared" ref="BN13:BN20" si="26">IF($D13="是",AF13-AG13,0)</f>
        <v>0</v>
      </c>
      <c r="BO13" s="27">
        <f t="shared" ref="BO13:BO20" si="27">IF($D13="是",AH13-AI13,0)</f>
        <v>0</v>
      </c>
      <c r="BP13" s="27">
        <f t="shared" ref="BP13:BP20" si="28">IF($D13="是",AJ13-AK13,0)</f>
        <v>0</v>
      </c>
      <c r="BQ13" s="27">
        <f t="shared" ref="BQ13:BQ20" si="29">IF($D13="是",AL13-AM13,0)</f>
        <v>342.82</v>
      </c>
      <c r="BR13" s="27">
        <f t="shared" ref="BR13:BR20" si="30">IF($D13="是",AN13-AO13,0)</f>
        <v>0</v>
      </c>
      <c r="BS13" s="27">
        <f t="shared" ref="BS13:BS20" si="31">IF($D13="是",AP13-AQ13,0)</f>
        <v>0</v>
      </c>
      <c r="BT13" s="36">
        <f t="shared" ref="BT13:BT20" si="32">IF($D13="是",AR13-AS13,0)</f>
        <v>0</v>
      </c>
    </row>
    <row r="14" spans="1:72" s="18" customFormat="1" ht="12.75">
      <c r="A14" s="3036"/>
      <c r="B14" s="3036"/>
      <c r="C14" s="3038" t="s">
        <v>3163</v>
      </c>
      <c r="D14" s="3037" t="s">
        <v>3169</v>
      </c>
      <c r="E14" s="27">
        <f t="shared" si="6"/>
        <v>365.47</v>
      </c>
      <c r="F14" s="81"/>
      <c r="G14" s="82">
        <f t="shared" si="7"/>
        <v>754.88</v>
      </c>
      <c r="H14" s="33">
        <f t="shared" si="8"/>
        <v>754.88</v>
      </c>
      <c r="I14" s="3040"/>
      <c r="J14" s="3040"/>
      <c r="K14" s="3040">
        <v>754.88</v>
      </c>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t="str">
        <f t="shared" si="10"/>
        <v>商业</v>
      </c>
      <c r="AY14" s="994">
        <f t="shared" si="11"/>
        <v>365.47</v>
      </c>
      <c r="AZ14" s="27">
        <f t="shared" si="12"/>
        <v>754.88</v>
      </c>
      <c r="BA14" s="27">
        <f t="shared" si="13"/>
        <v>754.88</v>
      </c>
      <c r="BB14" s="27">
        <f t="shared" si="14"/>
        <v>0</v>
      </c>
      <c r="BC14" s="27">
        <f t="shared" si="15"/>
        <v>754.88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t="s">
        <v>3164</v>
      </c>
      <c r="D15" s="3037" t="s">
        <v>3169</v>
      </c>
      <c r="E15" s="27">
        <f t="shared" si="6"/>
        <v>5821.46</v>
      </c>
      <c r="F15" s="81"/>
      <c r="G15" s="82">
        <f t="shared" si="7"/>
        <v>12024.36</v>
      </c>
      <c r="H15" s="33">
        <f t="shared" si="8"/>
        <v>12024.36</v>
      </c>
      <c r="I15" s="3040"/>
      <c r="J15" s="3040"/>
      <c r="K15" s="3040"/>
      <c r="L15" s="3040"/>
      <c r="M15" s="3040">
        <v>12024.36</v>
      </c>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t="str">
        <f t="shared" si="10"/>
        <v>地下车库</v>
      </c>
      <c r="AY15" s="994">
        <f t="shared" si="11"/>
        <v>5821.46</v>
      </c>
      <c r="AZ15" s="27">
        <f t="shared" si="12"/>
        <v>12024.36</v>
      </c>
      <c r="BA15" s="27">
        <f t="shared" si="13"/>
        <v>12024.36</v>
      </c>
      <c r="BB15" s="27">
        <f t="shared" si="14"/>
        <v>0</v>
      </c>
      <c r="BC15" s="27">
        <f t="shared" si="15"/>
        <v>0</v>
      </c>
      <c r="BD15" s="27">
        <f t="shared" si="16"/>
        <v>12024.36</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1" sqref="F1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6"/>
      <c r="H2" s="1197"/>
      <c r="I2" s="1198" t="s">
        <v>857</v>
      </c>
      <c r="J2" s="1983"/>
      <c r="K2" s="1983"/>
      <c r="L2" s="1983"/>
    </row>
    <row r="3" spans="1:16" ht="15.75" thickBot="1">
      <c r="A3" s="3282" t="s">
        <v>206</v>
      </c>
      <c r="B3" s="3282"/>
      <c r="C3" s="3282"/>
      <c r="D3" s="107">
        <f>'数据-基础表'!AY6</f>
        <v>25829</v>
      </c>
      <c r="E3" s="107">
        <f>'数据-基础表'!AZ5</f>
        <v>53350.36</v>
      </c>
      <c r="F3" s="1983"/>
      <c r="G3" s="279" t="s">
        <v>858</v>
      </c>
      <c r="H3" s="274" t="s">
        <v>859</v>
      </c>
      <c r="I3" s="1975">
        <f>ROUND('数据-基础表'!B3/'数据-基础表'!A3,2)</f>
        <v>2.0699999999999998</v>
      </c>
      <c r="J3" s="1983"/>
      <c r="K3" s="1983"/>
      <c r="L3" s="1983"/>
    </row>
    <row r="4" spans="1:16" ht="15">
      <c r="A4" s="3283"/>
      <c r="B4" s="3284"/>
      <c r="C4" s="3285"/>
      <c r="D4" s="108" t="s">
        <v>204</v>
      </c>
      <c r="E4" s="109" t="s">
        <v>205</v>
      </c>
      <c r="F4" s="1983"/>
      <c r="G4" s="1199"/>
      <c r="H4" s="274" t="s">
        <v>860</v>
      </c>
      <c r="I4" s="1975">
        <f>ROUND(SUMIF('数据-基础表'!I9:AS9,"地上",'数据-基础表'!I5:AS5)/'数据-基础表'!A3,2)</f>
        <v>1.6</v>
      </c>
      <c r="J4" s="1983"/>
      <c r="K4" s="1983"/>
      <c r="L4" s="1983"/>
    </row>
    <row r="5" spans="1:16">
      <c r="A5" s="110" t="s">
        <v>207</v>
      </c>
      <c r="B5" s="3286" t="s">
        <v>230</v>
      </c>
      <c r="C5" s="3286"/>
      <c r="D5" s="111">
        <f>ROUND($D$3*E5/$E$3,2)</f>
        <v>19313.919999999998</v>
      </c>
      <c r="E5" s="112">
        <f>SUMIF('数据-基础表'!$11:$11,"住宅",'数据-基础表'!$5:$5)</f>
        <v>39893.33</v>
      </c>
      <c r="F5" s="1983"/>
      <c r="G5" s="279" t="s">
        <v>861</v>
      </c>
      <c r="H5" s="274" t="s">
        <v>859</v>
      </c>
      <c r="I5" s="1975">
        <f>ROUND(E31/D31,2)</f>
        <v>2.0699999999999998</v>
      </c>
      <c r="J5" s="1983"/>
      <c r="K5" s="1983"/>
      <c r="L5" s="1983"/>
    </row>
    <row r="6" spans="1:16" ht="15" thickBot="1">
      <c r="A6" s="113"/>
      <c r="B6" s="3286" t="s">
        <v>208</v>
      </c>
      <c r="C6" s="3286"/>
      <c r="D6" s="111">
        <f>ROUND($D$3*E6/$E$3,2)</f>
        <v>6515.08</v>
      </c>
      <c r="E6" s="112">
        <f>E3-E5</f>
        <v>13457.029999999999</v>
      </c>
      <c r="F6" s="1983"/>
      <c r="G6" s="1199"/>
      <c r="H6" s="274" t="s">
        <v>860</v>
      </c>
      <c r="I6" s="1975">
        <f>ROUND(F31/D31,2)</f>
        <v>1.6</v>
      </c>
      <c r="J6" s="1983"/>
      <c r="K6" s="1983"/>
      <c r="L6" s="1983"/>
    </row>
    <row r="7" spans="1:16" ht="15">
      <c r="A7" s="3278"/>
      <c r="B7" s="3279"/>
      <c r="C7" s="3280"/>
      <c r="D7" s="108" t="s">
        <v>204</v>
      </c>
      <c r="E7" s="114" t="s">
        <v>231</v>
      </c>
      <c r="F7" s="1983"/>
      <c r="G7" s="1154" t="s">
        <v>1646</v>
      </c>
      <c r="H7" s="1155"/>
      <c r="I7" s="1845">
        <f>I6</f>
        <v>1.6</v>
      </c>
      <c r="J7" s="1983"/>
      <c r="K7" s="1983"/>
      <c r="L7" s="1983"/>
    </row>
    <row r="8" spans="1:16">
      <c r="A8" s="110" t="s">
        <v>209</v>
      </c>
      <c r="B8" s="115" t="s">
        <v>210</v>
      </c>
      <c r="C8" s="111" t="s">
        <v>211</v>
      </c>
      <c r="D8" s="111">
        <f t="shared" ref="D8:D15" si="0">ROUND($D$3*E8/$E$3,2)</f>
        <v>19679.39</v>
      </c>
      <c r="E8" s="116">
        <f>SUMIF('数据-基础表'!BB10:BK10,"地上",'数据-基础表'!BB5:BK5)</f>
        <v>40648.21</v>
      </c>
      <c r="F8" s="1983"/>
      <c r="G8" s="1985"/>
      <c r="H8" s="1985"/>
      <c r="I8" s="1983"/>
      <c r="J8" s="1983"/>
      <c r="K8" s="1983"/>
      <c r="L8" s="1983"/>
    </row>
    <row r="9" spans="1:16">
      <c r="A9" s="117"/>
      <c r="B9" s="118"/>
      <c r="C9" s="111" t="s">
        <v>212</v>
      </c>
      <c r="D9" s="111">
        <f t="shared" si="0"/>
        <v>328.14</v>
      </c>
      <c r="E9" s="3496">
        <f>F30</f>
        <v>677.79</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2337</v>
      </c>
      <c r="D13" s="111">
        <f t="shared" si="0"/>
        <v>5821.46</v>
      </c>
      <c r="E13" s="116">
        <f>SUMPRODUCT(('数据-基础表'!BB10:BK10="地下")*('数据-基础表'!BB11:BK11="车库")*('数据-基础表'!BB5:BK5))</f>
        <v>12024.36</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25828.989999999998</v>
      </c>
      <c r="E16" s="119">
        <f>SUM(E8:E15)</f>
        <v>53350.36</v>
      </c>
      <c r="F16" s="1983"/>
      <c r="G16" s="1985"/>
      <c r="H16" s="966" t="s">
        <v>219</v>
      </c>
      <c r="I16" s="967"/>
      <c r="J16" s="1983"/>
      <c r="K16" s="3272" t="s">
        <v>2570</v>
      </c>
      <c r="L16" s="3273"/>
      <c r="M16" s="3273"/>
      <c r="N16" s="3273"/>
      <c r="O16" s="3273"/>
      <c r="P16" s="3274"/>
    </row>
    <row r="17" spans="1:19" ht="15">
      <c r="A17" s="120" t="s">
        <v>216</v>
      </c>
      <c r="B17" s="121" t="s">
        <v>217</v>
      </c>
      <c r="C17" s="2297" t="s">
        <v>2316</v>
      </c>
      <c r="D17" s="108" t="s">
        <v>204</v>
      </c>
      <c r="E17" s="123" t="s">
        <v>205</v>
      </c>
      <c r="F17" s="124"/>
      <c r="G17" s="1364"/>
      <c r="H17" s="968" t="s">
        <v>218</v>
      </c>
      <c r="I17" s="969" t="s">
        <v>2315</v>
      </c>
      <c r="J17" s="1983"/>
      <c r="K17" s="3275" t="s">
        <v>2571</v>
      </c>
      <c r="L17" s="3276"/>
      <c r="M17" s="3277"/>
      <c r="N17" s="3275" t="s">
        <v>2572</v>
      </c>
      <c r="O17" s="3276"/>
      <c r="P17" s="3277"/>
      <c r="R17" s="2298" t="s">
        <v>2314</v>
      </c>
      <c r="S17" s="143"/>
    </row>
    <row r="18" spans="1:19" ht="15">
      <c r="A18" s="117"/>
      <c r="B18" s="127"/>
      <c r="C18" s="128"/>
      <c r="D18" s="2665"/>
      <c r="E18" s="129" t="s">
        <v>220</v>
      </c>
      <c r="F18" s="130" t="s">
        <v>221</v>
      </c>
      <c r="G18" s="1365" t="s">
        <v>222</v>
      </c>
      <c r="H18" s="970" t="s">
        <v>223</v>
      </c>
      <c r="I18" s="971" t="s">
        <v>224</v>
      </c>
      <c r="J18" s="1983"/>
      <c r="K18" s="2628" t="s">
        <v>2573</v>
      </c>
      <c r="L18" s="2629" t="s">
        <v>2574</v>
      </c>
      <c r="M18" s="2630" t="s">
        <v>2575</v>
      </c>
      <c r="N18" s="2628" t="s">
        <v>2573</v>
      </c>
      <c r="O18" s="2629" t="s">
        <v>2574</v>
      </c>
      <c r="P18" s="2630" t="s">
        <v>2575</v>
      </c>
      <c r="R18" s="2299" t="s">
        <v>2312</v>
      </c>
      <c r="S18" s="2299" t="s">
        <v>2313</v>
      </c>
    </row>
    <row r="19" spans="1:19">
      <c r="A19" s="132"/>
      <c r="B19" s="115" t="s">
        <v>225</v>
      </c>
      <c r="C19" s="3047" t="s">
        <v>3170</v>
      </c>
      <c r="D19" s="111">
        <f t="shared" ref="D19:D26" si="1">ROUND($D$3*E19/$E$3,2)</f>
        <v>19313.919999999998</v>
      </c>
      <c r="E19" s="133">
        <f t="shared" ref="E19:E26" si="2">SUM(F19:G19)</f>
        <v>39893.33</v>
      </c>
      <c r="F19" s="134">
        <f>'数据-基础表'!I5</f>
        <v>39893.33</v>
      </c>
      <c r="G19" s="1366"/>
      <c r="H19" s="972">
        <f>ROUND($D$3*I19/$E$3,2)</f>
        <v>287.88</v>
      </c>
      <c r="I19" s="116">
        <f>IF($I$17="自定义",P19,M19)</f>
        <v>594.62</v>
      </c>
      <c r="J19" s="1983"/>
      <c r="K19" s="2631">
        <f t="shared" ref="K19:K26" si="3">ROUND(E$28*E19/E$27,2)</f>
        <v>259.64999999999998</v>
      </c>
      <c r="L19" s="274">
        <f t="shared" ref="L19:L26" si="4">ROUND(IF(COUNTIF(C19,"*住宅*")&gt;0,E$29*E19/E$32,0),2)</f>
        <v>334.97</v>
      </c>
      <c r="M19" s="2632">
        <f>K19+L19</f>
        <v>594.62</v>
      </c>
      <c r="N19" s="2633"/>
      <c r="O19" s="2634"/>
      <c r="P19" s="2635">
        <f>N19+O19</f>
        <v>0</v>
      </c>
      <c r="R19" s="274">
        <f t="shared" ref="R19:S26" si="5">D19+H19</f>
        <v>19601.8</v>
      </c>
      <c r="S19" s="2300">
        <f t="shared" si="5"/>
        <v>40487.950000000004</v>
      </c>
    </row>
    <row r="20" spans="1:19">
      <c r="A20" s="137"/>
      <c r="B20" s="115" t="s">
        <v>226</v>
      </c>
      <c r="C20" s="3047" t="s">
        <v>3171</v>
      </c>
      <c r="D20" s="111">
        <f t="shared" si="1"/>
        <v>365.47</v>
      </c>
      <c r="E20" s="133">
        <f t="shared" si="2"/>
        <v>754.88</v>
      </c>
      <c r="F20" s="134">
        <f>'数据-基础表'!K5</f>
        <v>754.88</v>
      </c>
      <c r="G20" s="1366"/>
      <c r="H20" s="972">
        <f t="shared" ref="H20:H26" si="6">ROUND($D$3*I20/$E$3,2)</f>
        <v>2.38</v>
      </c>
      <c r="I20" s="116">
        <f t="shared" ref="I20:I26" si="7">IF($I$17="自定义",P20,M20)</f>
        <v>4.91</v>
      </c>
      <c r="J20" s="1983"/>
      <c r="K20" s="2631">
        <f t="shared" si="3"/>
        <v>4.91</v>
      </c>
      <c r="L20" s="274">
        <f t="shared" si="4"/>
        <v>0</v>
      </c>
      <c r="M20" s="2632">
        <f t="shared" ref="M20:M26" si="8">K20+L20</f>
        <v>4.91</v>
      </c>
      <c r="N20" s="2633"/>
      <c r="O20" s="2634"/>
      <c r="P20" s="2635">
        <f t="shared" ref="P20:P26" si="9">N20+O20</f>
        <v>0</v>
      </c>
      <c r="R20" s="274">
        <f t="shared" si="5"/>
        <v>367.85</v>
      </c>
      <c r="S20" s="2300">
        <f t="shared" si="5"/>
        <v>759.79</v>
      </c>
    </row>
    <row r="21" spans="1:19">
      <c r="A21" s="137"/>
      <c r="B21" s="115" t="s">
        <v>226</v>
      </c>
      <c r="C21" s="3047" t="s">
        <v>3172</v>
      </c>
      <c r="D21" s="111">
        <f t="shared" si="1"/>
        <v>5821.46</v>
      </c>
      <c r="E21" s="133">
        <f t="shared" si="2"/>
        <v>12024.36</v>
      </c>
      <c r="F21" s="134"/>
      <c r="G21" s="1366">
        <f>'数据-基础表'!M5</f>
        <v>12024.36</v>
      </c>
      <c r="H21" s="972">
        <f t="shared" si="6"/>
        <v>37.89</v>
      </c>
      <c r="I21" s="116">
        <f t="shared" si="7"/>
        <v>78.260000000000005</v>
      </c>
      <c r="J21" s="1983"/>
      <c r="K21" s="2631">
        <f t="shared" si="3"/>
        <v>78.260000000000005</v>
      </c>
      <c r="L21" s="274">
        <f t="shared" si="4"/>
        <v>0</v>
      </c>
      <c r="M21" s="2632">
        <f t="shared" si="8"/>
        <v>78.260000000000005</v>
      </c>
      <c r="N21" s="2633"/>
      <c r="O21" s="2634"/>
      <c r="P21" s="2635">
        <f t="shared" si="9"/>
        <v>0</v>
      </c>
      <c r="R21" s="274">
        <f t="shared" si="5"/>
        <v>5859.35</v>
      </c>
      <c r="S21" s="2300">
        <f t="shared" si="5"/>
        <v>12102.62</v>
      </c>
    </row>
    <row r="22" spans="1:19">
      <c r="A22" s="137"/>
      <c r="B22" s="115" t="s">
        <v>226</v>
      </c>
      <c r="C22" s="1363"/>
      <c r="D22" s="111">
        <f t="shared" si="1"/>
        <v>0</v>
      </c>
      <c r="E22" s="133">
        <f t="shared" si="2"/>
        <v>0</v>
      </c>
      <c r="F22" s="139"/>
      <c r="G22" s="1367"/>
      <c r="H22" s="972">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5" t="s">
        <v>226</v>
      </c>
      <c r="C23" s="138"/>
      <c r="D23" s="111">
        <f>ROUND($D$3*E23/$E$3,2)</f>
        <v>0</v>
      </c>
      <c r="E23" s="133">
        <f>SUM(F23:G23)</f>
        <v>0</v>
      </c>
      <c r="F23" s="139"/>
      <c r="G23" s="1367"/>
      <c r="H23" s="972">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5" t="s">
        <v>226</v>
      </c>
      <c r="C24" s="138"/>
      <c r="D24" s="111">
        <f>ROUND($D$3*E24/$E$3,2)</f>
        <v>0</v>
      </c>
      <c r="E24" s="133">
        <f>SUM(F24:G24)</f>
        <v>0</v>
      </c>
      <c r="F24" s="139"/>
      <c r="G24" s="1367"/>
      <c r="H24" s="972">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5" t="s">
        <v>226</v>
      </c>
      <c r="C25" s="138"/>
      <c r="D25" s="111">
        <f t="shared" si="1"/>
        <v>0</v>
      </c>
      <c r="E25" s="133">
        <f t="shared" si="2"/>
        <v>0</v>
      </c>
      <c r="F25" s="139"/>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5" t="s">
        <v>226</v>
      </c>
      <c r="C26" s="141"/>
      <c r="D26" s="111">
        <f t="shared" si="1"/>
        <v>0</v>
      </c>
      <c r="E26" s="133">
        <f t="shared" si="2"/>
        <v>0</v>
      </c>
      <c r="F26" s="139"/>
      <c r="G26" s="1367"/>
      <c r="H26" s="110">
        <f t="shared" si="6"/>
        <v>0</v>
      </c>
      <c r="I26" s="116">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7"/>
      <c r="B27" s="111"/>
      <c r="C27" s="126" t="s">
        <v>215</v>
      </c>
      <c r="D27" s="133">
        <f>SUM(D19:D26)</f>
        <v>25500.85</v>
      </c>
      <c r="E27" s="142">
        <f>IF(SUM(E19:E26)='数据-基础表'!BA5,SUM(E19:E26),IF(F27="地上面积有误","面积有误","地下面积有误"))</f>
        <v>52672.57</v>
      </c>
      <c r="F27" s="133">
        <f>IF(SUM(F19:F26)=E8,SUM(F19:F26),"地上面积有误")</f>
        <v>40648.21</v>
      </c>
      <c r="G27" s="112">
        <f>SUM(G19:G26)</f>
        <v>12024.36</v>
      </c>
      <c r="H27" s="973">
        <f>SUM(H19:H26)</f>
        <v>328.15</v>
      </c>
      <c r="I27" s="974">
        <f>SUM(I19:I26)</f>
        <v>677.79</v>
      </c>
      <c r="J27" s="1983"/>
      <c r="K27" s="2640">
        <f>SUM(K19:K26)</f>
        <v>342.82</v>
      </c>
      <c r="L27" s="2641">
        <f>SUM(L19:L26)</f>
        <v>334.97</v>
      </c>
      <c r="M27" s="2642">
        <f>SUM(M19:M26)</f>
        <v>677.79</v>
      </c>
      <c r="N27" s="2640">
        <f t="shared" ref="N27:O27" si="10">SUM(N19:N26)</f>
        <v>0</v>
      </c>
      <c r="O27" s="2641">
        <f t="shared" si="10"/>
        <v>0</v>
      </c>
      <c r="P27" s="2643">
        <f>SUM(P19:P26)</f>
        <v>0</v>
      </c>
      <c r="R27" s="2304">
        <f>IF(SUM(R19:R26)=$D$3,SUM(R19:R26),SUM(R19:R26)&amp;"误差"&amp;ROUND(SUM(R19:R26)-$D$3,2))</f>
        <v>25829</v>
      </c>
      <c r="S27" s="274">
        <f>IF(SUM(S19:S26)=$E$3,SUM(S19:S26),SUM(S19:S26)&amp;"误差"&amp;ROUND(SUM(S19:S26)-E3,2))</f>
        <v>53350.360000000008</v>
      </c>
    </row>
    <row r="28" spans="1:19">
      <c r="A28" s="137"/>
      <c r="B28" s="115" t="s">
        <v>227</v>
      </c>
      <c r="C28" s="135" t="s">
        <v>228</v>
      </c>
      <c r="D28" s="111">
        <f>ROUND($D$3*E28/$E$3,2)</f>
        <v>165.97</v>
      </c>
      <c r="E28" s="133">
        <f>SUM(F28:G28)</f>
        <v>342.82</v>
      </c>
      <c r="F28" s="143">
        <f>'数据-基础表'!BQ5+'数据-基础表'!BS5</f>
        <v>342.82</v>
      </c>
      <c r="G28" s="144">
        <f>'数据-基础表'!BR5+'数据-基础表'!BT5</f>
        <v>0</v>
      </c>
      <c r="H28" s="1983"/>
      <c r="I28" s="1983"/>
      <c r="J28" s="1983"/>
      <c r="K28" s="1983"/>
      <c r="L28" s="1983"/>
    </row>
    <row r="29" spans="1:19">
      <c r="A29" s="137"/>
      <c r="B29" s="115" t="s">
        <v>227</v>
      </c>
      <c r="C29" s="2312" t="s">
        <v>2323</v>
      </c>
      <c r="D29" s="111">
        <f>ROUND($D$3*E29/$E$3,2)</f>
        <v>162.16999999999999</v>
      </c>
      <c r="E29" s="133">
        <f>SUM(F29:G29)</f>
        <v>334.97</v>
      </c>
      <c r="F29" s="143">
        <f>'数据-基础表'!BM5+'数据-基础表'!BO5</f>
        <v>334.97</v>
      </c>
      <c r="G29" s="145">
        <f>'数据-基础表'!BN5+'数据-基础表'!BP5</f>
        <v>0</v>
      </c>
      <c r="H29" s="1983"/>
      <c r="I29" s="1983"/>
      <c r="J29" s="1983"/>
      <c r="K29" s="1983"/>
      <c r="L29" s="1983"/>
    </row>
    <row r="30" spans="1:19">
      <c r="A30" s="137"/>
      <c r="B30" s="111"/>
      <c r="C30" s="146" t="s">
        <v>215</v>
      </c>
      <c r="D30" s="133">
        <f>SUM(D28:D29)</f>
        <v>328.14</v>
      </c>
      <c r="E30" s="133">
        <f>SUM(E28:E29)</f>
        <v>677.79</v>
      </c>
      <c r="F30" s="133">
        <f>SUM(F28:F29)</f>
        <v>677.79</v>
      </c>
      <c r="G30" s="112">
        <f>SUM(G28:G29)</f>
        <v>0</v>
      </c>
      <c r="H30" s="1983"/>
      <c r="I30" s="1983"/>
      <c r="J30" s="1983"/>
      <c r="K30" s="1983"/>
      <c r="L30" s="1983"/>
    </row>
    <row r="31" spans="1:19" ht="32.25" customHeight="1" thickBot="1">
      <c r="A31" s="1368"/>
      <c r="B31" s="1369" t="s">
        <v>229</v>
      </c>
      <c r="C31" s="2329" t="s">
        <v>2325</v>
      </c>
      <c r="D31" s="1370">
        <f>D27+D30</f>
        <v>25828.989999999998</v>
      </c>
      <c r="E31" s="1370">
        <f>E27+E30</f>
        <v>53350.36</v>
      </c>
      <c r="F31" s="1371">
        <f>F27+F30</f>
        <v>41326</v>
      </c>
      <c r="G31" s="1372">
        <f>G27+G30</f>
        <v>12024.36</v>
      </c>
      <c r="H31" s="1983"/>
      <c r="I31" s="1983"/>
      <c r="J31" s="1983"/>
      <c r="K31" s="1983"/>
      <c r="L31" s="1983"/>
    </row>
    <row r="32" spans="1:19">
      <c r="A32" s="1983"/>
      <c r="B32" s="2362" t="s">
        <v>2324</v>
      </c>
      <c r="C32" s="2670"/>
      <c r="D32" s="1199"/>
      <c r="E32" s="1199">
        <f>SUMIF(C19:C26,"*住宅*",E19:E26)</f>
        <v>39893.33</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I27" sqref="AI2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8.12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7"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8" t="s">
        <v>235</v>
      </c>
      <c r="B2" s="2337">
        <f>项目基本情况!D3</f>
        <v>43249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9" t="s">
        <v>864</v>
      </c>
      <c r="B4" s="151"/>
      <c r="C4" s="152"/>
      <c r="D4" s="1206"/>
      <c r="E4" s="1207" t="s">
        <v>865</v>
      </c>
      <c r="F4" s="152"/>
      <c r="G4" s="152"/>
      <c r="H4" s="152"/>
      <c r="I4" s="152"/>
      <c r="J4" s="153"/>
      <c r="K4" s="1208"/>
      <c r="L4" s="1209"/>
      <c r="M4" s="152"/>
      <c r="N4" s="1207" t="s">
        <v>866</v>
      </c>
      <c r="O4" s="152"/>
      <c r="P4" s="152"/>
      <c r="Q4" s="152"/>
      <c r="R4" s="152"/>
      <c r="S4" s="153"/>
      <c r="T4" s="975"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5" t="s">
        <v>236</v>
      </c>
      <c r="C5" s="156" t="s">
        <v>237</v>
      </c>
      <c r="D5" s="157" t="s">
        <v>238</v>
      </c>
      <c r="E5" s="158" t="s">
        <v>239</v>
      </c>
      <c r="F5" s="159" t="s">
        <v>240</v>
      </c>
      <c r="G5" s="158" t="s">
        <v>241</v>
      </c>
      <c r="H5" s="158" t="s">
        <v>862</v>
      </c>
      <c r="I5" s="158" t="s">
        <v>863</v>
      </c>
      <c r="J5" s="160" t="s">
        <v>242</v>
      </c>
      <c r="K5" s="161" t="s">
        <v>243</v>
      </c>
      <c r="L5" s="162" t="s">
        <v>244</v>
      </c>
      <c r="M5" s="163" t="s">
        <v>245</v>
      </c>
      <c r="N5" s="1217" t="s">
        <v>2832</v>
      </c>
      <c r="O5" s="162" t="s">
        <v>246</v>
      </c>
      <c r="P5" s="164" t="s">
        <v>247</v>
      </c>
      <c r="Q5" s="165" t="s">
        <v>248</v>
      </c>
      <c r="R5" s="166" t="s">
        <v>249</v>
      </c>
      <c r="S5" s="2644" t="s">
        <v>2576</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2326</v>
      </c>
      <c r="AI5" s="170" t="s">
        <v>2295</v>
      </c>
      <c r="AJ5" s="170" t="s">
        <v>258</v>
      </c>
      <c r="AK5" s="158" t="s">
        <v>259</v>
      </c>
      <c r="AL5" s="158" t="s">
        <v>260</v>
      </c>
      <c r="AM5" s="171"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68817</v>
      </c>
      <c r="F6" s="173">
        <f>SUMIF(项目基本情况!D$15:I$15,C6,项目基本情况!D$19:I$19)</f>
        <v>70</v>
      </c>
      <c r="G6" s="174">
        <f>IF(ISERROR(ROUND(POWER(1+H6,D6-F6)*(POWER(1+H6,F6)-1)/(POWER(1+H6,D6)-1),3)),0,ROUND(POWER(1+H6,D6-F6)*(POWER(1+H6,F6)-1)/(POWER(1+H6,D6)-1),3))</f>
        <v>1</v>
      </c>
      <c r="H6" s="3048">
        <v>0.05</v>
      </c>
      <c r="I6" s="3048">
        <v>5.5E-2</v>
      </c>
      <c r="J6" s="175">
        <v>0.09</v>
      </c>
      <c r="K6" s="178">
        <f>SUMIF('数据-汇总表'!C$19:C$33,'数据-取费表'!A6,'数据-汇总表'!E$19:E$33)</f>
        <v>39893.33</v>
      </c>
      <c r="L6" s="3049">
        <v>2500</v>
      </c>
      <c r="M6" s="176">
        <f t="shared" ref="M6:M14" si="0">ROUND(K6*L6/10000,0)</f>
        <v>9973</v>
      </c>
      <c r="N6" s="3050">
        <v>0</v>
      </c>
      <c r="O6" s="176">
        <f>IF($N$5="成新度","——",ROUND(M6*N6,0))</f>
        <v>0</v>
      </c>
      <c r="P6" s="177">
        <f>IF($N$5="成新度","——",M6-O6)</f>
        <v>9973</v>
      </c>
      <c r="Q6" s="3051">
        <v>0.15</v>
      </c>
      <c r="R6" s="178">
        <f>SUMIF('数据-汇总表'!C$19:C$33,A6,'数据-汇总表'!R$19:R$33)</f>
        <v>19601.8</v>
      </c>
      <c r="S6" s="131">
        <f>IF('数据-汇总表'!$I$17="按面积比例",SUMIF('数据-汇总表'!C$19:C$33,A6,'数据-汇总表'!K$19:K$33),SUMIF('数据-汇总表'!C$19:C$33,A6,'数据-汇总表'!N$19:N$33))</f>
        <v>259.64999999999998</v>
      </c>
      <c r="T6" s="2233">
        <f>IF($T$4="按面积比例",IF(ISERROR(ROUND($M$14*S6/S$16,0)),"0",ROUND($M$14*S6/S$16,0)),"需自行计算录入")</f>
        <v>52</v>
      </c>
      <c r="U6" s="179"/>
      <c r="V6" s="180"/>
      <c r="W6" s="180"/>
      <c r="X6" s="2320"/>
      <c r="Y6" s="181"/>
      <c r="Z6" s="182"/>
      <c r="AA6" s="175"/>
      <c r="AB6" s="175"/>
      <c r="AC6" s="2323"/>
      <c r="AD6" s="183"/>
      <c r="AE6" s="970">
        <f ca="1">IF(AN6="",0,SUMIF(INDIRECT("'"&amp;AN6&amp;"'"&amp;"!E:E"),$AE$5,INDIRECT("'"&amp;AN6&amp;"'"&amp;"!F:F")))</f>
        <v>0</v>
      </c>
      <c r="AF6" s="140"/>
      <c r="AG6" s="1211">
        <f>IF(AF6="",0,AE6-AF6)</f>
        <v>0</v>
      </c>
      <c r="AH6" s="140"/>
      <c r="AI6" s="186">
        <v>365</v>
      </c>
      <c r="AJ6" s="187"/>
      <c r="AK6" s="188">
        <v>1.4999999999999999E-2</v>
      </c>
      <c r="AL6" s="189">
        <v>1.5E-3</v>
      </c>
      <c r="AM6" s="3062">
        <v>1.4999999999999999E-2</v>
      </c>
      <c r="AN6" s="2415"/>
      <c r="AO6" s="1999"/>
      <c r="AP6" s="1202">
        <f>ROUND(1-1/(1+H6)^F6,3)</f>
        <v>0.96699999999999997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商业</v>
      </c>
      <c r="B7" s="2336" t="str">
        <f t="shared" ref="B7:B13" si="1">IF(A7=0,"","经营性")</f>
        <v>经营性</v>
      </c>
      <c r="C7" s="172" t="s">
        <v>3154</v>
      </c>
      <c r="D7" s="2307">
        <f>SUMIF(项目基本情况!D$15:I$15,C7,项目基本情况!D$18:I$18)</f>
        <v>40</v>
      </c>
      <c r="E7" s="2308">
        <f>IF(B7="","",SUMIF(项目基本情况!D$15:I$15,C7,项目基本情况!D$17:I$17))</f>
        <v>57859</v>
      </c>
      <c r="F7" s="173">
        <f>SUMIF(项目基本情况!D$15:I$15,C7,项目基本情况!D$19:I$19)</f>
        <v>40</v>
      </c>
      <c r="G7" s="174">
        <f t="shared" ref="G7:G11" si="2">IF(ISERROR(ROUND(POWER(1+H7,D7-F7)*(POWER(1+H7,F7)-1)/(POWER(1+H7,D7)-1),3)),0,ROUND(POWER(1+H7,D7-F7)*(POWER(1+H7,F7)-1)/(POWER(1+H7,D7)-1),3))</f>
        <v>1</v>
      </c>
      <c r="H7" s="3048">
        <v>5.5E-2</v>
      </c>
      <c r="I7" s="3048">
        <v>0.06</v>
      </c>
      <c r="J7" s="175">
        <v>0.09</v>
      </c>
      <c r="K7" s="178">
        <f>SUMIF('数据-汇总表'!C$19:C$33,'数据-取费表'!A7,'数据-汇总表'!E$19:E$33)</f>
        <v>754.88</v>
      </c>
      <c r="L7" s="3049">
        <v>2500</v>
      </c>
      <c r="M7" s="176">
        <f t="shared" si="0"/>
        <v>189</v>
      </c>
      <c r="N7" s="3050">
        <v>0</v>
      </c>
      <c r="O7" s="176">
        <f t="shared" ref="O7:O14" si="3">IF($N$5="成新度","——",ROUND(M7*N7,0))</f>
        <v>0</v>
      </c>
      <c r="P7" s="177">
        <f t="shared" ref="P7:P14" si="4">IF($N$5="成新度","——",M7-O7)</f>
        <v>189</v>
      </c>
      <c r="Q7" s="3051">
        <v>0.15</v>
      </c>
      <c r="R7" s="178">
        <f>SUMIF('数据-汇总表'!C$19:C$33,A7,'数据-汇总表'!R$19:R$33)</f>
        <v>367.85</v>
      </c>
      <c r="S7" s="131">
        <f>IF('数据-汇总表'!$I$17="按面积比例",SUMIF('数据-汇总表'!C$19:C$33,A7,'数据-汇总表'!K$19:K$33),SUMIF('数据-汇总表'!C$19:C$33,A7,'数据-汇总表'!N$19:N$33))</f>
        <v>4.91</v>
      </c>
      <c r="T7" s="2233">
        <f t="shared" ref="T7:T13" si="5">IF($T$4="按面积比例",IF(ISERROR(ROUND($M$14*S7/S$16,0)),"0",ROUND($M$14*S7/S$16,0)),"需自行计算录入")</f>
        <v>1</v>
      </c>
      <c r="U7" s="179"/>
      <c r="V7" s="180"/>
      <c r="W7" s="180"/>
      <c r="X7" s="2320"/>
      <c r="Y7" s="181"/>
      <c r="Z7" s="182"/>
      <c r="AA7" s="175"/>
      <c r="AB7" s="175"/>
      <c r="AC7" s="2323"/>
      <c r="AD7" s="183"/>
      <c r="AE7" s="970">
        <f t="shared" ref="AE7:AE13" ca="1" si="6">IF(AN7="",0,SUMIF(INDIRECT("'"&amp;AN7&amp;"'"&amp;"!E:E"),$AE$5,INDIRECT("'"&amp;AN7&amp;"'"&amp;"!F:F")))</f>
        <v>0</v>
      </c>
      <c r="AF7" s="140"/>
      <c r="AG7" s="1211">
        <f t="shared" ref="AG7:AG13" si="7">IF(AF7="",0,AE7-AF7)</f>
        <v>0</v>
      </c>
      <c r="AH7" s="140"/>
      <c r="AI7" s="186">
        <v>365</v>
      </c>
      <c r="AJ7" s="187"/>
      <c r="AK7" s="188">
        <v>1.4999999999999999E-2</v>
      </c>
      <c r="AL7" s="189">
        <v>1.5E-3</v>
      </c>
      <c r="AM7" s="3062">
        <v>1.4999999999999999E-2</v>
      </c>
      <c r="AN7" s="2415"/>
      <c r="AO7" s="1999"/>
      <c r="AP7" s="1202">
        <f t="shared" ref="AP7:AP13" si="8">ROUND(1-1/(1+H7)^F7,3)</f>
        <v>0.88300000000000001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车库</v>
      </c>
      <c r="B8" s="2336" t="str">
        <f t="shared" si="1"/>
        <v>经营性</v>
      </c>
      <c r="C8" s="172" t="s">
        <v>3167</v>
      </c>
      <c r="D8" s="2307">
        <f>SUMIF(项目基本情况!D$15:I$15,C8,项目基本情况!D$18:I$18)</f>
        <v>50</v>
      </c>
      <c r="E8" s="2308">
        <f>IF(B8="","",SUMIF(项目基本情况!D$15:I$15,C8,项目基本情况!D$17:I$17))</f>
        <v>61512</v>
      </c>
      <c r="F8" s="173">
        <f>SUMIF(项目基本情况!D$15:I$15,C8,项目基本情况!D$19:I$19)</f>
        <v>50</v>
      </c>
      <c r="G8" s="174">
        <f t="shared" si="2"/>
        <v>1</v>
      </c>
      <c r="H8" s="3048">
        <v>4.4999999999999998E-2</v>
      </c>
      <c r="I8" s="3048">
        <v>0.05</v>
      </c>
      <c r="J8" s="175">
        <v>0.09</v>
      </c>
      <c r="K8" s="178">
        <f>SUMIF('数据-汇总表'!C$19:C$33,'数据-取费表'!A8,'数据-汇总表'!E$19:E$33)</f>
        <v>12024.36</v>
      </c>
      <c r="L8" s="3049">
        <v>2000</v>
      </c>
      <c r="M8" s="176">
        <f>ROUND(K8*L8/10000,0)</f>
        <v>2405</v>
      </c>
      <c r="N8" s="3050">
        <v>0</v>
      </c>
      <c r="O8" s="176">
        <f t="shared" si="3"/>
        <v>0</v>
      </c>
      <c r="P8" s="177">
        <f t="shared" si="4"/>
        <v>2405</v>
      </c>
      <c r="Q8" s="3051">
        <v>0.05</v>
      </c>
      <c r="R8" s="178">
        <f>SUMIF('数据-汇总表'!C$19:C$33,A8,'数据-汇总表'!R$19:R$33)</f>
        <v>5859.35</v>
      </c>
      <c r="S8" s="131">
        <f>IF('数据-汇总表'!$I$17="按面积比例",SUMIF('数据-汇总表'!C$19:C$33,A8,'数据-汇总表'!K$19:K$33),SUMIF('数据-汇总表'!C$19:C$33,A8,'数据-汇总表'!N$19:N$33))</f>
        <v>78.260000000000005</v>
      </c>
      <c r="T8" s="2233">
        <f t="shared" si="5"/>
        <v>16</v>
      </c>
      <c r="U8" s="179">
        <v>0.5</v>
      </c>
      <c r="V8" s="180">
        <v>2.5000000000000001E-2</v>
      </c>
      <c r="W8" s="180">
        <v>0.05</v>
      </c>
      <c r="X8" s="2320"/>
      <c r="Y8" s="181">
        <v>1</v>
      </c>
      <c r="Z8" s="182"/>
      <c r="AA8" s="175"/>
      <c r="AB8" s="175"/>
      <c r="AC8" s="2323"/>
      <c r="AD8" s="183"/>
      <c r="AE8" s="970">
        <f t="shared" ca="1" si="6"/>
        <v>50</v>
      </c>
      <c r="AF8" s="140"/>
      <c r="AG8" s="1211">
        <f t="shared" si="7"/>
        <v>0</v>
      </c>
      <c r="AH8" s="140"/>
      <c r="AI8" s="186">
        <v>365</v>
      </c>
      <c r="AJ8" s="187"/>
      <c r="AK8" s="188">
        <v>1.4999999999999999E-2</v>
      </c>
      <c r="AL8" s="189">
        <v>1.5E-3</v>
      </c>
      <c r="AM8" s="3062">
        <v>1.4999999999999999E-2</v>
      </c>
      <c r="AN8" s="2415" t="s">
        <v>3190</v>
      </c>
      <c r="AO8" s="1999"/>
      <c r="AP8" s="1202">
        <f t="shared" si="8"/>
        <v>0.88900000000000001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0">
        <f t="shared" ca="1" si="6"/>
        <v>0</v>
      </c>
      <c r="AF9" s="140"/>
      <c r="AG9" s="1211">
        <f t="shared" si="7"/>
        <v>0</v>
      </c>
      <c r="AH9" s="140"/>
      <c r="AI9" s="186"/>
      <c r="AJ9" s="187"/>
      <c r="AK9" s="188"/>
      <c r="AL9" s="189"/>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0">
        <f t="shared" ca="1" si="6"/>
        <v>0</v>
      </c>
      <c r="AF10" s="140"/>
      <c r="AG10" s="1211">
        <f t="shared" si="7"/>
        <v>0</v>
      </c>
      <c r="AH10" s="140"/>
      <c r="AI10" s="186"/>
      <c r="AJ10" s="187"/>
      <c r="AK10" s="188"/>
      <c r="AL10" s="189"/>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0">
        <f t="shared" ca="1" si="6"/>
        <v>0</v>
      </c>
      <c r="AF11" s="140"/>
      <c r="AG11" s="1211">
        <f t="shared" si="7"/>
        <v>0</v>
      </c>
      <c r="AH11" s="140"/>
      <c r="AI11" s="186"/>
      <c r="AJ11" s="187"/>
      <c r="AK11" s="195"/>
      <c r="AL11" s="196"/>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0">
        <f t="shared" ca="1" si="6"/>
        <v>0</v>
      </c>
      <c r="AF12" s="140"/>
      <c r="AG12" s="1211">
        <f t="shared" si="7"/>
        <v>0</v>
      </c>
      <c r="AH12" s="140"/>
      <c r="AI12" s="186"/>
      <c r="AJ12" s="187"/>
      <c r="AK12" s="195"/>
      <c r="AL12" s="196"/>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0">
        <f t="shared" ca="1" si="6"/>
        <v>0</v>
      </c>
      <c r="AF13" s="140"/>
      <c r="AG13" s="1211">
        <f t="shared" si="7"/>
        <v>0</v>
      </c>
      <c r="AH13" s="140"/>
      <c r="AI13" s="186"/>
      <c r="AJ13" s="187"/>
      <c r="AK13" s="188"/>
      <c r="AL13" s="189"/>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1680</v>
      </c>
      <c r="C14" s="2306" t="s">
        <v>2317</v>
      </c>
      <c r="D14" s="2307"/>
      <c r="E14" s="2308"/>
      <c r="F14" s="173"/>
      <c r="G14" s="174"/>
      <c r="H14" s="2309"/>
      <c r="I14" s="2309"/>
      <c r="J14" s="2309"/>
      <c r="K14" s="178">
        <f>SUMIF('数据-汇总表'!C$19:C$33,'数据-取费表'!A14,'数据-汇总表'!E$19:E$33)</f>
        <v>342.82</v>
      </c>
      <c r="L14" s="192">
        <v>2000</v>
      </c>
      <c r="M14" s="176">
        <f t="shared" si="0"/>
        <v>69</v>
      </c>
      <c r="N14" s="193"/>
      <c r="O14" s="176">
        <f t="shared" si="3"/>
        <v>0</v>
      </c>
      <c r="P14" s="177">
        <f t="shared" si="4"/>
        <v>69</v>
      </c>
      <c r="Q14" s="2317"/>
      <c r="R14" s="178"/>
      <c r="S14" s="131"/>
      <c r="T14" s="2316"/>
      <c r="U14" s="972"/>
      <c r="V14" s="2319"/>
      <c r="W14" s="2319"/>
      <c r="X14" s="2320"/>
      <c r="Y14" s="2321"/>
      <c r="Z14" s="135"/>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1680</v>
      </c>
      <c r="C15" s="2306" t="s">
        <v>2318</v>
      </c>
      <c r="D15" s="2307"/>
      <c r="E15" s="2308"/>
      <c r="F15" s="173"/>
      <c r="G15" s="174"/>
      <c r="H15" s="2309"/>
      <c r="I15" s="2309"/>
      <c r="J15" s="2309"/>
      <c r="K15" s="178">
        <f>SUMIF('数据-汇总表'!C$19:C$33,'数据-取费表'!A15,'数据-汇总表'!E$19:E$33)</f>
        <v>334.97</v>
      </c>
      <c r="L15" s="2315"/>
      <c r="M15" s="176"/>
      <c r="N15" s="2318"/>
      <c r="O15" s="176"/>
      <c r="P15" s="177"/>
      <c r="Q15" s="2317"/>
      <c r="R15" s="178"/>
      <c r="S15" s="131"/>
      <c r="T15" s="2316"/>
      <c r="U15" s="972"/>
      <c r="V15" s="2319"/>
      <c r="W15" s="2319"/>
      <c r="X15" s="2320"/>
      <c r="Y15" s="2321"/>
      <c r="Z15" s="135"/>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7" t="s">
        <v>262</v>
      </c>
      <c r="B16" s="198"/>
      <c r="C16" s="199"/>
      <c r="D16" s="200"/>
      <c r="E16" s="198"/>
      <c r="F16" s="198"/>
      <c r="G16" s="201">
        <f>ROUND(SUMPRODUCT(G6:G13,K6:K13)/SUMPRODUCT((G6:G13&gt;0)*(K6:K13)),3)</f>
        <v>1</v>
      </c>
      <c r="H16" s="202">
        <f>ROUND(SUMPRODUCT(H6:H13,K6:K13)/SUMPRODUCT((H6:H13&gt;0)*(K6:K13)),3)</f>
        <v>4.9000000000000002E-2</v>
      </c>
      <c r="I16" s="203"/>
      <c r="J16" s="203"/>
      <c r="K16" s="204">
        <f>SUM(K6:K15)</f>
        <v>53350.36</v>
      </c>
      <c r="L16" s="205">
        <f>ROUND(M16*10000/SUM(K6:K14),0)</f>
        <v>2383</v>
      </c>
      <c r="M16" s="205">
        <f>SUM(M6:M14)</f>
        <v>12636</v>
      </c>
      <c r="N16" s="206">
        <f>ROUND(SUMPRODUCT(M6:M14,N6:N14)/M16,3)</f>
        <v>0</v>
      </c>
      <c r="O16" s="205">
        <f>SUM(O6:O14)</f>
        <v>0</v>
      </c>
      <c r="P16" s="205">
        <f>SUM(P6:P14)</f>
        <v>12636</v>
      </c>
      <c r="Q16" s="207">
        <f>ROUND(SUMPRODUCT(Q6:Q13,K6:K13)/SUMPRODUCT((Q6:Q13&gt;0)*(K6:K13)),2)</f>
        <v>0.13</v>
      </c>
      <c r="R16" s="2310">
        <f>SUM(R6:R13)</f>
        <v>25829</v>
      </c>
      <c r="S16" s="208">
        <f>SUM(S6:S13)</f>
        <v>342.82</v>
      </c>
      <c r="T16" s="209">
        <f>IF(SUMIF(T6:T13,"&lt;9E307")=M14,SUMIF(T6:T13,"&lt;9E307"),"有误，请检查")</f>
        <v>69</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2">
        <f>ROUND(SUMPRODUCT(AP6:AP13,K6:K13)/SUMPRODUCT((AP6:AP13&gt;0)*(K6:K13)),3)</f>
        <v>0.94799999999999995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5" t="s">
        <v>2341</v>
      </c>
      <c r="B27" s="226">
        <v>75</v>
      </c>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2342</v>
      </c>
      <c r="B28" s="228">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0" t="s">
        <v>2340</v>
      </c>
      <c r="B29" s="231">
        <v>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4" t="s">
        <v>273</v>
      </c>
      <c r="B30" s="976">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274</v>
      </c>
      <c r="B31" s="229">
        <f>B30-B32</f>
        <v>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6" t="s">
        <v>275</v>
      </c>
      <c r="B32" s="1376">
        <v>100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5" t="s">
        <v>278</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0.03</v>
      </c>
      <c r="C34" s="2364" t="s">
        <v>2897</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2899</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9">
        <v>0.05</v>
      </c>
      <c r="C42" s="312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0">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97"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8"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8"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1408</v>
      </c>
      <c r="C53" s="3099" t="s">
        <v>2907</v>
      </c>
      <c r="D53" s="3100"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2909</v>
      </c>
      <c r="B54" s="185"/>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2910</v>
      </c>
      <c r="B55" s="185"/>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2911</v>
      </c>
      <c r="B56" s="185"/>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2912</v>
      </c>
      <c r="B57" s="185"/>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2913</v>
      </c>
      <c r="B58" s="185">
        <v>6</v>
      </c>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2914</v>
      </c>
      <c r="B59" s="185"/>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2915</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2916</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2917</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1664</v>
      </c>
      <c r="B1" s="3288"/>
      <c r="C1" s="3288"/>
      <c r="D1" s="3288"/>
      <c r="E1" s="3288"/>
      <c r="F1" s="3288"/>
      <c r="G1" s="3288"/>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54">
      <c r="A3" s="1225" t="s">
        <v>1667</v>
      </c>
      <c r="B3" s="1226" t="s">
        <v>1654</v>
      </c>
      <c r="C3" s="3193" t="s">
        <v>3223</v>
      </c>
      <c r="D3" s="2008"/>
      <c r="E3" s="1227" t="s">
        <v>1667</v>
      </c>
      <c r="F3" s="1228" t="s">
        <v>1655</v>
      </c>
      <c r="G3" s="3106" t="s">
        <v>2923</v>
      </c>
      <c r="H3" s="2007"/>
      <c r="I3" s="2007"/>
      <c r="J3" s="2007"/>
      <c r="K3" s="2007"/>
      <c r="L3" s="2007"/>
      <c r="M3" s="2007"/>
      <c r="N3" s="2007"/>
      <c r="O3" s="2007"/>
      <c r="P3" s="2007"/>
      <c r="Q3" s="2007"/>
      <c r="R3" s="2007"/>
    </row>
    <row r="4" spans="1:18" ht="40.5">
      <c r="A4" s="1227"/>
      <c r="B4" s="1229" t="s">
        <v>1668</v>
      </c>
      <c r="C4" s="3194" t="s">
        <v>3224</v>
      </c>
      <c r="D4" s="2008"/>
      <c r="E4" s="1230"/>
      <c r="F4" s="1231" t="s">
        <v>1669</v>
      </c>
      <c r="G4" s="3105" t="s">
        <v>2920</v>
      </c>
      <c r="H4" s="2007"/>
      <c r="I4" s="2007"/>
      <c r="J4" s="2007"/>
      <c r="K4" s="2007"/>
      <c r="L4" s="2007"/>
      <c r="M4" s="2007"/>
      <c r="N4" s="2007"/>
      <c r="O4" s="2007"/>
      <c r="P4" s="2007"/>
      <c r="Q4" s="2007"/>
      <c r="R4" s="2007"/>
    </row>
    <row r="5" spans="1:18" ht="41.25">
      <c r="A5" s="1227"/>
      <c r="B5" s="1229" t="s">
        <v>1670</v>
      </c>
      <c r="C5" s="3104" t="s">
        <v>2924</v>
      </c>
      <c r="D5" s="2008"/>
      <c r="E5" s="1230"/>
      <c r="F5" s="1229" t="s">
        <v>2550</v>
      </c>
      <c r="G5" s="3105" t="s">
        <v>2921</v>
      </c>
      <c r="H5" s="2007"/>
      <c r="I5" s="2007"/>
      <c r="J5" s="2007"/>
      <c r="K5" s="2007"/>
      <c r="L5" s="2007"/>
      <c r="M5" s="2007"/>
      <c r="N5" s="2007"/>
      <c r="O5" s="2007"/>
      <c r="P5" s="2007"/>
      <c r="Q5" s="2007"/>
      <c r="R5" s="2007"/>
    </row>
    <row r="6" spans="1:18" ht="54">
      <c r="A6" s="1227"/>
      <c r="B6" s="1229" t="s">
        <v>1656</v>
      </c>
      <c r="C6" s="3195" t="s">
        <v>3225</v>
      </c>
      <c r="D6" s="2008"/>
      <c r="E6" s="1230"/>
      <c r="F6" s="1229" t="s">
        <v>2551</v>
      </c>
      <c r="G6" s="3105" t="s">
        <v>2919</v>
      </c>
      <c r="H6" s="2007"/>
      <c r="I6" s="2007"/>
      <c r="J6" s="2007"/>
      <c r="K6" s="2007"/>
      <c r="L6" s="2007"/>
      <c r="M6" s="2007"/>
      <c r="N6" s="2007"/>
      <c r="O6" s="2007"/>
      <c r="P6" s="2007"/>
      <c r="Q6" s="2007"/>
      <c r="R6" s="2007"/>
    </row>
    <row r="7" spans="1:18" ht="41.25" thickBot="1">
      <c r="A7" s="1227"/>
      <c r="B7" s="1229" t="s">
        <v>2550</v>
      </c>
      <c r="C7" s="3195" t="s">
        <v>3229</v>
      </c>
      <c r="D7" s="2009"/>
      <c r="E7" s="1232"/>
      <c r="F7" s="1233" t="s">
        <v>1671</v>
      </c>
      <c r="G7" s="3107" t="s">
        <v>2922</v>
      </c>
      <c r="H7" s="2007"/>
      <c r="I7" s="2007"/>
      <c r="J7" s="2007"/>
      <c r="K7" s="2007"/>
      <c r="L7" s="2007"/>
      <c r="M7" s="2007"/>
      <c r="N7" s="2007"/>
      <c r="O7" s="2007"/>
      <c r="P7" s="2007"/>
      <c r="Q7" s="2007"/>
      <c r="R7" s="2007"/>
    </row>
    <row r="8" spans="1:18" ht="27">
      <c r="A8" s="1227"/>
      <c r="B8" s="1229" t="s">
        <v>2551</v>
      </c>
      <c r="C8" s="3195" t="s">
        <v>3228</v>
      </c>
      <c r="D8" s="2009"/>
      <c r="E8" s="2009"/>
      <c r="F8" s="1552"/>
      <c r="G8" s="1552"/>
      <c r="H8" s="2007"/>
      <c r="I8" s="2007"/>
      <c r="J8" s="2007"/>
      <c r="K8" s="2007"/>
      <c r="L8" s="2007"/>
      <c r="M8" s="2007"/>
      <c r="N8" s="2007"/>
      <c r="O8" s="2007"/>
      <c r="P8" s="2007"/>
      <c r="Q8" s="2007"/>
      <c r="R8" s="2007"/>
    </row>
    <row r="9" spans="1:18" ht="40.5">
      <c r="A9" s="1227"/>
      <c r="B9" s="1229" t="s">
        <v>1657</v>
      </c>
      <c r="C9" s="3194" t="s">
        <v>3227</v>
      </c>
      <c r="D9" s="2008"/>
      <c r="E9" s="2009"/>
      <c r="F9" s="1552"/>
      <c r="G9" s="1552"/>
      <c r="H9" s="2007"/>
      <c r="I9" s="2007"/>
      <c r="J9" s="2007"/>
      <c r="K9" s="2007"/>
      <c r="L9" s="2007"/>
      <c r="M9" s="2007"/>
      <c r="N9" s="2007"/>
      <c r="O9" s="2007"/>
      <c r="P9" s="2007"/>
      <c r="Q9" s="2007"/>
      <c r="R9" s="2007"/>
    </row>
    <row r="10" spans="1:18" s="2015" customFormat="1" ht="14.25" thickBot="1">
      <c r="A10" s="1234"/>
      <c r="B10" s="1235" t="s">
        <v>1672</v>
      </c>
      <c r="C10" s="3196" t="s">
        <v>3226</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2"/>
      <c r="E13" s="2601"/>
      <c r="F13" s="2601"/>
      <c r="G13" s="2601"/>
    </row>
    <row r="14" spans="1:18" ht="14.25" thickBot="1">
      <c r="A14" s="1236"/>
      <c r="B14" s="1237"/>
      <c r="C14" s="1238" t="s">
        <v>1665</v>
      </c>
      <c r="D14" s="2008"/>
      <c r="E14" s="1239"/>
      <c r="F14" s="1239"/>
      <c r="G14" s="1221" t="s">
        <v>1666</v>
      </c>
    </row>
    <row r="15" spans="1:18" ht="54">
      <c r="A15" s="2611" t="s">
        <v>1658</v>
      </c>
      <c r="B15" s="1240" t="s">
        <v>1654</v>
      </c>
      <c r="C15" s="1241" t="str">
        <f>C3</f>
        <v>估价对象周边居住用地大、居住小区规模大，社区发展完善，综合评价居住社区成熟度较好</v>
      </c>
      <c r="D15" s="2008"/>
      <c r="E15" s="2608" t="s">
        <v>1659</v>
      </c>
      <c r="F15" s="1240" t="s">
        <v>1674</v>
      </c>
      <c r="G15" s="1242" t="str">
        <f>G3</f>
        <v>估价对象位于XX开发区，园区建设成熟度XX，产业集聚程度XX</v>
      </c>
    </row>
    <row r="16" spans="1:18" ht="40.5">
      <c r="A16" s="2612"/>
      <c r="B16" s="1243" t="s">
        <v>1668</v>
      </c>
      <c r="C16" s="1244" t="str">
        <f>C4</f>
        <v>估价对象周边商业氛围较成熟，人流量较大，商业繁华度较好</v>
      </c>
      <c r="D16" s="2008"/>
      <c r="E16" s="2609"/>
      <c r="F16" s="1245" t="s">
        <v>1669</v>
      </c>
      <c r="G16" s="1003" t="str">
        <f>G4</f>
        <v>估价对象周边道路状况、公共交通通达情况、停车便捷程度，综合评价交通便捷度较好</v>
      </c>
    </row>
    <row r="17" spans="1:7" ht="40.5">
      <c r="A17" s="2612"/>
      <c r="B17" s="1243" t="s">
        <v>1670</v>
      </c>
      <c r="C17" s="1244" t="str">
        <f>C5</f>
        <v>估价对象位于XX商圈，周边办公楼项目较多，入驻率高，办公集聚程度较好</v>
      </c>
      <c r="D17" s="2009"/>
      <c r="E17" s="2609"/>
      <c r="F17" s="1245" t="s">
        <v>1675</v>
      </c>
      <c r="G17" s="2817"/>
    </row>
    <row r="18" spans="1:7" ht="54">
      <c r="A18" s="2612"/>
      <c r="B18" s="1245" t="s">
        <v>1656</v>
      </c>
      <c r="C18" s="1003" t="str">
        <f>C6</f>
        <v>估价对象周边道路状况、公共交通通达情况、停车便捷程度，综合评价交通便捷度较好</v>
      </c>
      <c r="D18" s="2009"/>
      <c r="E18" s="2609"/>
      <c r="F18" s="1245" t="s">
        <v>1671</v>
      </c>
      <c r="G18" s="1003" t="str">
        <f>G7</f>
        <v>该园区内是否有污染型企业，绿化情况，卫生条件，整体环境状况判断</v>
      </c>
    </row>
    <row r="19" spans="1:7" ht="27">
      <c r="A19" s="2612"/>
      <c r="B19" s="1245" t="s">
        <v>1660</v>
      </c>
      <c r="C19" s="3197" t="s">
        <v>3231</v>
      </c>
      <c r="D19" s="2008"/>
      <c r="E19" s="2609"/>
      <c r="F19" s="1229" t="s">
        <v>2550</v>
      </c>
      <c r="G19" s="1003" t="str">
        <f>G5</f>
        <v>估价对象所在区域公共配套设施齐备情况</v>
      </c>
    </row>
    <row r="20" spans="1:7" ht="40.5">
      <c r="A20" s="2612"/>
      <c r="B20" s="1245" t="s">
        <v>1661</v>
      </c>
      <c r="C20" s="1244" t="str">
        <f>C9</f>
        <v>区域自然环境较好；人文环境一般；综合评价环境状况较好</v>
      </c>
      <c r="D20" s="2009"/>
      <c r="E20" s="2609"/>
      <c r="F20" s="1229" t="s">
        <v>2551</v>
      </c>
      <c r="G20" s="1003" t="str">
        <f>G6</f>
        <v>估价对象所在区域基础设施水平</v>
      </c>
    </row>
    <row r="21" spans="1:7" ht="27">
      <c r="A21" s="2612"/>
      <c r="B21" s="1229" t="s">
        <v>2550</v>
      </c>
      <c r="C21" s="1003" t="str">
        <f>C7</f>
        <v>估价对象所在区域公共配套设施齐备</v>
      </c>
      <c r="D21" s="2008"/>
      <c r="E21" s="2609"/>
      <c r="F21" s="1245" t="s">
        <v>1662</v>
      </c>
      <c r="G21" s="3108"/>
    </row>
    <row r="22" spans="1:7" ht="27">
      <c r="A22" s="2612"/>
      <c r="B22" s="1229" t="s">
        <v>2551</v>
      </c>
      <c r="C22" s="1003" t="str">
        <f>C8</f>
        <v>估价对象所在区域基础设施水平六通</v>
      </c>
      <c r="D22" s="2008"/>
      <c r="E22" s="2609"/>
      <c r="F22" s="1245" t="s">
        <v>1672</v>
      </c>
      <c r="G22" s="2817"/>
    </row>
    <row r="23" spans="1:7" ht="15" thickBot="1">
      <c r="A23" s="2612"/>
      <c r="B23" s="1245" t="s">
        <v>1662</v>
      </c>
      <c r="C23" s="3108" t="s">
        <v>3230</v>
      </c>
      <c r="E23" s="2610"/>
      <c r="F23" s="1246" t="s">
        <v>1676</v>
      </c>
      <c r="G23" s="3109"/>
    </row>
    <row r="24" spans="1:7" ht="14.25" thickBot="1">
      <c r="A24" s="2613"/>
      <c r="B24" s="1246" t="s">
        <v>1663</v>
      </c>
      <c r="C24" s="1247" t="str">
        <f>C10</f>
        <v>主干道——兴业路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2848</v>
      </c>
      <c r="B1" s="3068">
        <f>SUM(B14:B23)</f>
        <v>53350.36</v>
      </c>
      <c r="C1" s="3069"/>
      <c r="D1" s="3069"/>
      <c r="E1" s="3069"/>
      <c r="F1" s="3069"/>
    </row>
    <row r="2" spans="1:9" ht="16.5">
      <c r="A2" s="3068" t="s">
        <v>2849</v>
      </c>
      <c r="B2" s="3068">
        <f>SUM(C14:C23)</f>
        <v>25829</v>
      </c>
      <c r="C2" s="3069"/>
      <c r="D2" s="3069"/>
      <c r="E2" s="3069"/>
      <c r="F2" s="3069"/>
    </row>
    <row r="3" spans="1:9" ht="16.5">
      <c r="A3" s="3068" t="s">
        <v>2850</v>
      </c>
      <c r="B3" s="3070">
        <f>项目基本情况!D3</f>
        <v>43249</v>
      </c>
      <c r="C3" s="3069"/>
      <c r="D3" s="3069"/>
      <c r="E3" s="3069"/>
      <c r="F3" s="3069"/>
    </row>
    <row r="4" spans="1:9" ht="33">
      <c r="A4" s="3068" t="s">
        <v>2851</v>
      </c>
      <c r="B4" s="3068" t="s">
        <v>2852</v>
      </c>
      <c r="C4" s="3068" t="s">
        <v>2853</v>
      </c>
      <c r="D4" s="3068" t="s">
        <v>2854</v>
      </c>
      <c r="E4" s="3069"/>
      <c r="F4" s="3069"/>
    </row>
    <row r="5" spans="1:9" ht="16.5">
      <c r="A5" s="3068" t="s">
        <v>2855</v>
      </c>
      <c r="B5" s="3068">
        <f ca="1">SUM(D14:D23)</f>
        <v>28087</v>
      </c>
      <c r="C5" s="3068">
        <f ca="1">ROUND(B5*10000/$B$1,0)</f>
        <v>5265</v>
      </c>
      <c r="D5" s="3068">
        <f ca="1">ROUND(B5*10000/$B$2,0)</f>
        <v>10874</v>
      </c>
      <c r="E5" s="3069"/>
      <c r="F5" s="3069"/>
    </row>
    <row r="6" spans="1:9" ht="16.5">
      <c r="A6" s="3068" t="s">
        <v>2856</v>
      </c>
      <c r="B6" s="3068">
        <f ca="1">SUM(G14:G23)</f>
        <v>28087</v>
      </c>
      <c r="C6" s="3068">
        <f t="shared" ref="C6:C8" ca="1" si="0">ROUND(B6*10000/$B$1,0)</f>
        <v>5265</v>
      </c>
      <c r="D6" s="3068">
        <f t="shared" ref="D6:D8" ca="1" si="1">ROUND(B6*10000/$B$2,0)</f>
        <v>10874</v>
      </c>
      <c r="E6" s="3069"/>
      <c r="F6" s="3069"/>
    </row>
    <row r="7" spans="1:9" ht="16.5">
      <c r="A7" s="3068" t="s">
        <v>2857</v>
      </c>
      <c r="B7" s="3068">
        <f>SUM(H14:H23)</f>
        <v>0</v>
      </c>
      <c r="C7" s="3068">
        <f t="shared" si="0"/>
        <v>0</v>
      </c>
      <c r="D7" s="3068">
        <f t="shared" si="1"/>
        <v>0</v>
      </c>
      <c r="E7" s="3069"/>
      <c r="F7" s="3069"/>
    </row>
    <row r="8" spans="1:9" ht="16.5">
      <c r="A8" s="3068" t="s">
        <v>2858</v>
      </c>
      <c r="B8" s="3068">
        <f>SUM(I14:I23)</f>
        <v>0</v>
      </c>
      <c r="C8" s="3068">
        <f t="shared" si="0"/>
        <v>0</v>
      </c>
      <c r="D8" s="3068">
        <f t="shared" si="1"/>
        <v>0</v>
      </c>
      <c r="E8" s="3069"/>
      <c r="F8" s="3069"/>
    </row>
    <row r="9" spans="1:9" ht="16.5">
      <c r="A9" s="3068" t="s">
        <v>2859</v>
      </c>
      <c r="B9" s="3071"/>
      <c r="C9" s="3069"/>
      <c r="D9" s="3069"/>
      <c r="E9" s="3069"/>
      <c r="F9" s="3069"/>
    </row>
    <row r="10" spans="1:9" ht="16.5">
      <c r="A10" s="3068" t="s">
        <v>2860</v>
      </c>
      <c r="B10" s="3071"/>
      <c r="C10" s="3069"/>
      <c r="D10" s="3069"/>
      <c r="E10" s="3069"/>
      <c r="F10" s="3069"/>
    </row>
    <row r="11" spans="1:9" ht="16.5">
      <c r="A11" s="3068" t="s">
        <v>2877</v>
      </c>
      <c r="B11" s="3071"/>
      <c r="C11" s="3069"/>
      <c r="D11" s="3069"/>
      <c r="E11" s="3069"/>
      <c r="F11" s="3069"/>
    </row>
    <row r="12" spans="1:9" ht="16.5">
      <c r="A12" s="3069"/>
      <c r="B12" s="3069"/>
      <c r="C12" s="3069"/>
      <c r="D12" s="3069"/>
      <c r="E12" s="3069"/>
      <c r="F12" s="3069"/>
    </row>
    <row r="13" spans="1:9" ht="33">
      <c r="A13" s="3074" t="s">
        <v>2876</v>
      </c>
      <c r="B13" s="3072" t="s">
        <v>2848</v>
      </c>
      <c r="C13" s="3072" t="s">
        <v>2849</v>
      </c>
      <c r="D13" s="3072" t="s">
        <v>2861</v>
      </c>
      <c r="E13" s="3068" t="s">
        <v>2875</v>
      </c>
      <c r="F13" s="3068" t="s">
        <v>2854</v>
      </c>
      <c r="G13" s="3072" t="s">
        <v>2862</v>
      </c>
      <c r="H13" s="3072" t="s">
        <v>2863</v>
      </c>
      <c r="I13" s="3072" t="s">
        <v>2864</v>
      </c>
    </row>
    <row r="14" spans="1:9" ht="16.5">
      <c r="A14" s="3075" t="s">
        <v>2874</v>
      </c>
      <c r="B14" s="3072">
        <f>结果表!L38</f>
        <v>53350.36</v>
      </c>
      <c r="C14" s="3072">
        <f>结果表!K38</f>
        <v>25829</v>
      </c>
      <c r="D14" s="3072">
        <f ca="1">结果表!C42</f>
        <v>28087</v>
      </c>
      <c r="E14" s="3072">
        <f ca="1">ROUND(D14*10000/B14,0)</f>
        <v>5265</v>
      </c>
      <c r="F14" s="3072">
        <f ca="1">ROUND(D14*10000/C14,0)</f>
        <v>10874</v>
      </c>
      <c r="G14" s="3072">
        <f ca="1">结果表!C44</f>
        <v>28087</v>
      </c>
      <c r="H14" s="3072" t="str">
        <f>结果表!C45</f>
        <v>——</v>
      </c>
      <c r="I14" s="3072" t="str">
        <f>结果表!C46</f>
        <v>——</v>
      </c>
    </row>
    <row r="15" spans="1:9" ht="16.5">
      <c r="A15" s="3075" t="s">
        <v>2865</v>
      </c>
      <c r="B15" s="3076"/>
      <c r="C15" s="3076"/>
      <c r="D15" s="3076"/>
      <c r="E15" s="3072" t="e">
        <f t="shared" ref="E15:E23" si="2">ROUND(D15*10000/B15,0)</f>
        <v>#DIV/0!</v>
      </c>
      <c r="F15" s="3072" t="e">
        <f t="shared" ref="F15:F23" si="3">ROUND(D15*10000/C15,0)</f>
        <v>#DIV/0!</v>
      </c>
      <c r="G15" s="3073"/>
      <c r="H15" s="3073"/>
      <c r="I15" s="3076"/>
    </row>
    <row r="16" spans="1:9" ht="16.5">
      <c r="A16" s="3075" t="s">
        <v>2866</v>
      </c>
      <c r="B16" s="3076"/>
      <c r="C16" s="3076"/>
      <c r="D16" s="3076"/>
      <c r="E16" s="3072" t="e">
        <f t="shared" si="2"/>
        <v>#DIV/0!</v>
      </c>
      <c r="F16" s="3072" t="e">
        <f t="shared" si="3"/>
        <v>#DIV/0!</v>
      </c>
      <c r="G16" s="3073"/>
      <c r="H16" s="3073"/>
      <c r="I16" s="3076"/>
    </row>
    <row r="17" spans="1:9" ht="16.5">
      <c r="A17" s="3075" t="s">
        <v>2867</v>
      </c>
      <c r="B17" s="3076"/>
      <c r="C17" s="3076"/>
      <c r="D17" s="3076"/>
      <c r="E17" s="3072" t="e">
        <f t="shared" si="2"/>
        <v>#DIV/0!</v>
      </c>
      <c r="F17" s="3072" t="e">
        <f t="shared" si="3"/>
        <v>#DIV/0!</v>
      </c>
      <c r="G17" s="3073"/>
      <c r="H17" s="3073"/>
      <c r="I17" s="3076"/>
    </row>
    <row r="18" spans="1:9" ht="16.5">
      <c r="A18" s="3075" t="s">
        <v>2868</v>
      </c>
      <c r="B18" s="3076"/>
      <c r="C18" s="3076"/>
      <c r="D18" s="3076"/>
      <c r="E18" s="3072" t="e">
        <f t="shared" si="2"/>
        <v>#DIV/0!</v>
      </c>
      <c r="F18" s="3072" t="e">
        <f t="shared" si="3"/>
        <v>#DIV/0!</v>
      </c>
      <c r="G18" s="3076"/>
      <c r="H18" s="3076"/>
      <c r="I18" s="3076"/>
    </row>
    <row r="19" spans="1:9" ht="16.5">
      <c r="A19" s="3075" t="s">
        <v>2869</v>
      </c>
      <c r="B19" s="3076"/>
      <c r="C19" s="3076"/>
      <c r="D19" s="3076"/>
      <c r="E19" s="3072" t="e">
        <f t="shared" si="2"/>
        <v>#DIV/0!</v>
      </c>
      <c r="F19" s="3072" t="e">
        <f t="shared" si="3"/>
        <v>#DIV/0!</v>
      </c>
      <c r="G19" s="3076"/>
      <c r="H19" s="3076"/>
      <c r="I19" s="3076"/>
    </row>
    <row r="20" spans="1:9" ht="16.5">
      <c r="A20" s="3075" t="s">
        <v>2870</v>
      </c>
      <c r="B20" s="3076"/>
      <c r="C20" s="3076"/>
      <c r="D20" s="3076"/>
      <c r="E20" s="3072" t="e">
        <f t="shared" si="2"/>
        <v>#DIV/0!</v>
      </c>
      <c r="F20" s="3072" t="e">
        <f t="shared" si="3"/>
        <v>#DIV/0!</v>
      </c>
      <c r="G20" s="3076"/>
      <c r="H20" s="3076"/>
      <c r="I20" s="3076"/>
    </row>
    <row r="21" spans="1:9" ht="16.5">
      <c r="A21" s="3075" t="s">
        <v>2871</v>
      </c>
      <c r="B21" s="3076"/>
      <c r="C21" s="3076"/>
      <c r="D21" s="3076"/>
      <c r="E21" s="3072" t="e">
        <f t="shared" si="2"/>
        <v>#DIV/0!</v>
      </c>
      <c r="F21" s="3072" t="e">
        <f t="shared" si="3"/>
        <v>#DIV/0!</v>
      </c>
      <c r="G21" s="3076"/>
      <c r="H21" s="3076"/>
      <c r="I21" s="3076"/>
    </row>
    <row r="22" spans="1:9" ht="16.5">
      <c r="A22" s="3075" t="s">
        <v>2872</v>
      </c>
      <c r="B22" s="3076"/>
      <c r="C22" s="3076"/>
      <c r="D22" s="3076"/>
      <c r="E22" s="3072" t="e">
        <f t="shared" si="2"/>
        <v>#DIV/0!</v>
      </c>
      <c r="F22" s="3072" t="e">
        <f t="shared" si="3"/>
        <v>#DIV/0!</v>
      </c>
      <c r="G22" s="3076"/>
      <c r="H22" s="3076"/>
      <c r="I22" s="3076"/>
    </row>
    <row r="23" spans="1:9" ht="16.5">
      <c r="A23" s="3075" t="s">
        <v>2873</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2058</v>
      </c>
      <c r="B1" s="1776"/>
      <c r="C1" s="1804" t="s">
        <v>2059</v>
      </c>
      <c r="D1" s="1805" t="s">
        <v>3176</v>
      </c>
      <c r="E1" s="1804" t="s">
        <v>2060</v>
      </c>
      <c r="F1" s="1806" t="s">
        <v>3177</v>
      </c>
      <c r="G1" s="310"/>
      <c r="H1" s="310"/>
      <c r="I1" s="310"/>
      <c r="J1" s="2028"/>
      <c r="K1" s="2028"/>
      <c r="L1" s="2028"/>
      <c r="M1" s="2028"/>
      <c r="N1" s="2028"/>
      <c r="O1" s="2028"/>
      <c r="P1" s="2028"/>
      <c r="Q1" s="2028"/>
      <c r="R1" s="2028"/>
      <c r="S1" s="2028"/>
      <c r="T1" s="2028"/>
      <c r="U1" s="2028"/>
      <c r="V1" s="2028"/>
    </row>
    <row r="2" spans="1:22" ht="21.75" customHeight="1" thickBot="1">
      <c r="A2" s="3325" t="str">
        <f>项目基本情况!K2</f>
        <v>江苏省宜兴市环科园绿园路北侧兴业路东侧一宗住宅、商业及地下车库用途出让国有建设用地使用权出让国有建设用地使用权</v>
      </c>
      <c r="B2" s="3326"/>
      <c r="C2" s="3327"/>
      <c r="D2" s="3327"/>
      <c r="E2" s="3327"/>
      <c r="F2" s="3327"/>
      <c r="G2" s="3326"/>
      <c r="H2" s="3326"/>
      <c r="I2" s="3328"/>
      <c r="J2" s="2029"/>
      <c r="K2" s="2028"/>
      <c r="L2" s="2028"/>
      <c r="M2" s="2028"/>
      <c r="N2" s="2028"/>
      <c r="O2" s="2028"/>
      <c r="P2" s="2028"/>
      <c r="Q2" s="2028"/>
      <c r="R2" s="2028"/>
      <c r="S2" s="2028"/>
      <c r="T2" s="2028"/>
      <c r="U2" s="2028"/>
      <c r="V2" s="2028"/>
    </row>
    <row r="3" spans="1:22" ht="14.25">
      <c r="A3" s="3318" t="s">
        <v>298</v>
      </c>
      <c r="B3" s="3319"/>
      <c r="C3" s="3319"/>
      <c r="D3" s="3319"/>
      <c r="E3" s="3319"/>
      <c r="F3" s="3319"/>
      <c r="G3" s="3319"/>
      <c r="H3" s="3319"/>
      <c r="I3" s="3319"/>
      <c r="J3" s="2029"/>
      <c r="K3" s="2028"/>
      <c r="L3" s="2028"/>
      <c r="M3" s="2028"/>
      <c r="N3" s="2028"/>
      <c r="O3" s="2028"/>
      <c r="P3" s="2028"/>
      <c r="Q3" s="2028"/>
      <c r="R3" s="2028"/>
      <c r="S3" s="2028"/>
      <c r="T3" s="2028"/>
      <c r="U3" s="2028"/>
      <c r="V3" s="2028"/>
    </row>
    <row r="4" spans="1:22" ht="14.25">
      <c r="A4" s="257" t="s">
        <v>299</v>
      </c>
      <c r="B4" s="258" t="s">
        <v>300</v>
      </c>
      <c r="C4" s="259" t="s">
        <v>3179</v>
      </c>
      <c r="D4" s="259" t="s">
        <v>3178</v>
      </c>
      <c r="E4" s="3290" t="s">
        <v>301</v>
      </c>
      <c r="F4" s="3291"/>
      <c r="G4" s="3291"/>
      <c r="H4" s="3291"/>
      <c r="I4" s="3320"/>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9" t="s">
        <v>302</v>
      </c>
      <c r="B5" s="3315">
        <v>25</v>
      </c>
      <c r="C5" s="3313"/>
      <c r="D5" s="3317"/>
      <c r="E5" s="260" t="s">
        <v>303</v>
      </c>
      <c r="F5" s="261"/>
      <c r="G5" s="261"/>
      <c r="H5" s="261"/>
      <c r="I5" s="262"/>
      <c r="J5" s="2029"/>
      <c r="K5" s="2028"/>
      <c r="L5" s="2028"/>
      <c r="M5" s="2028"/>
      <c r="N5" s="2028"/>
      <c r="O5" s="2028"/>
      <c r="P5" s="2028"/>
      <c r="Q5" s="2028"/>
      <c r="R5" s="2028"/>
      <c r="S5" s="2028"/>
      <c r="T5" s="2028"/>
      <c r="U5" s="2028"/>
      <c r="V5" s="2028"/>
    </row>
    <row r="6" spans="1:22" ht="14.25">
      <c r="A6" s="3289"/>
      <c r="B6" s="3315"/>
      <c r="C6" s="3316"/>
      <c r="D6" s="3317"/>
      <c r="E6" s="260" t="s">
        <v>304</v>
      </c>
      <c r="F6" s="261"/>
      <c r="G6" s="261"/>
      <c r="H6" s="261"/>
      <c r="I6" s="262"/>
      <c r="J6" s="2029"/>
      <c r="K6" s="2028"/>
      <c r="L6" s="2028"/>
      <c r="M6" s="2028"/>
      <c r="N6" s="2028"/>
      <c r="O6" s="2028"/>
      <c r="P6" s="2028"/>
      <c r="Q6" s="2028"/>
      <c r="R6" s="2028"/>
      <c r="S6" s="2028"/>
      <c r="T6" s="2028"/>
      <c r="U6" s="2028"/>
      <c r="V6" s="2028"/>
    </row>
    <row r="7" spans="1:22" ht="14.25">
      <c r="A7" s="3289"/>
      <c r="B7" s="3315"/>
      <c r="C7" s="3314"/>
      <c r="D7" s="3317"/>
      <c r="E7" s="260" t="s">
        <v>305</v>
      </c>
      <c r="F7" s="261"/>
      <c r="G7" s="261"/>
      <c r="H7" s="261"/>
      <c r="I7" s="262"/>
      <c r="J7" s="2029"/>
      <c r="K7" s="2028"/>
      <c r="L7" s="2028"/>
      <c r="M7" s="2028"/>
      <c r="N7" s="2028"/>
      <c r="O7" s="2028"/>
      <c r="P7" s="2028"/>
      <c r="Q7" s="2028"/>
      <c r="R7" s="2028"/>
      <c r="S7" s="2028"/>
      <c r="T7" s="2028"/>
      <c r="U7" s="2028"/>
      <c r="V7" s="2028"/>
    </row>
    <row r="8" spans="1:22" ht="14.25">
      <c r="A8" s="3289" t="s">
        <v>306</v>
      </c>
      <c r="B8" s="3315">
        <v>15</v>
      </c>
      <c r="C8" s="3313"/>
      <c r="D8" s="3317"/>
      <c r="E8" s="260" t="s">
        <v>307</v>
      </c>
      <c r="F8" s="261"/>
      <c r="G8" s="261"/>
      <c r="H8" s="261"/>
      <c r="I8" s="262"/>
      <c r="J8" s="2029"/>
      <c r="K8" s="2028"/>
      <c r="L8" s="2028"/>
      <c r="M8" s="2028"/>
      <c r="N8" s="2028"/>
      <c r="O8" s="2028"/>
      <c r="P8" s="2028"/>
      <c r="Q8" s="2028"/>
      <c r="R8" s="2028"/>
      <c r="S8" s="2028"/>
      <c r="T8" s="2028"/>
      <c r="U8" s="2028"/>
      <c r="V8" s="2028"/>
    </row>
    <row r="9" spans="1:22" ht="14.25">
      <c r="A9" s="3289"/>
      <c r="B9" s="3315"/>
      <c r="C9" s="3314"/>
      <c r="D9" s="3317"/>
      <c r="E9" s="260" t="s">
        <v>308</v>
      </c>
      <c r="F9" s="261"/>
      <c r="G9" s="261"/>
      <c r="H9" s="261"/>
      <c r="I9" s="262"/>
      <c r="J9" s="2029"/>
      <c r="K9" s="2028"/>
      <c r="L9" s="2028"/>
      <c r="M9" s="2028"/>
      <c r="N9" s="2028"/>
      <c r="O9" s="2028"/>
      <c r="P9" s="2028"/>
      <c r="Q9" s="2028"/>
      <c r="R9" s="2028"/>
      <c r="S9" s="2028"/>
      <c r="T9" s="2028"/>
      <c r="U9" s="2028"/>
      <c r="V9" s="2028"/>
    </row>
    <row r="10" spans="1:22" ht="14.25">
      <c r="A10" s="3289" t="s">
        <v>309</v>
      </c>
      <c r="B10" s="3315">
        <v>15</v>
      </c>
      <c r="C10" s="3313"/>
      <c r="D10" s="3317"/>
      <c r="E10" s="260" t="s">
        <v>310</v>
      </c>
      <c r="F10" s="261"/>
      <c r="G10" s="261"/>
      <c r="H10" s="261"/>
      <c r="I10" s="262"/>
      <c r="J10" s="2029"/>
      <c r="K10" s="2028"/>
      <c r="L10" s="2028"/>
      <c r="M10" s="2028"/>
      <c r="N10" s="2028"/>
      <c r="O10" s="2028"/>
      <c r="P10" s="2028"/>
      <c r="Q10" s="2028"/>
      <c r="R10" s="2028"/>
      <c r="S10" s="2028"/>
      <c r="T10" s="2028"/>
      <c r="U10" s="2028"/>
      <c r="V10" s="2028"/>
    </row>
    <row r="11" spans="1:22" ht="14.25">
      <c r="A11" s="3289"/>
      <c r="B11" s="3315"/>
      <c r="C11" s="3314"/>
      <c r="D11" s="3317"/>
      <c r="E11" s="260" t="s">
        <v>311</v>
      </c>
      <c r="F11" s="261"/>
      <c r="G11" s="261"/>
      <c r="H11" s="261"/>
      <c r="I11" s="262"/>
      <c r="J11" s="2029"/>
      <c r="K11" s="2028"/>
      <c r="L11" s="2028"/>
      <c r="M11" s="2028"/>
      <c r="N11" s="2028"/>
      <c r="O11" s="2028"/>
      <c r="P11" s="2028"/>
      <c r="Q11" s="2028"/>
      <c r="R11" s="2028"/>
      <c r="S11" s="2028"/>
      <c r="T11" s="2028"/>
      <c r="U11" s="2028"/>
      <c r="V11" s="2028"/>
    </row>
    <row r="12" spans="1:22" ht="14.25">
      <c r="A12" s="3289" t="s">
        <v>312</v>
      </c>
      <c r="B12" s="3315">
        <v>15</v>
      </c>
      <c r="C12" s="3313"/>
      <c r="D12" s="3317"/>
      <c r="E12" s="260" t="s">
        <v>313</v>
      </c>
      <c r="F12" s="261"/>
      <c r="G12" s="261"/>
      <c r="H12" s="261"/>
      <c r="I12" s="262"/>
      <c r="J12" s="2029"/>
      <c r="K12" s="2028"/>
      <c r="L12" s="2028"/>
      <c r="M12" s="2028"/>
      <c r="N12" s="2028"/>
      <c r="O12" s="2028"/>
      <c r="P12" s="2028"/>
      <c r="Q12" s="2028"/>
      <c r="R12" s="2028"/>
      <c r="S12" s="2028"/>
      <c r="T12" s="2028"/>
      <c r="U12" s="2028"/>
      <c r="V12" s="2028"/>
    </row>
    <row r="13" spans="1:22" ht="14.25">
      <c r="A13" s="3289"/>
      <c r="B13" s="3315"/>
      <c r="C13" s="3314"/>
      <c r="D13" s="3317"/>
      <c r="E13" s="260" t="s">
        <v>314</v>
      </c>
      <c r="F13" s="261"/>
      <c r="G13" s="261"/>
      <c r="H13" s="261"/>
      <c r="I13" s="262"/>
      <c r="J13" s="2029"/>
      <c r="K13" s="2028"/>
      <c r="L13" s="2028"/>
      <c r="M13" s="2028"/>
      <c r="N13" s="2028"/>
      <c r="O13" s="2028"/>
      <c r="P13" s="2028"/>
      <c r="Q13" s="2028"/>
      <c r="R13" s="2028"/>
      <c r="S13" s="2028"/>
      <c r="T13" s="2028"/>
      <c r="U13" s="2028"/>
      <c r="V13" s="2028"/>
    </row>
    <row r="14" spans="1:22" ht="14.25">
      <c r="A14" s="3289" t="s">
        <v>315</v>
      </c>
      <c r="B14" s="3315">
        <v>30</v>
      </c>
      <c r="C14" s="3313">
        <v>0.5</v>
      </c>
      <c r="D14" s="3317">
        <f>1-C14</f>
        <v>0.5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89"/>
      <c r="B15" s="3315"/>
      <c r="C15" s="3316"/>
      <c r="D15" s="3317"/>
      <c r="E15" s="260" t="s">
        <v>317</v>
      </c>
      <c r="F15" s="261"/>
      <c r="G15" s="261"/>
      <c r="H15" s="261"/>
      <c r="I15" s="262"/>
      <c r="J15" s="2029"/>
      <c r="K15" s="2028"/>
      <c r="L15" s="2028"/>
      <c r="M15" s="2028"/>
      <c r="N15" s="2028"/>
      <c r="O15" s="2028"/>
      <c r="P15" s="2028"/>
      <c r="Q15" s="2028"/>
      <c r="R15" s="2028"/>
      <c r="S15" s="2028"/>
      <c r="T15" s="2028"/>
      <c r="U15" s="2028"/>
      <c r="V15" s="2028"/>
    </row>
    <row r="16" spans="1:22" ht="14.25">
      <c r="A16" s="3289"/>
      <c r="B16" s="3315"/>
      <c r="C16" s="3314"/>
      <c r="D16" s="3317"/>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0.5</v>
      </c>
      <c r="D17" s="264">
        <f>SUM(D5:D16)</f>
        <v>0.5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25648</v>
      </c>
      <c r="D19" s="270">
        <f ca="1">SUMIF(INDIRECT("'"&amp;D4&amp;"'"&amp;"!A:A"),结果表!B19,INDIRECT("'"&amp;D4&amp;"'"&amp;"!B:B"))</f>
        <v>30525</v>
      </c>
      <c r="E19" s="267" t="s">
        <v>323</v>
      </c>
      <c r="F19" s="268" t="s">
        <v>322</v>
      </c>
      <c r="G19" s="271">
        <f ca="1">ROUND(C19*$C$18+D19*$D$18,0)</f>
        <v>28087</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4807</v>
      </c>
      <c r="D20" s="276">
        <f ca="1">SUMIF(INDIRECT("'"&amp;D4&amp;"'"&amp;"!A:A"),结果表!B20,INDIRECT("'"&amp;D4&amp;"'"&amp;"!B:B"))</f>
        <v>5722</v>
      </c>
      <c r="E20" s="273"/>
      <c r="F20" s="274" t="s">
        <v>325</v>
      </c>
      <c r="G20" s="277">
        <f ca="1">ROUND(C20*$C$18+D20*$D$18,0)</f>
        <v>5265</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9930</v>
      </c>
      <c r="D21" s="150">
        <f ca="1">SUMIF(INDIRECT("'"&amp;D4&amp;"'"&amp;"!A:A"),结果表!B21,INDIRECT("'"&amp;D4&amp;"'"&amp;"!B:B"))</f>
        <v>11818</v>
      </c>
      <c r="E21" s="273"/>
      <c r="F21" s="279" t="s">
        <v>327</v>
      </c>
      <c r="G21" s="281">
        <f ca="1">ROUND(C21*$C$18+D21*$D$18,0)</f>
        <v>10874</v>
      </c>
      <c r="H21" s="1249" t="s">
        <v>326</v>
      </c>
      <c r="I21" s="310"/>
      <c r="J21" s="2028"/>
      <c r="K21" s="2028"/>
      <c r="L21" s="2028"/>
      <c r="M21" s="2028"/>
      <c r="N21" s="2028"/>
      <c r="O21" s="2028"/>
      <c r="P21" s="2028"/>
      <c r="Q21" s="2028"/>
      <c r="R21" s="2028"/>
      <c r="S21" s="2028"/>
      <c r="T21" s="2028"/>
      <c r="U21" s="2028"/>
      <c r="V21" s="2028"/>
    </row>
    <row r="22" spans="1:26" ht="15.75" thickBot="1">
      <c r="A22" s="125" t="s">
        <v>328</v>
      </c>
      <c r="B22" s="1250"/>
      <c r="C22" s="1251"/>
      <c r="D22" s="282">
        <f ca="1">IF(C19&lt;D19,D19/C19-1,C19/D19-1)</f>
        <v>0.19015127885215222</v>
      </c>
      <c r="E22" s="283"/>
      <c r="F22" s="284"/>
      <c r="G22" s="285">
        <f ca="1">ROUND(G19/('数据-汇总表'!D3/666.67),0)</f>
        <v>725</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5"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6"/>
      <c r="B25" s="1319" t="s">
        <v>331</v>
      </c>
      <c r="C25" s="289">
        <f>IF(B30=0,0,C30)</f>
        <v>0</v>
      </c>
      <c r="D25" s="290"/>
      <c r="E25" s="310"/>
      <c r="F25" s="310"/>
      <c r="G25" s="310"/>
      <c r="H25" s="310"/>
      <c r="I25" s="310"/>
      <c r="J25" s="2028"/>
      <c r="K25" s="1253" t="str">
        <f ca="1">项目基本情况!B16&amp;"国有建设用地使用权价格："&amp;O38&amp;"万元"</f>
        <v>出让国有建设用地使用权价格：28087万元</v>
      </c>
      <c r="L25" s="1254"/>
      <c r="M25" s="1254"/>
      <c r="N25" s="1254"/>
      <c r="O25" s="1255"/>
      <c r="P25" s="2028"/>
      <c r="Q25" s="2028"/>
      <c r="R25" s="2028"/>
      <c r="S25" s="2028"/>
      <c r="T25" s="2028"/>
      <c r="U25" s="2028"/>
      <c r="V25" s="2028"/>
    </row>
    <row r="26" spans="1:26" s="1252" customFormat="1" ht="18">
      <c r="A26" s="292" t="s">
        <v>332</v>
      </c>
      <c r="B26" s="293" t="s">
        <v>333</v>
      </c>
      <c r="C26" s="293" t="s">
        <v>334</v>
      </c>
      <c r="D26" s="294" t="s">
        <v>335</v>
      </c>
      <c r="E26" s="310"/>
      <c r="F26" s="310"/>
      <c r="G26" s="310"/>
      <c r="H26" s="310"/>
      <c r="I26" s="310"/>
      <c r="J26" s="2028"/>
      <c r="K26" s="1256" t="str">
        <f ca="1">"大写金额：人民币"&amp;NUMBERSTRING(INT(O38*10000),2)&amp;"元整"</f>
        <v>大写金额：人民币贰亿捌仟零捌拾柒万元整</v>
      </c>
      <c r="L26" s="1250"/>
      <c r="M26" s="1250"/>
      <c r="N26" s="1250"/>
      <c r="O26" s="1249"/>
      <c r="P26" s="2028"/>
      <c r="Q26" s="2028"/>
      <c r="R26" s="2028"/>
      <c r="S26" s="2028"/>
      <c r="T26" s="2028"/>
      <c r="U26" s="2028"/>
      <c r="V26" s="2028"/>
      <c r="W26" s="291"/>
      <c r="X26" s="291"/>
      <c r="Y26" s="291"/>
      <c r="Z26" s="291"/>
    </row>
    <row r="27" spans="1:26" ht="18">
      <c r="A27" s="292"/>
      <c r="B27" s="293"/>
      <c r="C27" s="293"/>
      <c r="D27" s="294">
        <f ca="1">G19*10000/'数据-汇总表'!F31</f>
        <v>6796.4477568600878</v>
      </c>
      <c r="E27" s="310"/>
      <c r="F27" s="310"/>
      <c r="G27" s="310"/>
      <c r="H27" s="310"/>
      <c r="I27" s="310"/>
      <c r="J27" s="2028"/>
      <c r="K27" s="1256" t="str">
        <f ca="1">"单位面积地价："&amp;M38&amp;"元/平方米"</f>
        <v>单位面积地价：10874元/平方米</v>
      </c>
      <c r="L27" s="1250"/>
      <c r="M27" s="1250"/>
      <c r="N27" s="1250"/>
      <c r="O27" s="1249"/>
      <c r="P27" s="2028"/>
      <c r="Q27" s="2028"/>
      <c r="R27" s="2028"/>
      <c r="S27" s="2028"/>
      <c r="T27" s="2028"/>
      <c r="U27" s="2028"/>
      <c r="V27" s="2028"/>
    </row>
    <row r="28" spans="1:26" ht="18.75" customHeight="1">
      <c r="A28" s="292"/>
      <c r="B28" s="293"/>
      <c r="C28" s="293"/>
      <c r="D28" s="3497">
        <f ca="1">(D27-土地案例!K2)/土地案例!K2</f>
        <v>7.2033805147519128E-2</v>
      </c>
      <c r="E28" s="310"/>
      <c r="F28" s="310"/>
      <c r="G28" s="310"/>
      <c r="H28" s="310"/>
      <c r="I28" s="310"/>
      <c r="J28" s="2028"/>
      <c r="K28" s="1256" t="str">
        <f ca="1">"楼面地价："&amp;N38&amp;"元/平方米"</f>
        <v>楼面地价：5265元/平方米</v>
      </c>
      <c r="L28" s="1250"/>
      <c r="M28" s="1250"/>
      <c r="N28" s="1250"/>
      <c r="O28" s="1249"/>
      <c r="P28" s="2028"/>
      <c r="V28" s="2028"/>
    </row>
    <row r="29" spans="1:26" ht="18">
      <c r="A29" s="292"/>
      <c r="B29" s="293"/>
      <c r="C29" s="293"/>
      <c r="D29" s="294"/>
      <c r="E29" s="310"/>
      <c r="F29" s="310"/>
      <c r="G29" s="310"/>
      <c r="H29" s="310"/>
      <c r="I29" s="310"/>
      <c r="J29" s="2028"/>
      <c r="K29" s="1256" t="str">
        <f ca="1">IF(OR(项目基本情况!E8="抵押价格",项目基本情况!E8="已注销及未注销"),"抵押价格："&amp;O39&amp;"万元","——")</f>
        <v>抵押价格：28087万元</v>
      </c>
      <c r="L29" s="1250"/>
      <c r="M29" s="1250"/>
      <c r="N29" s="1250"/>
      <c r="O29" s="1249"/>
      <c r="P29" s="2028"/>
      <c r="V29" s="2028"/>
    </row>
    <row r="30" spans="1:26" ht="18.75" thickBot="1">
      <c r="A30" s="3157" t="s">
        <v>336</v>
      </c>
      <c r="B30" s="308"/>
      <c r="C30" s="308"/>
      <c r="D30" s="309"/>
      <c r="E30" s="3158" t="s">
        <v>2971</v>
      </c>
      <c r="F30" s="310"/>
      <c r="G30" s="310"/>
      <c r="H30" s="310"/>
      <c r="I30" s="310"/>
      <c r="J30" s="2028"/>
      <c r="K30" s="1256" t="str">
        <f ca="1">IF(K29="——","——","大写金额：人民币"&amp;NUMBERSTRING(INT(O39*10000),2)&amp;"元整")</f>
        <v>大写金额：人民币贰亿捌仟零捌拾柒万元整</v>
      </c>
      <c r="L30" s="1250"/>
      <c r="M30" s="1250"/>
      <c r="N30" s="1250"/>
      <c r="O30" s="1249"/>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0" t="s">
        <v>1689</v>
      </c>
      <c r="C32" s="1381">
        <f ca="1">G19-C24</f>
        <v>28087</v>
      </c>
      <c r="D32" s="1382" t="s">
        <v>1690</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3" t="s">
        <v>1691</v>
      </c>
      <c r="C33" s="263">
        <f ca="1">ROUND(C32*10000/'数据-汇总表'!E3,0)</f>
        <v>5265</v>
      </c>
      <c r="D33" s="1384" t="s">
        <v>1692</v>
      </c>
      <c r="E33" s="3295" t="s">
        <v>338</v>
      </c>
      <c r="F33" s="295" t="s">
        <v>339</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1693</v>
      </c>
      <c r="C34" s="263">
        <f ca="1">ROUND(C32*10000/'数据-汇总表'!D3,0)</f>
        <v>10874</v>
      </c>
      <c r="D34" s="1386" t="s">
        <v>1692</v>
      </c>
      <c r="E34" s="3336"/>
      <c r="F34" s="126" t="s">
        <v>341</v>
      </c>
      <c r="G34" s="298"/>
      <c r="H34" s="105"/>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725</v>
      </c>
      <c r="D35" s="1389" t="s">
        <v>1694</v>
      </c>
      <c r="E35" s="3337"/>
      <c r="F35" s="300" t="s">
        <v>342</v>
      </c>
      <c r="G35" s="980"/>
      <c r="H35" s="979" t="s">
        <v>343</v>
      </c>
      <c r="I35" s="310"/>
      <c r="J35" s="2028"/>
      <c r="K35" s="3310" t="s">
        <v>350</v>
      </c>
      <c r="L35" s="3310" t="s">
        <v>351</v>
      </c>
      <c r="M35" s="1262" t="s">
        <v>352</v>
      </c>
      <c r="N35" s="3310" t="s">
        <v>353</v>
      </c>
      <c r="O35" s="3310" t="s">
        <v>354</v>
      </c>
      <c r="P35" s="2028"/>
      <c r="V35" s="2028"/>
    </row>
    <row r="36" spans="1:26" ht="16.5" customHeight="1">
      <c r="A36" s="302" t="s">
        <v>344</v>
      </c>
      <c r="B36" s="303" t="s">
        <v>333</v>
      </c>
      <c r="C36" s="304" t="s">
        <v>345</v>
      </c>
      <c r="D36" s="304" t="s">
        <v>346</v>
      </c>
      <c r="E36" s="305" t="s">
        <v>347</v>
      </c>
      <c r="F36" s="310"/>
      <c r="G36" s="310"/>
      <c r="H36" s="310"/>
      <c r="I36" s="310"/>
      <c r="J36" s="2030"/>
      <c r="K36" s="3311"/>
      <c r="L36" s="3311"/>
      <c r="M36" s="1264" t="s">
        <v>355</v>
      </c>
      <c r="N36" s="3311"/>
      <c r="O36" s="3311"/>
      <c r="P36" s="2028"/>
      <c r="V36" s="2028"/>
    </row>
    <row r="37" spans="1:26" ht="16.5" customHeight="1" thickBot="1">
      <c r="A37" s="1258" t="s">
        <v>348</v>
      </c>
      <c r="B37" s="306"/>
      <c r="C37" s="293"/>
      <c r="D37" s="293"/>
      <c r="E37" s="294"/>
      <c r="F37" s="310"/>
      <c r="G37" s="310"/>
      <c r="H37" s="310"/>
      <c r="I37" s="310"/>
      <c r="J37" s="2030"/>
      <c r="K37" s="3312"/>
      <c r="L37" s="3312"/>
      <c r="M37" s="1265"/>
      <c r="N37" s="3312"/>
      <c r="O37" s="3312"/>
      <c r="P37" s="2028"/>
      <c r="V37" s="2028"/>
    </row>
    <row r="38" spans="1:26" ht="16.5" customHeight="1" thickBot="1">
      <c r="A38" s="1258" t="s">
        <v>349</v>
      </c>
      <c r="B38" s="306"/>
      <c r="C38" s="293"/>
      <c r="D38" s="293"/>
      <c r="E38" s="294"/>
      <c r="F38" s="310"/>
      <c r="G38" s="310"/>
      <c r="H38" s="310"/>
      <c r="I38" s="310"/>
      <c r="J38" s="2030"/>
      <c r="K38" s="1266">
        <f>'数据-汇总表'!D3</f>
        <v>25829</v>
      </c>
      <c r="L38" s="1267">
        <f>'数据-汇总表'!E3</f>
        <v>53350.36</v>
      </c>
      <c r="M38" s="1267">
        <f ca="1">C34</f>
        <v>10874</v>
      </c>
      <c r="N38" s="1267">
        <f ca="1">C33</f>
        <v>5265</v>
      </c>
      <c r="O38" s="1268">
        <f ca="1">C32</f>
        <v>28087</v>
      </c>
      <c r="P38" s="2028"/>
      <c r="V38" s="2028"/>
    </row>
    <row r="39" spans="1:26" ht="16.5" customHeight="1" thickBot="1">
      <c r="A39" s="1263"/>
      <c r="B39" s="307"/>
      <c r="C39" s="308"/>
      <c r="D39" s="308"/>
      <c r="E39" s="309"/>
      <c r="F39" s="310"/>
      <c r="G39" s="310"/>
      <c r="H39" s="310"/>
      <c r="I39" s="310"/>
      <c r="J39" s="2030"/>
      <c r="K39" s="3355" t="str">
        <f>MID(A44,3,LEN(A44)-2)</f>
        <v>抵押价格</v>
      </c>
      <c r="L39" s="3356"/>
      <c r="M39" s="3356"/>
      <c r="N39" s="3357"/>
      <c r="O39" s="1391">
        <f ca="1">C44</f>
        <v>28087</v>
      </c>
      <c r="P39" s="2028"/>
      <c r="V39" s="2028"/>
    </row>
    <row r="40" spans="1:26" ht="19.5" thickBot="1">
      <c r="A40" s="104" t="s">
        <v>873</v>
      </c>
      <c r="B40" s="310"/>
      <c r="C40" s="310"/>
      <c r="D40" s="310"/>
      <c r="E40" s="310"/>
      <c r="F40" s="310"/>
      <c r="G40" s="310"/>
      <c r="H40" s="310"/>
      <c r="I40" s="310"/>
      <c r="J40" s="2030"/>
      <c r="K40" s="3355" t="str">
        <f t="shared" ref="K40:K41" si="0">MID(A45,3,LEN(A45)-2)</f>
        <v/>
      </c>
      <c r="L40" s="3356"/>
      <c r="M40" s="3356"/>
      <c r="N40" s="3357"/>
      <c r="O40" s="1391" t="str">
        <f>C45</f>
        <v>——</v>
      </c>
      <c r="P40" s="2028"/>
      <c r="V40" s="2028"/>
    </row>
    <row r="41" spans="1:26" ht="16.5" thickBot="1">
      <c r="A41" s="311" t="s">
        <v>356</v>
      </c>
      <c r="B41" s="312"/>
      <c r="C41" s="313" t="s">
        <v>357</v>
      </c>
      <c r="D41" s="314" t="s">
        <v>358</v>
      </c>
      <c r="E41" s="314" t="s">
        <v>359</v>
      </c>
      <c r="F41" s="315" t="s">
        <v>360</v>
      </c>
      <c r="G41" s="310"/>
      <c r="H41" s="310"/>
      <c r="I41" s="310"/>
      <c r="J41" s="2030"/>
      <c r="K41" s="3355" t="str">
        <f t="shared" si="0"/>
        <v/>
      </c>
      <c r="L41" s="3356"/>
      <c r="M41" s="3356"/>
      <c r="N41" s="3357"/>
      <c r="O41" s="1391" t="str">
        <f>C46</f>
        <v>——</v>
      </c>
      <c r="P41" s="2028"/>
      <c r="V41" s="2028"/>
    </row>
    <row r="42" spans="1:26" ht="29.25">
      <c r="A42" s="3297" t="s">
        <v>2070</v>
      </c>
      <c r="B42" s="3298"/>
      <c r="C42" s="263">
        <f ca="1">C32</f>
        <v>28087</v>
      </c>
      <c r="D42" s="316">
        <f ca="1">C33</f>
        <v>5265</v>
      </c>
      <c r="E42" s="316">
        <f ca="1">C34</f>
        <v>10874</v>
      </c>
      <c r="F42" s="317">
        <f ca="1">C35</f>
        <v>725</v>
      </c>
      <c r="G42" s="310"/>
      <c r="H42" s="310"/>
      <c r="I42" s="318"/>
      <c r="J42" s="2030"/>
      <c r="K42" s="1269" t="s">
        <v>361</v>
      </c>
      <c r="L42" s="2047" t="s">
        <v>362</v>
      </c>
      <c r="M42" s="1270" t="s">
        <v>363</v>
      </c>
      <c r="N42" s="2048" t="s">
        <v>364</v>
      </c>
      <c r="O42" s="2049" t="s">
        <v>365</v>
      </c>
      <c r="P42" s="2028"/>
      <c r="V42" s="2028"/>
    </row>
    <row r="43" spans="1:26" ht="30">
      <c r="A43" s="3308" t="s">
        <v>2734</v>
      </c>
      <c r="B43" s="3309"/>
      <c r="C43" s="263">
        <f>IF(H33="正常操作",G33+G34+G35,G34+G35)</f>
        <v>0</v>
      </c>
      <c r="D43" s="316" t="s">
        <v>43</v>
      </c>
      <c r="E43" s="316" t="s">
        <v>44</v>
      </c>
      <c r="F43" s="317" t="s">
        <v>44</v>
      </c>
      <c r="G43" s="2890" t="s">
        <v>952</v>
      </c>
      <c r="H43" s="310"/>
      <c r="I43" s="318"/>
      <c r="J43" s="2030"/>
      <c r="K43" s="1271" t="str">
        <f>C4</f>
        <v>比较法-住宅、综合</v>
      </c>
      <c r="L43" s="1272">
        <f ca="1">IF(L42="估价结果/万元",C19,C20)</f>
        <v>25648</v>
      </c>
      <c r="M43" s="1273">
        <f>C18</f>
        <v>0.5</v>
      </c>
      <c r="N43" s="1274">
        <f ca="1">IF(N42="测算结果/万元",G19,G20)</f>
        <v>28087</v>
      </c>
      <c r="O43" s="1275">
        <f ca="1">IF(O42="最终结果/万元",C32,C33)</f>
        <v>28087</v>
      </c>
      <c r="P43" s="2028"/>
      <c r="V43" s="2028"/>
    </row>
    <row r="44" spans="1:26" ht="30.75" thickBot="1">
      <c r="A44" s="3297" t="str">
        <f>IF(OR(项目基本情况!E8="抵押价格",项目基本情况!E8="已注销及未注销"),"3.抵押价格","——")</f>
        <v>3.抵押价格</v>
      </c>
      <c r="B44" s="3298"/>
      <c r="C44" s="263">
        <f ca="1">IF(A44="——","——",C42-C43)</f>
        <v>28087</v>
      </c>
      <c r="D44" s="316">
        <f ca="1">ROUND(C44*10000/'数据-汇总表'!E3,0)</f>
        <v>5265</v>
      </c>
      <c r="E44" s="316">
        <f ca="1">ROUND(C44*10000/'数据-汇总表'!D3,0)</f>
        <v>10874</v>
      </c>
      <c r="F44" s="317">
        <f ca="1">ROUND(C44/('数据-汇总表'!D3/666.67),0)</f>
        <v>725</v>
      </c>
      <c r="G44" s="310"/>
      <c r="H44" s="310"/>
      <c r="I44" s="318"/>
      <c r="J44" s="2030"/>
      <c r="K44" s="1276" t="str">
        <f>D4</f>
        <v>剩余法-待开发</v>
      </c>
      <c r="L44" s="1277">
        <f ca="1">IF(L42="估价结果/万元",D19,D20)</f>
        <v>30525</v>
      </c>
      <c r="M44" s="1278">
        <f>D18</f>
        <v>0.5</v>
      </c>
      <c r="N44" s="1279"/>
      <c r="O44" s="1280"/>
      <c r="P44" s="2028"/>
      <c r="V44" s="2028"/>
    </row>
    <row r="45" spans="1:26" ht="15">
      <c r="A45" s="3303" t="str">
        <f>IF(项目基本情况!E8="已注销及未注销","4.抵押担保权已注销时的抵押价格",IF(项目基本情况!E8="已注销","3.抵押担保权已注销时的抵押价格","——"))</f>
        <v>——</v>
      </c>
      <c r="B45" s="3304"/>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9" t="str">
        <f>IF(项目基本情况!E9="抵押净值",IF(A45="——","4.抵押净值","5.抵押净值"),"——")</f>
        <v>——</v>
      </c>
      <c r="B46" s="3300"/>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1"/>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44" t="s">
        <v>374</v>
      </c>
      <c r="B63" s="3345"/>
      <c r="C63" s="3346"/>
      <c r="D63" s="340">
        <f ca="1">ROUND(C42*F63,0)</f>
        <v>16852</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05" t="s">
        <v>378</v>
      </c>
      <c r="B64" s="3306"/>
      <c r="C64" s="3306"/>
      <c r="D64" s="3306"/>
      <c r="E64" s="3306"/>
      <c r="F64" s="3306"/>
      <c r="G64" s="3307"/>
      <c r="H64" s="1286"/>
      <c r="I64" s="946"/>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6"/>
      <c r="I65" s="946"/>
      <c r="J65" s="1990"/>
      <c r="K65" s="1287"/>
      <c r="L65" s="1288"/>
      <c r="M65" s="1288"/>
      <c r="N65" s="1320" t="s">
        <v>379</v>
      </c>
      <c r="O65" s="1321"/>
      <c r="P65" s="1322"/>
      <c r="Q65" s="2028"/>
      <c r="R65" s="2028"/>
      <c r="S65" s="2028"/>
      <c r="T65" s="2028"/>
      <c r="U65" s="2028"/>
      <c r="V65" s="2028"/>
    </row>
    <row r="66" spans="1:22" ht="25.5">
      <c r="A66" s="3301" t="s">
        <v>386</v>
      </c>
      <c r="B66" s="3302"/>
      <c r="C66" s="3302"/>
      <c r="D66" s="260">
        <f ca="1">IF(H66="情况1",0,IF(H66="情况2",D70,IF(H66="情况3",D71,IF(H66="情况4",D72))))</f>
        <v>883</v>
      </c>
      <c r="E66" s="991" t="str">
        <f>IF(H66="情况4","(销售额-原购置价)×税（费）率","销售额×税（费）率")</f>
        <v>销售额×税（费）率</v>
      </c>
      <c r="F66" s="349">
        <f>IF(H66="情况1","免征",'数据-取费表'!B41)</f>
        <v>5.5000000000000007E-2</v>
      </c>
      <c r="G66" s="350" t="s">
        <v>387</v>
      </c>
      <c r="H66" s="190" t="s">
        <v>388</v>
      </c>
      <c r="I66" s="1286"/>
      <c r="J66" s="2034"/>
      <c r="K66" s="1289">
        <v>1</v>
      </c>
      <c r="L66" s="3359" t="s">
        <v>385</v>
      </c>
      <c r="M66" s="3360"/>
      <c r="N66" s="2482"/>
      <c r="O66" s="2483"/>
      <c r="P66" s="2484"/>
      <c r="Q66" s="2028"/>
      <c r="R66" s="2028"/>
      <c r="S66" s="2028"/>
      <c r="T66" s="2028"/>
      <c r="U66" s="2028"/>
      <c r="V66" s="2028"/>
    </row>
    <row r="67" spans="1:22" ht="25.5" customHeight="1">
      <c r="A67" s="351" t="s">
        <v>390</v>
      </c>
      <c r="B67" s="3292" t="s">
        <v>391</v>
      </c>
      <c r="C67" s="3292"/>
      <c r="D67" s="352">
        <v>0</v>
      </c>
      <c r="E67" s="41" t="s">
        <v>392</v>
      </c>
      <c r="F67" s="62" t="s">
        <v>21</v>
      </c>
      <c r="G67" s="3347"/>
      <c r="H67" s="310"/>
      <c r="I67" s="1290"/>
      <c r="J67" s="2035"/>
      <c r="K67" s="1976">
        <v>2</v>
      </c>
      <c r="L67" s="3358" t="s">
        <v>389</v>
      </c>
      <c r="M67" s="3358"/>
      <c r="N67" s="1323">
        <f>'数据-取费表'!B2</f>
        <v>43249</v>
      </c>
      <c r="O67" s="1323"/>
      <c r="P67" s="1323"/>
      <c r="Q67" s="2028"/>
      <c r="R67" s="2028"/>
      <c r="S67" s="2028"/>
      <c r="T67" s="2028"/>
      <c r="U67" s="2028"/>
      <c r="V67" s="2028"/>
    </row>
    <row r="68" spans="1:22" ht="25.5" customHeight="1">
      <c r="A68" s="353"/>
      <c r="B68" s="3292" t="s">
        <v>394</v>
      </c>
      <c r="C68" s="3292"/>
      <c r="D68" s="354"/>
      <c r="E68" s="77"/>
      <c r="F68" s="355"/>
      <c r="G68" s="3348"/>
      <c r="H68" s="310"/>
      <c r="I68" s="1290"/>
      <c r="J68" s="2035"/>
      <c r="K68" s="1976">
        <v>3</v>
      </c>
      <c r="L68" s="3358" t="s">
        <v>393</v>
      </c>
      <c r="M68" s="3358"/>
      <c r="N68" s="1291">
        <f ca="1">C42</f>
        <v>28087</v>
      </c>
      <c r="O68" s="1291"/>
      <c r="P68" s="1291"/>
      <c r="Q68" s="2028"/>
      <c r="R68" s="2028"/>
      <c r="S68" s="2028"/>
      <c r="T68" s="2028"/>
      <c r="U68" s="2028"/>
      <c r="V68" s="2028"/>
    </row>
    <row r="69" spans="1:22" ht="12" customHeight="1">
      <c r="A69" s="356"/>
      <c r="B69" s="3292" t="s">
        <v>395</v>
      </c>
      <c r="C69" s="3292"/>
      <c r="D69" s="357"/>
      <c r="E69" s="73"/>
      <c r="F69" s="355"/>
      <c r="G69" s="3349"/>
      <c r="H69" s="310"/>
      <c r="I69" s="1290"/>
      <c r="J69" s="2035"/>
      <c r="K69" s="1292">
        <v>4</v>
      </c>
      <c r="L69" s="3363" t="s">
        <v>2887</v>
      </c>
      <c r="M69" s="3364"/>
      <c r="N69" s="1293">
        <f ca="1">C44</f>
        <v>28087</v>
      </c>
      <c r="O69" s="1293"/>
      <c r="P69" s="1293"/>
      <c r="Q69" s="2028"/>
      <c r="R69" s="2028"/>
      <c r="S69" s="2028"/>
      <c r="T69" s="2028"/>
      <c r="U69" s="2028"/>
      <c r="V69" s="2028"/>
    </row>
    <row r="70" spans="1:22" ht="24" customHeight="1">
      <c r="A70" s="358" t="s">
        <v>396</v>
      </c>
      <c r="B70" s="3292" t="s">
        <v>397</v>
      </c>
      <c r="C70" s="3292"/>
      <c r="D70" s="357">
        <f ca="1">ROUND(D63*'数据-取费表'!B41/(1+'数据-取费表'!C42),0)</f>
        <v>883</v>
      </c>
      <c r="E70" s="17" t="s">
        <v>398</v>
      </c>
      <c r="F70" s="359">
        <f>'数据-取费表'!B41</f>
        <v>5.5000000000000007E-2</v>
      </c>
      <c r="G70" s="360"/>
      <c r="H70" s="310"/>
      <c r="I70" s="1290"/>
      <c r="J70" s="2035"/>
      <c r="K70" s="3085"/>
      <c r="L70" s="3086"/>
      <c r="M70" s="3086"/>
      <c r="N70" s="3087" t="s">
        <v>2892</v>
      </c>
      <c r="O70" s="3086"/>
      <c r="P70" s="3088"/>
      <c r="Q70" s="2028"/>
      <c r="R70" s="2028"/>
      <c r="S70" s="2028"/>
      <c r="T70" s="2028"/>
      <c r="U70" s="2028"/>
      <c r="V70" s="2028"/>
    </row>
    <row r="71" spans="1:22" ht="12" customHeight="1">
      <c r="A71" s="358" t="s">
        <v>404</v>
      </c>
      <c r="B71" s="3293" t="s">
        <v>405</v>
      </c>
      <c r="C71" s="3294"/>
      <c r="D71" s="357">
        <f ca="1">ROUND(D63*'数据-取费表'!B41/(1+'数据-取费表'!C42),0)</f>
        <v>883</v>
      </c>
      <c r="E71" s="17" t="s">
        <v>398</v>
      </c>
      <c r="F71" s="359">
        <f>'数据-取费表'!B41</f>
        <v>5.5000000000000007E-2</v>
      </c>
      <c r="G71" s="360"/>
      <c r="H71" s="310"/>
      <c r="I71" s="1290"/>
      <c r="J71" s="2035"/>
      <c r="K71" s="3084" t="s">
        <v>399</v>
      </c>
      <c r="L71" s="3365" t="s">
        <v>400</v>
      </c>
      <c r="M71" s="3365"/>
      <c r="N71" s="3084" t="s">
        <v>401</v>
      </c>
      <c r="O71" s="3084" t="s">
        <v>402</v>
      </c>
      <c r="P71" s="3084" t="s">
        <v>403</v>
      </c>
      <c r="Q71" s="2028"/>
      <c r="R71" s="2028"/>
      <c r="S71" s="2028"/>
      <c r="T71" s="2028"/>
      <c r="U71" s="2028"/>
      <c r="V71" s="2028"/>
    </row>
    <row r="72" spans="1:22" ht="12" customHeight="1">
      <c r="A72" s="358" t="s">
        <v>407</v>
      </c>
      <c r="B72" s="3293" t="s">
        <v>408</v>
      </c>
      <c r="C72" s="3294"/>
      <c r="D72" s="357">
        <f ca="1">C86</f>
        <v>773</v>
      </c>
      <c r="E72" s="73" t="s">
        <v>409</v>
      </c>
      <c r="F72" s="359">
        <f>'数据-取费表'!B41</f>
        <v>5.5000000000000007E-2</v>
      </c>
      <c r="G72" s="360"/>
      <c r="H72" s="1296"/>
      <c r="I72" s="1290"/>
      <c r="J72" s="2035"/>
      <c r="K72" s="1976">
        <v>1</v>
      </c>
      <c r="L72" s="3340" t="s">
        <v>406</v>
      </c>
      <c r="M72" s="3340"/>
      <c r="N72" s="1294">
        <f ca="1">D66</f>
        <v>883</v>
      </c>
      <c r="O72" s="1859" t="str">
        <f>E66</f>
        <v>销售额×税（费）率</v>
      </c>
      <c r="P72" s="1295">
        <f>F66</f>
        <v>5.5000000000000007E-2</v>
      </c>
      <c r="Q72" s="2028"/>
      <c r="R72" s="2028"/>
      <c r="S72" s="2028"/>
      <c r="T72" s="2028"/>
      <c r="U72" s="2028"/>
      <c r="V72" s="2028"/>
    </row>
    <row r="73" spans="1:22" ht="24" customHeight="1">
      <c r="A73" s="3334" t="s">
        <v>411</v>
      </c>
      <c r="B73" s="3302"/>
      <c r="C73" s="3302"/>
      <c r="D73" s="361">
        <f>IF(H73="个人住宅",0,ROUND(D63*I73,0))</f>
        <v>0</v>
      </c>
      <c r="E73" s="17" t="s">
        <v>412</v>
      </c>
      <c r="F73" s="359" t="str">
        <f>IF(H73="正常",I73,"免征")</f>
        <v>免征</v>
      </c>
      <c r="G73" s="360"/>
      <c r="H73" s="190" t="s">
        <v>2459</v>
      </c>
      <c r="I73" s="359">
        <f>'数据-取费表'!B49</f>
        <v>5.0000000000000001E-4</v>
      </c>
      <c r="J73" s="2035"/>
      <c r="K73" s="1976">
        <v>2</v>
      </c>
      <c r="L73" s="3340" t="s">
        <v>410</v>
      </c>
      <c r="M73" s="3340"/>
      <c r="N73" s="1294">
        <f t="shared" ref="N73:P74" si="1">D73</f>
        <v>0</v>
      </c>
      <c r="O73" s="1859" t="str">
        <f t="shared" si="1"/>
        <v>销售额×税（费）率</v>
      </c>
      <c r="P73" s="1295" t="str">
        <f t="shared" si="1"/>
        <v>免征</v>
      </c>
      <c r="Q73" s="2028"/>
      <c r="R73" s="2028"/>
      <c r="S73" s="2028"/>
      <c r="T73" s="2028"/>
      <c r="U73" s="2028"/>
      <c r="V73" s="2028"/>
    </row>
    <row r="74" spans="1:22" ht="24.75">
      <c r="A74" s="3334" t="s">
        <v>415</v>
      </c>
      <c r="B74" s="3302"/>
      <c r="C74" s="3302"/>
      <c r="D74" s="361">
        <f ca="1">IF(H74="个人住宅",D75,D76)</f>
        <v>8899</v>
      </c>
      <c r="E74" s="17" t="s">
        <v>416</v>
      </c>
      <c r="F74" s="359" t="str">
        <f>IF(H74="正常",F76,"免征")</f>
        <v>——</v>
      </c>
      <c r="G74" s="981" t="s">
        <v>417</v>
      </c>
      <c r="H74" s="362" t="s">
        <v>413</v>
      </c>
      <c r="I74" s="42"/>
      <c r="J74" s="2035"/>
      <c r="K74" s="1976">
        <v>3</v>
      </c>
      <c r="L74" s="3340" t="s">
        <v>414</v>
      </c>
      <c r="M74" s="3340"/>
      <c r="N74" s="1294">
        <f t="shared" ca="1" si="1"/>
        <v>8899</v>
      </c>
      <c r="O74" s="1859" t="str">
        <f t="shared" si="1"/>
        <v>增值额×税（费）率</v>
      </c>
      <c r="P74" s="1297" t="str">
        <f t="shared" si="1"/>
        <v>——</v>
      </c>
      <c r="Q74" s="2028"/>
      <c r="R74" s="2028"/>
      <c r="S74" s="2028"/>
      <c r="T74" s="2028"/>
      <c r="U74" s="2028"/>
      <c r="V74" s="2028"/>
    </row>
    <row r="75" spans="1:22" ht="24">
      <c r="A75" s="358" t="s">
        <v>418</v>
      </c>
      <c r="B75" s="3290" t="s">
        <v>419</v>
      </c>
      <c r="C75" s="3320"/>
      <c r="D75" s="363">
        <v>0</v>
      </c>
      <c r="E75" s="41" t="s">
        <v>420</v>
      </c>
      <c r="F75" s="364"/>
      <c r="G75" s="360"/>
      <c r="H75" s="42"/>
      <c r="I75" s="42"/>
      <c r="J75" s="2035"/>
      <c r="K75" s="3077">
        <f>IF(H77="非个人房产","",4)</f>
        <v>4</v>
      </c>
      <c r="L75" s="3340" t="str">
        <f>IF(H77="非个人房产","——","个人所得税")</f>
        <v>个人所得税</v>
      </c>
      <c r="M75" s="3340"/>
      <c r="N75" s="1298">
        <f ca="1">D77</f>
        <v>169</v>
      </c>
      <c r="O75" s="1872" t="str">
        <f>E77</f>
        <v>销售额×税（费）率</v>
      </c>
      <c r="P75" s="1299">
        <f>F77</f>
        <v>0.01</v>
      </c>
      <c r="Q75" s="2028"/>
      <c r="R75" s="2028"/>
      <c r="S75" s="2028"/>
      <c r="T75" s="2028"/>
      <c r="U75" s="2028"/>
      <c r="V75" s="2028"/>
    </row>
    <row r="76" spans="1:22" ht="24.75">
      <c r="A76" s="358" t="s">
        <v>396</v>
      </c>
      <c r="B76" s="3290" t="s">
        <v>422</v>
      </c>
      <c r="C76" s="3291"/>
      <c r="D76" s="361">
        <f ca="1">IF(H76="转让取得",C99,C115)</f>
        <v>8899</v>
      </c>
      <c r="E76" s="17" t="s">
        <v>423</v>
      </c>
      <c r="F76" s="53" t="s">
        <v>21</v>
      </c>
      <c r="G76" s="360"/>
      <c r="H76" s="362" t="s">
        <v>424</v>
      </c>
      <c r="I76" s="42"/>
      <c r="J76" s="2035"/>
      <c r="K76" s="3077" t="str">
        <f>IF(项目基本情况!K6="上海银行",IF(K75="",4,K75+1),"")</f>
        <v/>
      </c>
      <c r="L76" s="3351" t="str">
        <f>IF(项目基本情况!K6="上海银行","其他处置费用","")</f>
        <v/>
      </c>
      <c r="M76" s="3352"/>
      <c r="N76" s="1294" t="str">
        <f>IF(项目基本情况!K6="上海银行",N89,"")</f>
        <v/>
      </c>
      <c r="O76" s="3353" t="str">
        <f>IF(项目基本情况!K6="上海银行","包含处置中涉及的律师、诉讼、拍卖、评估等费用","")</f>
        <v/>
      </c>
      <c r="P76" s="3354"/>
      <c r="Q76" s="2028"/>
      <c r="R76" s="2028"/>
      <c r="S76" s="2028"/>
      <c r="T76" s="2028"/>
      <c r="U76" s="2028"/>
      <c r="V76" s="2028"/>
    </row>
    <row r="77" spans="1:22" ht="26.25" thickBot="1">
      <c r="A77" s="3342" t="s">
        <v>426</v>
      </c>
      <c r="B77" s="3343"/>
      <c r="C77" s="3343"/>
      <c r="D77" s="365">
        <f ca="1">IF(H77="非个人房产","——",IF(H77="个人住宅",0,ROUND(D63*I77,0)))</f>
        <v>169</v>
      </c>
      <c r="E77" s="366" t="str">
        <f>IF(H77="非个人房产","——","销售额×税（费）率")</f>
        <v>销售额×税（费）率</v>
      </c>
      <c r="F77" s="367">
        <f>IF(H77="非个人房产","——",IF(H77="个人住宅","免征",I77))</f>
        <v>0.01</v>
      </c>
      <c r="G77" s="982" t="s">
        <v>417</v>
      </c>
      <c r="H77" s="362" t="s">
        <v>2888</v>
      </c>
      <c r="I77" s="368">
        <v>0.01</v>
      </c>
      <c r="J77" s="2035"/>
      <c r="K77" s="3341">
        <f>IF(AND(K75="",K76=""),4,IF(项目基本情况!K6="上海银行",K76+1,K75+1))</f>
        <v>5</v>
      </c>
      <c r="L77" s="3340" t="s">
        <v>2889</v>
      </c>
      <c r="M77" s="3083" t="s">
        <v>421</v>
      </c>
      <c r="N77" s="1300"/>
      <c r="O77" s="1301">
        <f ca="1">SUMIF(N72:N76,"&lt;9e307")</f>
        <v>9951</v>
      </c>
      <c r="P77" s="1302"/>
      <c r="Q77" s="3081">
        <f ca="1">O77/N69</f>
        <v>0.35429202121978137</v>
      </c>
      <c r="R77" s="2028"/>
      <c r="S77" s="2028"/>
      <c r="T77" s="2028"/>
      <c r="U77" s="2028"/>
      <c r="V77" s="2028"/>
    </row>
    <row r="78" spans="1:22" ht="12" customHeight="1">
      <c r="A78" s="1303"/>
      <c r="B78" s="310"/>
      <c r="C78" s="310"/>
      <c r="D78" s="310"/>
      <c r="E78" s="42"/>
      <c r="F78" s="42"/>
      <c r="G78" s="42"/>
      <c r="H78" s="1001"/>
      <c r="I78" s="310"/>
      <c r="J78" s="2035"/>
      <c r="K78" s="3341"/>
      <c r="L78" s="3340"/>
      <c r="M78" s="3083" t="s">
        <v>425</v>
      </c>
      <c r="N78" s="1300"/>
      <c r="O78" s="1301" t="str">
        <f ca="1">NUMBERSTRING(INT(O77*10000),2)&amp;"元整"</f>
        <v>玖仟玖佰伍拾壹万元整</v>
      </c>
      <c r="P78" s="1302"/>
      <c r="Q78" s="2028"/>
      <c r="R78" s="2028"/>
      <c r="S78" s="2028"/>
      <c r="T78" s="2028"/>
      <c r="U78" s="2028"/>
      <c r="V78" s="2028"/>
    </row>
    <row r="79" spans="1:22" ht="13.5" thickBot="1">
      <c r="A79" s="3335" t="s">
        <v>427</v>
      </c>
      <c r="B79" s="3335"/>
      <c r="C79" s="3335"/>
      <c r="D79" s="3335"/>
      <c r="E79" s="3335"/>
      <c r="F79" s="42"/>
      <c r="G79" s="42"/>
      <c r="H79" s="1001"/>
      <c r="I79" s="310"/>
      <c r="J79" s="2035"/>
      <c r="K79" s="3361">
        <f>K77+1</f>
        <v>6</v>
      </c>
      <c r="L79" s="3340" t="s">
        <v>2890</v>
      </c>
      <c r="M79" s="3083" t="s">
        <v>421</v>
      </c>
      <c r="N79" s="1300"/>
      <c r="O79" s="1301">
        <f ca="1">N69-O77</f>
        <v>18136</v>
      </c>
      <c r="P79" s="1302"/>
      <c r="Q79" s="2028"/>
      <c r="R79" s="2028"/>
      <c r="S79" s="2028"/>
      <c r="T79" s="2028"/>
      <c r="U79" s="2028"/>
      <c r="V79" s="2028"/>
    </row>
    <row r="80" spans="1:22" ht="25.5">
      <c r="A80" s="3330" t="s">
        <v>428</v>
      </c>
      <c r="B80" s="3331"/>
      <c r="C80" s="992"/>
      <c r="D80" s="992" t="s">
        <v>429</v>
      </c>
      <c r="E80" s="369" t="s">
        <v>430</v>
      </c>
      <c r="F80" s="42"/>
      <c r="G80" s="42"/>
      <c r="H80" s="1001"/>
      <c r="I80" s="310"/>
      <c r="J80" s="2028"/>
      <c r="K80" s="3362"/>
      <c r="L80" s="3340"/>
      <c r="M80" s="3083" t="s">
        <v>425</v>
      </c>
      <c r="N80" s="1300"/>
      <c r="O80" s="1301" t="str">
        <f ca="1">NUMBERSTRING(INT(O79*10000),2)&amp;"元整"</f>
        <v>壹亿捌仟壹佰叁拾陆万元整</v>
      </c>
      <c r="P80" s="1302"/>
      <c r="Q80" s="2028"/>
      <c r="R80" s="2028"/>
      <c r="S80" s="2028"/>
      <c r="T80" s="2028"/>
      <c r="U80" s="2028"/>
      <c r="V80" s="2028"/>
    </row>
    <row r="81" spans="1:26" ht="13.5" thickBot="1">
      <c r="A81" s="380" t="s">
        <v>1824</v>
      </c>
      <c r="B81" s="370" t="s">
        <v>431</v>
      </c>
      <c r="C81" s="371">
        <f ca="1">ROUND((C82+C83)/(1+'数据-取费表'!C42),0)</f>
        <v>16050</v>
      </c>
      <c r="D81" s="372"/>
      <c r="E81" s="373"/>
      <c r="F81" s="42"/>
      <c r="G81" s="42"/>
      <c r="H81" s="1001"/>
      <c r="I81" s="310"/>
      <c r="J81" s="2028"/>
      <c r="K81" s="3077">
        <f>K79+1</f>
        <v>7</v>
      </c>
      <c r="L81" s="3338" t="s">
        <v>2891</v>
      </c>
      <c r="M81" s="3339"/>
      <c r="N81" s="1304"/>
      <c r="O81" s="1305">
        <f ca="1">ROUND(O79*10000/'数据-汇总表'!E3,0)</f>
        <v>3399</v>
      </c>
      <c r="P81" s="1306"/>
      <c r="Q81" s="2028"/>
      <c r="R81" s="2028"/>
      <c r="S81" s="2028"/>
      <c r="T81" s="2028"/>
      <c r="U81" s="2028"/>
      <c r="V81" s="2028"/>
    </row>
    <row r="82" spans="1:26" ht="13.5" thickTop="1">
      <c r="A82" s="374" t="s">
        <v>1825</v>
      </c>
      <c r="B82" s="375" t="s">
        <v>432</v>
      </c>
      <c r="C82" s="376">
        <f ca="1">D63</f>
        <v>16852</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1826</v>
      </c>
      <c r="B83" s="375" t="s">
        <v>433</v>
      </c>
      <c r="C83" s="379">
        <v>0</v>
      </c>
      <c r="D83" s="377"/>
      <c r="E83" s="378"/>
      <c r="F83" s="42"/>
      <c r="G83" s="42"/>
      <c r="H83" s="1001"/>
      <c r="I83" s="310"/>
      <c r="J83" s="2028"/>
      <c r="K83" s="3350" t="s">
        <v>2878</v>
      </c>
      <c r="L83" s="3089" t="s">
        <v>2879</v>
      </c>
      <c r="M83" s="3079">
        <f ca="1">IF(N69&gt;10000,N69*0.5%,IF(AND(N69&gt;1000,N69&lt;=10000),N69*1%,IF(AND(N69&gt;100,N69&lt;=1000),N69*3%,IF(AND(N69&gt;10,N69&lt;=100),N69*5%,N69*8%))))</f>
        <v>140.435</v>
      </c>
      <c r="N83" s="53">
        <f ca="1">ROUND(M83,1)</f>
        <v>140.4</v>
      </c>
      <c r="O83" s="3082"/>
      <c r="P83" s="2028"/>
      <c r="Q83" s="2028"/>
      <c r="R83" s="2028"/>
      <c r="S83" s="2028"/>
      <c r="T83" s="2028"/>
      <c r="U83" s="2028"/>
      <c r="V83" s="2028"/>
    </row>
    <row r="84" spans="1:26" ht="12.75">
      <c r="A84" s="380" t="s">
        <v>1827</v>
      </c>
      <c r="B84" s="381" t="s">
        <v>434</v>
      </c>
      <c r="C84" s="382">
        <v>2000</v>
      </c>
      <c r="D84" s="383" t="s">
        <v>19</v>
      </c>
      <c r="E84" s="3122" t="s">
        <v>2943</v>
      </c>
      <c r="F84" s="42"/>
      <c r="G84" s="42"/>
      <c r="H84" s="1001"/>
      <c r="I84" s="310"/>
      <c r="J84" s="2028"/>
      <c r="K84" s="3350"/>
      <c r="L84" s="3089" t="s">
        <v>2880</v>
      </c>
      <c r="M84" s="3079">
        <f ca="1">IF(N69&gt;2000,N69*0.5%,IF(AND(N69&gt;1000,N69&lt;=2000),N69*0.6%,IF(AND(N69&gt;500,N69&lt;=1000),N69*0.7%,IF(AND(N69&gt;200,N69&lt;=500),N69*0.8%,IF(AND(N69&gt;100,N69&lt;=200),N69*0.9%,IF(AND(N69&gt;50,N69&lt;=100),N69*1%,IF(AND(N69&gt;20,N69&lt;=50),N69*1.5%,IF(AND(N69&gt;10,N69&lt;=20),N69*2%,IF(AND(N69&gt;1,N69&lt;=10),N69*2.5%)))))))))</f>
        <v>140.435</v>
      </c>
      <c r="N84" s="53">
        <f t="shared" ref="N84:N85" ca="1" si="2">ROUND(M84,1)</f>
        <v>140.4</v>
      </c>
      <c r="O84" s="2028" t="s">
        <v>2881</v>
      </c>
      <c r="P84" s="2028"/>
      <c r="Q84" s="2028"/>
      <c r="R84" s="2028"/>
      <c r="S84" s="2028"/>
      <c r="T84" s="2028"/>
      <c r="U84" s="2028"/>
      <c r="V84" s="2028"/>
    </row>
    <row r="85" spans="1:26" ht="12.75">
      <c r="A85" s="380" t="s">
        <v>1828</v>
      </c>
      <c r="B85" s="381" t="s">
        <v>435</v>
      </c>
      <c r="C85" s="384">
        <f ca="1">C81-C84</f>
        <v>14050</v>
      </c>
      <c r="D85" s="377" t="s">
        <v>19</v>
      </c>
      <c r="E85" s="378"/>
      <c r="F85" s="42"/>
      <c r="G85" s="42"/>
      <c r="H85" s="1001"/>
      <c r="I85" s="310"/>
      <c r="J85" s="2028"/>
      <c r="K85" s="3350"/>
      <c r="L85" s="3089" t="s">
        <v>2882</v>
      </c>
      <c r="M85" s="3079">
        <f ca="1">IF(N69&gt;1000,N69*0.1%,IF(AND(N69&gt;500,N69&lt;=1000),N69*0.5%,IF(AND(N69&gt;50,N69&lt;=500),N69*1%,IF(AND(N69&gt;1,N69&lt;=50),N69*1.5%))))</f>
        <v>28.087</v>
      </c>
      <c r="N85" s="53">
        <f t="shared" ca="1" si="2"/>
        <v>28.1</v>
      </c>
      <c r="O85" s="2028" t="s">
        <v>2881</v>
      </c>
      <c r="P85" s="2028"/>
      <c r="Q85" s="2028"/>
      <c r="R85" s="2028"/>
      <c r="S85" s="2028"/>
      <c r="T85" s="2028"/>
      <c r="U85" s="2028"/>
      <c r="V85" s="2028"/>
    </row>
    <row r="86" spans="1:26" ht="13.5" thickBot="1">
      <c r="A86" s="385" t="s">
        <v>1829</v>
      </c>
      <c r="B86" s="386" t="s">
        <v>436</v>
      </c>
      <c r="C86" s="387">
        <f ca="1">IF(C85&lt;=0,0,ROUND(C85*D86,0))</f>
        <v>773</v>
      </c>
      <c r="D86" s="388">
        <f>'数据-取费表'!B41</f>
        <v>5.5000000000000007E-2</v>
      </c>
      <c r="E86" s="389"/>
      <c r="F86" s="42"/>
      <c r="G86" s="42"/>
      <c r="H86" s="1001"/>
      <c r="I86" s="310"/>
      <c r="J86" s="2028"/>
      <c r="K86" s="3350"/>
      <c r="L86" s="3089" t="s">
        <v>2883</v>
      </c>
      <c r="M86" s="3079">
        <f ca="1">N69*0.5%</f>
        <v>140.435</v>
      </c>
      <c r="N86" s="53">
        <f ca="1">IF(M86&gt;0.5,0.5,ROUND(M86,0))</f>
        <v>0.5</v>
      </c>
      <c r="O86" s="2028" t="s">
        <v>2884</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350"/>
      <c r="L87" s="3089" t="s">
        <v>2885</v>
      </c>
      <c r="M87" s="3079">
        <f ca="1">IF(N69&gt;=10000,(8.25+(N69-10000)*0.01%),IF(AND(N69&gt;=8000,N69&lt;10000),(7.85+(N69-8000)*0.02%),IF(AND(N69&gt;=5000,N69&lt;8000),(6.65+(N69-5000)*0.04%),IF(AND(N69&gt;=2000,N69&lt;5000),(4.25+(PN69-2000)*0.08%),IF(AND(N69&gt;=1000,N69&lt;2000),(2.75+(N69-1000)*0.15%),IF(AND(N69&gt;=100,N69&lt;1000),(0.5+(N69-100)*0.25%),IF(AND(N69&gt;0,N69&lt;100),N69*0.5%)))))))</f>
        <v>10.0587</v>
      </c>
      <c r="N87" s="53">
        <f ca="1">ROUND(M87*0.9,1)</f>
        <v>9.1</v>
      </c>
      <c r="O87" s="3082"/>
      <c r="P87" s="310"/>
      <c r="Q87" s="2028"/>
      <c r="R87" s="2028"/>
      <c r="S87" s="2028"/>
      <c r="T87" s="2028"/>
      <c r="U87" s="2028"/>
      <c r="V87" s="2028"/>
      <c r="W87" s="291"/>
      <c r="X87" s="291"/>
      <c r="Y87" s="291"/>
      <c r="Z87" s="291"/>
    </row>
    <row r="88" spans="1:26" s="1312" customFormat="1" ht="15" thickBot="1">
      <c r="A88" s="3332" t="s">
        <v>437</v>
      </c>
      <c r="B88" s="3333"/>
      <c r="C88" s="3333"/>
      <c r="D88" s="3333"/>
      <c r="E88" s="3333"/>
      <c r="F88" s="3333"/>
      <c r="G88" s="3333"/>
      <c r="H88" s="3333"/>
      <c r="I88" s="1313"/>
      <c r="J88" s="2036"/>
      <c r="K88" s="3350"/>
      <c r="L88" s="3089" t="s">
        <v>2886</v>
      </c>
      <c r="M88" s="3079">
        <f ca="1">IF(N69&gt;10000,N69*0.5%,IF(AND(N69&gt;5000,N69&lt;=10000),N69*1%,IF(AND(N69&gt;1000,N69&lt;=5000),N69*2%,IF(AND(N69&gt;200,N69&lt;=1000),N69*3%,N69*5%))))</f>
        <v>140.435</v>
      </c>
      <c r="N88" s="53">
        <f ca="1">ROUND(M88,1)</f>
        <v>140.4</v>
      </c>
      <c r="O88" s="3082"/>
      <c r="P88" s="11"/>
      <c r="Q88" s="2033"/>
      <c r="R88" s="2033"/>
      <c r="S88" s="2033"/>
      <c r="T88" s="2033"/>
      <c r="U88" s="2033"/>
      <c r="V88" s="2033"/>
      <c r="W88" s="2037"/>
      <c r="X88" s="2037"/>
      <c r="Y88" s="2037"/>
      <c r="Z88" s="2037"/>
    </row>
    <row r="89" spans="1:26" s="1312" customFormat="1" ht="14.25">
      <c r="A89" s="3330" t="s">
        <v>428</v>
      </c>
      <c r="B89" s="3331"/>
      <c r="C89" s="992"/>
      <c r="D89" s="992" t="s">
        <v>429</v>
      </c>
      <c r="E89" s="390" t="s">
        <v>438</v>
      </c>
      <c r="F89" s="391"/>
      <c r="G89" s="391"/>
      <c r="H89" s="392"/>
      <c r="I89" s="1314"/>
      <c r="J89" s="2038"/>
      <c r="K89" s="3350"/>
      <c r="L89" s="3089" t="s">
        <v>27</v>
      </c>
      <c r="M89" s="3080"/>
      <c r="N89" s="53">
        <f ca="1">ROUND(SUM(N83:N88),0)</f>
        <v>459</v>
      </c>
      <c r="O89" s="3090">
        <f ca="1">N89/N69</f>
        <v>1.6342079965820485E-2</v>
      </c>
      <c r="P89" s="2033"/>
      <c r="Q89" s="2033"/>
      <c r="R89" s="2033"/>
      <c r="S89" s="2033"/>
      <c r="T89" s="2033"/>
      <c r="U89" s="2033"/>
      <c r="V89" s="2033"/>
      <c r="W89" s="2037"/>
      <c r="X89" s="2037"/>
      <c r="Y89" s="2037"/>
      <c r="Z89" s="2037"/>
    </row>
    <row r="90" spans="1:26" s="1312" customFormat="1" ht="14.25">
      <c r="A90" s="380" t="s">
        <v>1824</v>
      </c>
      <c r="B90" s="381" t="s">
        <v>439</v>
      </c>
      <c r="C90" s="384">
        <f ca="1">ROUND(D63/(1+'数据-取费表'!C42),0)</f>
        <v>16050</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1830</v>
      </c>
      <c r="B91" s="347" t="s">
        <v>440</v>
      </c>
      <c r="C91" s="384">
        <f ca="1">C92+C96</f>
        <v>2641</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1831</v>
      </c>
      <c r="B92" s="375" t="s">
        <v>441</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1832</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1833</v>
      </c>
      <c r="B94" s="399" t="s">
        <v>446</v>
      </c>
      <c r="C94" s="377">
        <f>IF(F93="购房发票",ROUND(C93*H93*5%,0),0)</f>
        <v>500</v>
      </c>
      <c r="D94" s="400">
        <v>0.05</v>
      </c>
      <c r="E94" s="3293" t="s">
        <v>447</v>
      </c>
      <c r="F94" s="3292"/>
      <c r="G94" s="3292"/>
      <c r="H94" s="3329"/>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1835</v>
      </c>
      <c r="B96" s="375" t="s">
        <v>450</v>
      </c>
      <c r="C96" s="404">
        <f ca="1">ROUND(D63*D96/(1+'数据-取费表'!C42),0)</f>
        <v>80</v>
      </c>
      <c r="D96" s="405">
        <f>'数据-取费表'!B43</f>
        <v>5.000000000000001E-3</v>
      </c>
      <c r="E96" s="3321" t="s">
        <v>2432</v>
      </c>
      <c r="F96" s="3322"/>
      <c r="G96" s="3322"/>
      <c r="H96" s="3323"/>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1" t="s">
        <v>451</v>
      </c>
      <c r="C97" s="384">
        <f ca="1">C90-C91</f>
        <v>13409</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1" t="s">
        <v>452</v>
      </c>
      <c r="C98" s="406">
        <f ca="1">IF(C97&lt;=0,0,C97/C91)</f>
        <v>5.0772434683831884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6" t="s">
        <v>453</v>
      </c>
      <c r="C99" s="407">
        <f ca="1">ROUND(IF(C97&lt;=0,0,IF(C98&gt;=200%,C97*60%-C91*35%,IF(C98&gt;=100%,C97*50%-C91*15%,IF(C98&gt;=50%,C97*40%-C91*5%,IF(C98&lt;50%,C97*30%,0))))),0)</f>
        <v>7121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32" t="s">
        <v>454</v>
      </c>
      <c r="B101" s="3333"/>
      <c r="C101" s="3333"/>
      <c r="D101" s="3333"/>
      <c r="E101" s="3333"/>
      <c r="F101" s="3333"/>
      <c r="G101" s="3333"/>
      <c r="H101" s="3333"/>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30" t="s">
        <v>428</v>
      </c>
      <c r="B102" s="3331"/>
      <c r="C102" s="992"/>
      <c r="D102" s="992"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1824</v>
      </c>
      <c r="B103" s="381" t="s">
        <v>439</v>
      </c>
      <c r="C103" s="384">
        <f ca="1">ROUND(D63/(1+'数据-取费表'!C42),0)</f>
        <v>16050</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1830</v>
      </c>
      <c r="B104" s="347" t="s">
        <v>440</v>
      </c>
      <c r="C104" s="384">
        <f ca="1">IF(H106="仅含出让金",C105+C108+C109+C110+C111+C112,C105+C109+C110+C111+C112)</f>
        <v>770</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1831</v>
      </c>
      <c r="B105" s="375" t="s">
        <v>455</v>
      </c>
      <c r="C105" s="404">
        <f>C106+C107</f>
        <v>572</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1832</v>
      </c>
      <c r="B106" s="375" t="s">
        <v>456</v>
      </c>
      <c r="C106" s="415">
        <v>555</v>
      </c>
      <c r="D106" s="405"/>
      <c r="E106" s="416" t="s">
        <v>457</v>
      </c>
      <c r="F106" s="984"/>
      <c r="G106" s="417" t="s">
        <v>458</v>
      </c>
      <c r="H106" s="418"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1833</v>
      </c>
      <c r="B107" s="375" t="s">
        <v>448</v>
      </c>
      <c r="C107" s="404">
        <f>ROUND(C106*D107,0)</f>
        <v>17</v>
      </c>
      <c r="D107" s="405">
        <f>'数据-取费表'!B48+'数据-取费表'!B49</f>
        <v>3.0499999999999999E-2</v>
      </c>
      <c r="E107" s="416"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1835</v>
      </c>
      <c r="B108" s="375" t="s">
        <v>460</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5" t="s">
        <v>461</v>
      </c>
      <c r="C109" s="404">
        <f>IF(H109="——",IF(F1="现房",'剩余法-现房'!C18,'剩余法-待开发'!C18),I109)</f>
        <v>55</v>
      </c>
      <c r="D109" s="405"/>
      <c r="E109" s="3324" t="s">
        <v>462</v>
      </c>
      <c r="F109" s="3322"/>
      <c r="G109" s="3322"/>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5" t="s">
        <v>463</v>
      </c>
      <c r="C110" s="404">
        <f>ROUND((C105+C108+C109)*D110,0)</f>
        <v>63</v>
      </c>
      <c r="D110" s="405">
        <v>0.1</v>
      </c>
      <c r="E110" s="3324" t="s">
        <v>464</v>
      </c>
      <c r="F110" s="3322"/>
      <c r="G110" s="3322"/>
      <c r="H110" s="3323"/>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5" t="s">
        <v>450</v>
      </c>
      <c r="C111" s="404">
        <f ca="1">ROUND(D63*D111/(1+'数据-取费表'!C42),0)</f>
        <v>80</v>
      </c>
      <c r="D111" s="405">
        <f>'数据-取费表'!B43</f>
        <v>5.000000000000001E-3</v>
      </c>
      <c r="E111" s="3321" t="s">
        <v>2432</v>
      </c>
      <c r="F111" s="3322"/>
      <c r="G111" s="3322"/>
      <c r="H111" s="3323"/>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5" t="s">
        <v>465</v>
      </c>
      <c r="C112" s="404">
        <f>ROUND(C108*D112,0)</f>
        <v>0</v>
      </c>
      <c r="D112" s="405">
        <v>0.2</v>
      </c>
      <c r="E112" s="3324" t="s">
        <v>2457</v>
      </c>
      <c r="F112" s="3322"/>
      <c r="G112" s="3322"/>
      <c r="H112" s="3323"/>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1" t="s">
        <v>451</v>
      </c>
      <c r="C113" s="384">
        <f ca="1">ROUND(C103-C104,0)</f>
        <v>15280</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1" t="s">
        <v>452</v>
      </c>
      <c r="C114" s="406">
        <f ca="1">IF(C113&lt;=0,0,C113/C104)</f>
        <v>19.844155844155843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6" t="s">
        <v>453</v>
      </c>
      <c r="C115" s="407">
        <f ca="1">ROUND(IF(C113&lt;=0,0,IF(C114&gt;=200%,C113*60%-C104*35%,IF(C114&gt;=100%,C113*50%-C104*15%,IF(C114&gt;=50%,C113*40%-C104*5%,IF(C114&lt;50%,C113*30%,0))))),0)</f>
        <v>8899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K18" sqref="K1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25648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9">
        <f>ROUND(B2*10000/'数据-汇总表'!E3,0)</f>
        <v>4807</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9930</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662</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375" t="s">
        <v>522</v>
      </c>
      <c r="D6" s="3376"/>
      <c r="E6" s="3375" t="s">
        <v>523</v>
      </c>
      <c r="F6" s="3376"/>
      <c r="G6" s="3375" t="s">
        <v>524</v>
      </c>
      <c r="H6" s="3376"/>
      <c r="I6" s="3375" t="s">
        <v>525</v>
      </c>
      <c r="J6" s="3376"/>
      <c r="K6" s="513" t="s">
        <v>526</v>
      </c>
      <c r="L6" s="2133"/>
      <c r="M6" s="2132"/>
      <c r="N6" s="2132"/>
      <c r="O6" s="2134"/>
      <c r="P6" s="3377" t="s">
        <v>527</v>
      </c>
      <c r="Q6" s="3378"/>
      <c r="R6" s="3383" t="s">
        <v>523</v>
      </c>
      <c r="S6" s="3384"/>
      <c r="T6" s="3383" t="s">
        <v>524</v>
      </c>
      <c r="U6" s="3384"/>
      <c r="V6" s="3370" t="s">
        <v>525</v>
      </c>
      <c r="W6" s="3370"/>
      <c r="X6" s="1566"/>
      <c r="Y6" s="3383" t="s">
        <v>527</v>
      </c>
      <c r="Z6" s="3384"/>
      <c r="AA6" s="3372" t="s">
        <v>523</v>
      </c>
      <c r="AB6" s="3373" t="s">
        <v>524</v>
      </c>
      <c r="AC6" s="3372" t="s">
        <v>525</v>
      </c>
    </row>
    <row r="7" spans="1:30" ht="20.25">
      <c r="A7" s="514"/>
      <c r="B7" s="515"/>
      <c r="C7" s="3391" t="s">
        <v>2930</v>
      </c>
      <c r="D7" s="3392"/>
      <c r="E7" s="3391" t="str">
        <f>土地案例!A19</f>
        <v>宜兴市宜城街道新长铁路西侧C-1</v>
      </c>
      <c r="F7" s="3392"/>
      <c r="G7" s="3391" t="str">
        <f>土地案例!A14</f>
        <v>宜兴市新庄街道王婆河东侧C-2</v>
      </c>
      <c r="H7" s="3392"/>
      <c r="I7" s="3391" t="str">
        <f>土地案例!A17</f>
        <v>宜兴市新庄街道王婆河东侧C-1</v>
      </c>
      <c r="J7" s="3392"/>
      <c r="K7" s="513"/>
      <c r="L7" s="2133"/>
      <c r="M7" s="2132"/>
      <c r="N7" s="2132"/>
      <c r="O7" s="2134"/>
      <c r="P7" s="3379"/>
      <c r="Q7" s="3380"/>
      <c r="R7" s="3385"/>
      <c r="S7" s="3386"/>
      <c r="T7" s="3385"/>
      <c r="U7" s="3386"/>
      <c r="V7" s="3370"/>
      <c r="W7" s="3370"/>
      <c r="X7" s="1566"/>
      <c r="Y7" s="3385"/>
      <c r="Z7" s="3386"/>
      <c r="AA7" s="3373"/>
      <c r="AB7" s="3373"/>
      <c r="AC7" s="3373"/>
    </row>
    <row r="8" spans="1:30" ht="21" thickBot="1">
      <c r="A8" s="514"/>
      <c r="B8" s="515"/>
      <c r="C8" s="3393" t="s">
        <v>2934</v>
      </c>
      <c r="D8" s="3394"/>
      <c r="E8" s="3393" t="s">
        <v>2934</v>
      </c>
      <c r="F8" s="3394"/>
      <c r="G8" s="3389" t="s">
        <v>2934</v>
      </c>
      <c r="H8" s="3390"/>
      <c r="I8" s="3389" t="s">
        <v>2934</v>
      </c>
      <c r="J8" s="3390"/>
      <c r="K8" s="513" t="s">
        <v>528</v>
      </c>
      <c r="L8" s="2133"/>
      <c r="M8" s="2132"/>
      <c r="N8" s="2132"/>
      <c r="O8" s="2134"/>
      <c r="P8" s="3381"/>
      <c r="Q8" s="3382"/>
      <c r="R8" s="3385"/>
      <c r="S8" s="3386"/>
      <c r="T8" s="3387"/>
      <c r="U8" s="3388"/>
      <c r="V8" s="3370"/>
      <c r="W8" s="3370"/>
      <c r="X8" s="1566"/>
      <c r="Y8" s="3387"/>
      <c r="Z8" s="3388"/>
      <c r="AA8" s="3374"/>
      <c r="AB8" s="3374"/>
      <c r="AC8" s="3374"/>
    </row>
    <row r="9" spans="1:30" s="1218" customFormat="1" ht="21" thickBot="1">
      <c r="A9" s="2935"/>
      <c r="B9" s="2942" t="s">
        <v>529</v>
      </c>
      <c r="C9" s="2934">
        <f>'数据-取费表'!B2</f>
        <v>43249</v>
      </c>
      <c r="D9" s="519">
        <v>100</v>
      </c>
      <c r="E9" s="520" t="str">
        <f>土地案例!H19</f>
        <v>2017-10-20</v>
      </c>
      <c r="F9" s="521">
        <f>SUMIF(72:72,YEAR(E9)&amp;"-"&amp;INT((MONTH(E9)+2)/3),73:73)</f>
        <v>98</v>
      </c>
      <c r="G9" s="522" t="str">
        <f>土地案例!H14</f>
        <v>2017-11-22</v>
      </c>
      <c r="H9" s="519">
        <f>SUMIF(72:72,YEAR(G9)&amp;"-"&amp;INT((MONTH(G9)+2)/3),73:73)</f>
        <v>98</v>
      </c>
      <c r="I9" s="522" t="str">
        <f>土地案例!H17</f>
        <v>2017-11-22</v>
      </c>
      <c r="J9" s="519">
        <f>SUMIF(72:72,YEAR(I9)&amp;"-"&amp;INT((MONTH(I9)+2)/3),73:73)</f>
        <v>98</v>
      </c>
      <c r="K9" s="523"/>
      <c r="L9" s="2135"/>
      <c r="M9" s="2132"/>
      <c r="N9" s="2132"/>
      <c r="O9" s="2136"/>
      <c r="P9" s="3400" t="s">
        <v>530</v>
      </c>
      <c r="Q9" s="3402"/>
      <c r="R9" s="1567" t="s">
        <v>8</v>
      </c>
      <c r="S9" s="1568">
        <f t="shared" ref="S9:S17" si="0">F9</f>
        <v>98</v>
      </c>
      <c r="T9" s="1567" t="s">
        <v>8</v>
      </c>
      <c r="U9" s="1568">
        <f t="shared" ref="U9:U17" si="1">H9</f>
        <v>98</v>
      </c>
      <c r="V9" s="1567" t="s">
        <v>8</v>
      </c>
      <c r="W9" s="1568">
        <f t="shared" ref="W9:W17" si="2">J9</f>
        <v>98</v>
      </c>
      <c r="X9" s="1569"/>
      <c r="Y9" s="3400" t="s">
        <v>530</v>
      </c>
      <c r="Z9" s="3401"/>
      <c r="AA9" s="1570">
        <f>D9/F9</f>
        <v>1.0204081632653061</v>
      </c>
      <c r="AB9" s="1570">
        <f>D9/H9</f>
        <v>1.0204081632653061</v>
      </c>
      <c r="AC9" s="1570">
        <f>D9/J9</f>
        <v>1.0204081632653061</v>
      </c>
    </row>
    <row r="10" spans="1:30" s="1218" customFormat="1" ht="21" thickBot="1">
      <c r="A10" s="2936"/>
      <c r="B10" s="2943" t="s">
        <v>531</v>
      </c>
      <c r="C10" s="855" t="s">
        <v>532</v>
      </c>
      <c r="D10" s="519">
        <v>100</v>
      </c>
      <c r="E10" s="524" t="s">
        <v>3144</v>
      </c>
      <c r="F10" s="521">
        <f>SUMIF(75:75,E10,76:76)-SUMIF(75:75,C10,76:76)+100</f>
        <v>100</v>
      </c>
      <c r="G10" s="524" t="s">
        <v>3144</v>
      </c>
      <c r="H10" s="519">
        <f>SUMIF(75:75,G10,76:76)-SUMIF(75:75,C10,76:76)+100</f>
        <v>100</v>
      </c>
      <c r="I10" s="524" t="s">
        <v>3144</v>
      </c>
      <c r="J10" s="519">
        <f>SUMIF(75:75,I10,76:76)-SUMIF(75:75,C10,76:76)+100</f>
        <v>100</v>
      </c>
      <c r="K10" s="523"/>
      <c r="L10" s="2135"/>
      <c r="M10" s="2132"/>
      <c r="N10" s="2132"/>
      <c r="O10" s="2136"/>
      <c r="P10" s="3400" t="s">
        <v>533</v>
      </c>
      <c r="Q10" s="3401"/>
      <c r="R10" s="1567" t="s">
        <v>8</v>
      </c>
      <c r="S10" s="1568">
        <f t="shared" si="0"/>
        <v>100</v>
      </c>
      <c r="T10" s="1567" t="s">
        <v>8</v>
      </c>
      <c r="U10" s="1568">
        <f t="shared" si="1"/>
        <v>100</v>
      </c>
      <c r="V10" s="1567" t="s">
        <v>8</v>
      </c>
      <c r="W10" s="1568">
        <f t="shared" si="2"/>
        <v>100</v>
      </c>
      <c r="X10" s="1569"/>
      <c r="Y10" s="3400" t="s">
        <v>533</v>
      </c>
      <c r="Z10" s="3401"/>
      <c r="AA10" s="1570">
        <f t="shared" ref="AA10:AA47" si="3">D10/F10</f>
        <v>1</v>
      </c>
      <c r="AB10" s="1570">
        <f t="shared" ref="AB10:AB47" si="4">D10/H10</f>
        <v>1</v>
      </c>
      <c r="AC10" s="1570">
        <f t="shared" ref="AC10:AC47" si="5">D10/J10</f>
        <v>1</v>
      </c>
    </row>
    <row r="11" spans="1:30" s="1218" customFormat="1" ht="20.25">
      <c r="A11" s="2937"/>
      <c r="B11" s="2944" t="s">
        <v>2760</v>
      </c>
      <c r="C11" s="3185" t="s">
        <v>3145</v>
      </c>
      <c r="D11" s="253">
        <v>100</v>
      </c>
      <c r="E11" s="3186" t="s">
        <v>3146</v>
      </c>
      <c r="F11" s="253">
        <f>SUMIF(77:77,E11,78:78)-SUMIF(77:77,C11,78:78)+100</f>
        <v>100</v>
      </c>
      <c r="G11" s="3186" t="s">
        <v>3146</v>
      </c>
      <c r="H11" s="253">
        <f>SUMIF(77:77,G11,78:78)-SUMIF(77:77,C11,78:78)+100</f>
        <v>100</v>
      </c>
      <c r="I11" s="3186" t="s">
        <v>3146</v>
      </c>
      <c r="J11" s="253">
        <f>SUMIF(77:77,I11,78:78)-SUMIF(77:77,C11,78:78)+100</f>
        <v>100</v>
      </c>
      <c r="K11" s="523"/>
      <c r="L11" s="2135"/>
      <c r="M11" s="2132"/>
      <c r="N11" s="2132"/>
      <c r="O11" s="2137"/>
      <c r="P11" s="3369" t="s">
        <v>535</v>
      </c>
      <c r="Q11" s="1149" t="str">
        <f t="shared" ref="Q11:Q17" si="6">B11</f>
        <v>用途</v>
      </c>
      <c r="R11" s="1567" t="s">
        <v>8</v>
      </c>
      <c r="S11" s="1568">
        <f t="shared" si="0"/>
        <v>100</v>
      </c>
      <c r="T11" s="1567" t="s">
        <v>8</v>
      </c>
      <c r="U11" s="1568">
        <f t="shared" si="1"/>
        <v>100</v>
      </c>
      <c r="V11" s="1567" t="s">
        <v>8</v>
      </c>
      <c r="W11" s="1568">
        <f t="shared" si="2"/>
        <v>100</v>
      </c>
      <c r="X11" s="1569"/>
      <c r="Y11" s="3315" t="s">
        <v>536</v>
      </c>
      <c r="Z11" s="1148" t="str">
        <f t="shared" ref="Z11:Z17" si="7">Q11</f>
        <v>用途</v>
      </c>
      <c r="AA11" s="1570">
        <f t="shared" si="3"/>
        <v>1</v>
      </c>
      <c r="AB11" s="1570">
        <f t="shared" si="4"/>
        <v>1</v>
      </c>
      <c r="AC11" s="1570">
        <f t="shared" si="5"/>
        <v>1</v>
      </c>
    </row>
    <row r="12" spans="1:30" s="1336" customFormat="1" ht="27">
      <c r="A12" s="2938"/>
      <c r="B12" s="2943" t="s">
        <v>2761</v>
      </c>
      <c r="C12" s="908" t="s">
        <v>3234</v>
      </c>
      <c r="D12" s="254">
        <v>100</v>
      </c>
      <c r="E12" s="528" t="s">
        <v>3232</v>
      </c>
      <c r="F12" s="254">
        <f>ROUND(100/'数据-取费表'!G16,0)</f>
        <v>100</v>
      </c>
      <c r="G12" s="3198" t="s">
        <v>3233</v>
      </c>
      <c r="H12" s="254">
        <f>ROUND(100/'数据-取费表'!G16,0)</f>
        <v>100</v>
      </c>
      <c r="I12" s="3198" t="s">
        <v>3233</v>
      </c>
      <c r="J12" s="254">
        <f>ROUND(100/'数据-取费表'!G16,0)</f>
        <v>100</v>
      </c>
      <c r="K12" s="530"/>
      <c r="L12" s="2138"/>
      <c r="M12" s="2132"/>
      <c r="N12" s="2132"/>
      <c r="O12" s="2139"/>
      <c r="P12" s="3369"/>
      <c r="Q12" s="1149" t="str">
        <f t="shared" si="6"/>
        <v>土地使用年限（年）</v>
      </c>
      <c r="R12" s="1567" t="s">
        <v>8</v>
      </c>
      <c r="S12" s="1568">
        <f t="shared" si="0"/>
        <v>100</v>
      </c>
      <c r="T12" s="1567" t="s">
        <v>8</v>
      </c>
      <c r="U12" s="1568">
        <f t="shared" si="1"/>
        <v>100</v>
      </c>
      <c r="V12" s="1567" t="s">
        <v>8</v>
      </c>
      <c r="W12" s="1568">
        <f t="shared" si="2"/>
        <v>100</v>
      </c>
      <c r="X12" s="1569"/>
      <c r="Y12" s="3315"/>
      <c r="Z12" s="1148" t="str">
        <f t="shared" si="7"/>
        <v>土地使用年限（年）</v>
      </c>
      <c r="AA12" s="1570">
        <f t="shared" si="3"/>
        <v>1</v>
      </c>
      <c r="AB12" s="1570">
        <f t="shared" si="4"/>
        <v>1</v>
      </c>
      <c r="AC12" s="1570">
        <f t="shared" si="5"/>
        <v>1</v>
      </c>
    </row>
    <row r="13" spans="1:30" ht="20.25">
      <c r="A13" s="2939"/>
      <c r="B13" s="2943" t="s">
        <v>2762</v>
      </c>
      <c r="C13" s="533">
        <v>1.6</v>
      </c>
      <c r="D13" s="254">
        <v>100</v>
      </c>
      <c r="E13" s="532">
        <v>1.8</v>
      </c>
      <c r="F13" s="254">
        <f>LOOKUP(E13,82:82,83:83)-LOOKUP(C13,82:82,83:83)+100</f>
        <v>100</v>
      </c>
      <c r="G13" s="533">
        <v>3</v>
      </c>
      <c r="H13" s="254">
        <f>LOOKUP(G13,82:82,83:83)-LOOKUP(C13,82:82,83:83)+100</f>
        <v>104</v>
      </c>
      <c r="I13" s="532">
        <v>3</v>
      </c>
      <c r="J13" s="254">
        <f>LOOKUP(I13,82:82,83:83)-LOOKUP(C13,82:82,83:83)+100</f>
        <v>104</v>
      </c>
      <c r="K13" s="534">
        <v>2</v>
      </c>
      <c r="L13" s="2140"/>
      <c r="M13" s="2132"/>
      <c r="N13" s="2132"/>
      <c r="O13" s="2141"/>
      <c r="P13" s="3369"/>
      <c r="Q13" s="1149" t="str">
        <f t="shared" si="6"/>
        <v>容积率</v>
      </c>
      <c r="R13" s="1567" t="s">
        <v>8</v>
      </c>
      <c r="S13" s="1568">
        <f t="shared" si="0"/>
        <v>100</v>
      </c>
      <c r="T13" s="1567" t="s">
        <v>8</v>
      </c>
      <c r="U13" s="1568">
        <f t="shared" si="1"/>
        <v>104</v>
      </c>
      <c r="V13" s="1567" t="s">
        <v>8</v>
      </c>
      <c r="W13" s="1568">
        <f t="shared" si="2"/>
        <v>104</v>
      </c>
      <c r="X13" s="1569"/>
      <c r="Y13" s="3315"/>
      <c r="Z13" s="1148" t="str">
        <f t="shared" si="7"/>
        <v>容积率</v>
      </c>
      <c r="AA13" s="1570">
        <f t="shared" si="3"/>
        <v>1</v>
      </c>
      <c r="AB13" s="1570">
        <f t="shared" si="4"/>
        <v>0.96153846153846156</v>
      </c>
      <c r="AC13" s="1570">
        <f t="shared" si="5"/>
        <v>0.96153846153846156</v>
      </c>
    </row>
    <row r="14" spans="1:30" s="1218" customFormat="1" ht="20.25">
      <c r="A14" s="2936"/>
      <c r="B14" s="2945" t="s">
        <v>2763</v>
      </c>
      <c r="C14" s="2932"/>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69"/>
      <c r="Q14" s="1149" t="str">
        <f t="shared" si="6"/>
        <v>配建</v>
      </c>
      <c r="R14" s="1567" t="s">
        <v>8</v>
      </c>
      <c r="S14" s="1568">
        <f t="shared" si="0"/>
        <v>100</v>
      </c>
      <c r="T14" s="1567" t="s">
        <v>8</v>
      </c>
      <c r="U14" s="1568">
        <f t="shared" si="1"/>
        <v>100</v>
      </c>
      <c r="V14" s="1567" t="s">
        <v>8</v>
      </c>
      <c r="W14" s="1568">
        <f t="shared" si="2"/>
        <v>100</v>
      </c>
      <c r="X14" s="1569"/>
      <c r="Y14" s="3315"/>
      <c r="Z14" s="1148" t="str">
        <f t="shared" si="7"/>
        <v>配建</v>
      </c>
      <c r="AA14" s="1570">
        <f>D14/F14</f>
        <v>1</v>
      </c>
      <c r="AB14" s="1570">
        <f>D14/H14</f>
        <v>1</v>
      </c>
      <c r="AC14" s="1570">
        <f>D14/J14</f>
        <v>1</v>
      </c>
    </row>
    <row r="15" spans="1:30" ht="20.25">
      <c r="A15" s="2940"/>
      <c r="B15" s="2946">
        <v>111</v>
      </c>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9"/>
      <c r="Q15" s="1149">
        <f t="shared" si="6"/>
        <v>111</v>
      </c>
      <c r="R15" s="1567" t="s">
        <v>8</v>
      </c>
      <c r="S15" s="1568">
        <f t="shared" si="0"/>
        <v>100</v>
      </c>
      <c r="T15" s="1567" t="s">
        <v>8</v>
      </c>
      <c r="U15" s="1568">
        <f t="shared" si="1"/>
        <v>100</v>
      </c>
      <c r="V15" s="1567" t="s">
        <v>8</v>
      </c>
      <c r="W15" s="1568">
        <f t="shared" si="2"/>
        <v>100</v>
      </c>
      <c r="X15" s="1569"/>
      <c r="Y15" s="3315"/>
      <c r="Z15" s="1148">
        <f t="shared" si="7"/>
        <v>111</v>
      </c>
      <c r="AA15" s="1570">
        <f>D15/F15</f>
        <v>1</v>
      </c>
      <c r="AB15" s="1570">
        <f>D15/H15</f>
        <v>1</v>
      </c>
      <c r="AC15" s="1570">
        <f>D15/J15</f>
        <v>1</v>
      </c>
    </row>
    <row r="16" spans="1:30" ht="21" thickBot="1">
      <c r="A16" s="2941"/>
      <c r="B16" s="2947">
        <v>111</v>
      </c>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9"/>
      <c r="Q16" s="1149">
        <f t="shared" si="6"/>
        <v>111</v>
      </c>
      <c r="R16" s="1567" t="s">
        <v>8</v>
      </c>
      <c r="S16" s="1568">
        <f t="shared" si="0"/>
        <v>100</v>
      </c>
      <c r="T16" s="1567" t="s">
        <v>8</v>
      </c>
      <c r="U16" s="1568">
        <f t="shared" si="1"/>
        <v>100</v>
      </c>
      <c r="V16" s="1567" t="s">
        <v>8</v>
      </c>
      <c r="W16" s="1568">
        <f t="shared" si="2"/>
        <v>100</v>
      </c>
      <c r="X16" s="1569"/>
      <c r="Y16" s="3315"/>
      <c r="Z16" s="1148">
        <f t="shared" si="7"/>
        <v>111</v>
      </c>
      <c r="AA16" s="1570">
        <f>D16/F16</f>
        <v>1</v>
      </c>
      <c r="AB16" s="1570">
        <f>D16/H16</f>
        <v>1</v>
      </c>
      <c r="AC16" s="1570">
        <f>D16/J16</f>
        <v>1</v>
      </c>
    </row>
    <row r="17" spans="1:29" ht="85.5">
      <c r="A17" s="2933" t="s">
        <v>2758</v>
      </c>
      <c r="B17" s="577" t="s">
        <v>295</v>
      </c>
      <c r="C17" s="547" t="str">
        <f>估价对象房地状况!C15</f>
        <v>估价对象周边居住用地大、居住小区规模大，社区发展完善，综合评价居住社区成熟度较好</v>
      </c>
      <c r="D17" s="550">
        <v>100</v>
      </c>
      <c r="E17" s="551"/>
      <c r="F17" s="548">
        <f>SUMIF(90:90,E18,91:91)-SUMIF(90:90,C18,91:91)+100</f>
        <v>97</v>
      </c>
      <c r="G17" s="549"/>
      <c r="H17" s="548">
        <f>SUMIF(90:90,G18,91:91)-SUMIF(90:90,C18,91:91)+100</f>
        <v>97</v>
      </c>
      <c r="I17" s="551"/>
      <c r="J17" s="548">
        <f>SUMIF(90:90,I18,91:91)-SUMIF(90:90,C18,91:91)+100</f>
        <v>97</v>
      </c>
      <c r="K17" s="534">
        <v>3</v>
      </c>
      <c r="L17" s="2142"/>
      <c r="M17" s="2132"/>
      <c r="N17" s="2132"/>
      <c r="O17" s="2141"/>
      <c r="P17" s="3403" t="s">
        <v>540</v>
      </c>
      <c r="Q17" s="1571" t="str">
        <f t="shared" si="6"/>
        <v>居住社区成熟度</v>
      </c>
      <c r="R17" s="1572" t="s">
        <v>8</v>
      </c>
      <c r="S17" s="1573">
        <f t="shared" si="0"/>
        <v>97</v>
      </c>
      <c r="T17" s="1572" t="s">
        <v>8</v>
      </c>
      <c r="U17" s="1573">
        <f t="shared" si="1"/>
        <v>97</v>
      </c>
      <c r="V17" s="1572" t="s">
        <v>8</v>
      </c>
      <c r="W17" s="1573">
        <f t="shared" si="2"/>
        <v>97</v>
      </c>
      <c r="X17" s="1566"/>
      <c r="Y17" s="3403" t="s">
        <v>540</v>
      </c>
      <c r="Z17" s="1574" t="str">
        <f t="shared" si="7"/>
        <v>居住社区成熟度</v>
      </c>
      <c r="AA17" s="1575">
        <f t="shared" si="3"/>
        <v>1.0309278350515463</v>
      </c>
      <c r="AB17" s="1575">
        <f t="shared" si="4"/>
        <v>1.0309278350515463</v>
      </c>
      <c r="AC17" s="1575">
        <f t="shared" si="5"/>
        <v>1.0309278350515463</v>
      </c>
    </row>
    <row r="18" spans="1:29" ht="20.25">
      <c r="A18" s="531"/>
      <c r="B18" s="552"/>
      <c r="C18" s="553" t="s">
        <v>3174</v>
      </c>
      <c r="D18" s="556"/>
      <c r="E18" s="557" t="s">
        <v>3246</v>
      </c>
      <c r="F18" s="554"/>
      <c r="G18" s="557" t="s">
        <v>3246</v>
      </c>
      <c r="H18" s="558"/>
      <c r="I18" s="557" t="s">
        <v>3246</v>
      </c>
      <c r="J18" s="554"/>
      <c r="K18" s="530"/>
      <c r="L18" s="2142"/>
      <c r="M18" s="2132"/>
      <c r="N18" s="2132"/>
      <c r="O18" s="2141"/>
      <c r="P18" s="3404"/>
      <c r="Q18" s="1571"/>
      <c r="R18" s="1572"/>
      <c r="S18" s="1573"/>
      <c r="T18" s="1572"/>
      <c r="U18" s="1573"/>
      <c r="V18" s="1572"/>
      <c r="W18" s="1573"/>
      <c r="X18" s="1566"/>
      <c r="Y18" s="3404"/>
      <c r="Z18" s="1574"/>
      <c r="AA18" s="1575">
        <v>1</v>
      </c>
      <c r="AB18" s="1575">
        <v>1</v>
      </c>
      <c r="AC18" s="1575">
        <v>1</v>
      </c>
    </row>
    <row r="19" spans="1:29" ht="57">
      <c r="A19" s="531"/>
      <c r="B19" s="559" t="s">
        <v>541</v>
      </c>
      <c r="C19" s="560" t="str">
        <f>估价对象房地状况!C16</f>
        <v>估价对象周边商业氛围较成熟，人流量较大，商业繁华度较好</v>
      </c>
      <c r="D19" s="562">
        <v>100</v>
      </c>
      <c r="E19" s="563"/>
      <c r="F19" s="558">
        <f>SUMIF(92:92,E20,93:93)-SUMIF(92:92,C20,93:93)+100</f>
        <v>98</v>
      </c>
      <c r="G19" s="561"/>
      <c r="H19" s="564">
        <f>SUMIF(92:92,G20,93:93)-SUMIF(92:92,C20,93:93)+100</f>
        <v>98</v>
      </c>
      <c r="I19" s="563"/>
      <c r="J19" s="564">
        <f>SUMIF(92:92,I20,93:93)-SUMIF(92:92,C20,93:93)+100</f>
        <v>98</v>
      </c>
      <c r="K19" s="534">
        <v>2</v>
      </c>
      <c r="L19" s="2142"/>
      <c r="M19" s="2132"/>
      <c r="N19" s="2132"/>
      <c r="O19" s="2141"/>
      <c r="P19" s="3404"/>
      <c r="Q19" s="1571" t="str">
        <f>B19</f>
        <v>商业繁华度</v>
      </c>
      <c r="R19" s="1572" t="s">
        <v>8</v>
      </c>
      <c r="S19" s="1573">
        <f>F19</f>
        <v>98</v>
      </c>
      <c r="T19" s="1572" t="s">
        <v>8</v>
      </c>
      <c r="U19" s="1573">
        <f>H19</f>
        <v>98</v>
      </c>
      <c r="V19" s="1572" t="s">
        <v>8</v>
      </c>
      <c r="W19" s="1573">
        <f>J19</f>
        <v>98</v>
      </c>
      <c r="X19" s="1566"/>
      <c r="Y19" s="3404"/>
      <c r="Z19" s="1574" t="str">
        <f>Q19</f>
        <v>商业繁华度</v>
      </c>
      <c r="AA19" s="1575">
        <f t="shared" si="3"/>
        <v>1.0204081632653061</v>
      </c>
      <c r="AB19" s="1575">
        <f t="shared" si="4"/>
        <v>1.0204081632653061</v>
      </c>
      <c r="AC19" s="1575">
        <f t="shared" si="5"/>
        <v>1.0204081632653061</v>
      </c>
    </row>
    <row r="20" spans="1:29" ht="20.25">
      <c r="A20" s="531"/>
      <c r="B20" s="565"/>
      <c r="C20" s="566" t="s">
        <v>3174</v>
      </c>
      <c r="D20" s="562"/>
      <c r="E20" s="557" t="s">
        <v>3246</v>
      </c>
      <c r="F20" s="558"/>
      <c r="G20" s="557" t="s">
        <v>3246</v>
      </c>
      <c r="H20" s="554"/>
      <c r="I20" s="557" t="s">
        <v>3246</v>
      </c>
      <c r="J20" s="554"/>
      <c r="K20" s="530"/>
      <c r="L20" s="2142"/>
      <c r="M20" s="2132"/>
      <c r="N20" s="2132"/>
      <c r="O20" s="2141"/>
      <c r="P20" s="3404"/>
      <c r="Q20" s="1571"/>
      <c r="R20" s="1572"/>
      <c r="S20" s="1573"/>
      <c r="T20" s="1572"/>
      <c r="U20" s="1573"/>
      <c r="V20" s="1572"/>
      <c r="W20" s="1573"/>
      <c r="X20" s="1566"/>
      <c r="Y20" s="3404"/>
      <c r="Z20" s="1574"/>
      <c r="AA20" s="1575">
        <v>1</v>
      </c>
      <c r="AB20" s="1575">
        <v>1</v>
      </c>
      <c r="AC20" s="1575">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04"/>
      <c r="Q21" s="1571" t="str">
        <f>B21</f>
        <v>办公集聚程度</v>
      </c>
      <c r="R21" s="1572" t="s">
        <v>8</v>
      </c>
      <c r="S21" s="1573">
        <f>F21</f>
        <v>100</v>
      </c>
      <c r="T21" s="1572" t="s">
        <v>8</v>
      </c>
      <c r="U21" s="1573">
        <f>H21</f>
        <v>100</v>
      </c>
      <c r="V21" s="1572" t="s">
        <v>8</v>
      </c>
      <c r="W21" s="1573">
        <f>J21</f>
        <v>100</v>
      </c>
      <c r="X21" s="1566"/>
      <c r="Y21" s="3404"/>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04"/>
      <c r="Q22" s="1571"/>
      <c r="R22" s="1572"/>
      <c r="S22" s="1573"/>
      <c r="T22" s="1572"/>
      <c r="U22" s="1573"/>
      <c r="V22" s="1572"/>
      <c r="W22" s="1573"/>
      <c r="X22" s="1566"/>
      <c r="Y22" s="3404"/>
      <c r="Z22" s="1574"/>
      <c r="AA22" s="1575">
        <v>1</v>
      </c>
      <c r="AB22" s="1575">
        <v>1</v>
      </c>
      <c r="AC22" s="1575">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98</v>
      </c>
      <c r="G23" s="561"/>
      <c r="H23" s="558">
        <f>SUMIF(96:96,G24,97:97)-SUMIF(96:96,C24,97:97)+100</f>
        <v>98</v>
      </c>
      <c r="I23" s="563"/>
      <c r="J23" s="558">
        <f>SUMIF(96:96,I24,97:97)-SUMIF(96:96,C24,97:97)+100</f>
        <v>98</v>
      </c>
      <c r="K23" s="534">
        <v>2</v>
      </c>
      <c r="L23" s="2142"/>
      <c r="M23" s="2132"/>
      <c r="N23" s="2132"/>
      <c r="O23" s="2141"/>
      <c r="P23" s="3404"/>
      <c r="Q23" s="1571" t="str">
        <f>B23</f>
        <v>交通便捷度</v>
      </c>
      <c r="R23" s="1572" t="s">
        <v>8</v>
      </c>
      <c r="S23" s="1573">
        <f>F23</f>
        <v>98</v>
      </c>
      <c r="T23" s="1572" t="s">
        <v>8</v>
      </c>
      <c r="U23" s="1573">
        <f>H23</f>
        <v>98</v>
      </c>
      <c r="V23" s="1572" t="s">
        <v>8</v>
      </c>
      <c r="W23" s="1573">
        <f>J23</f>
        <v>98</v>
      </c>
      <c r="X23" s="1566"/>
      <c r="Y23" s="3404"/>
      <c r="Z23" s="1574" t="str">
        <f>Q23</f>
        <v>交通便捷度</v>
      </c>
      <c r="AA23" s="1575">
        <f t="shared" si="3"/>
        <v>1.0204081632653061</v>
      </c>
      <c r="AB23" s="1575">
        <f t="shared" si="4"/>
        <v>1.0204081632653061</v>
      </c>
      <c r="AC23" s="1575">
        <f t="shared" si="5"/>
        <v>1.0204081632653061</v>
      </c>
    </row>
    <row r="24" spans="1:29" ht="20.25">
      <c r="A24" s="531"/>
      <c r="B24" s="577"/>
      <c r="C24" s="553" t="s">
        <v>3174</v>
      </c>
      <c r="D24" s="556"/>
      <c r="E24" s="557" t="s">
        <v>3246</v>
      </c>
      <c r="F24" s="554"/>
      <c r="G24" s="557" t="s">
        <v>3246</v>
      </c>
      <c r="H24" s="554"/>
      <c r="I24" s="557" t="s">
        <v>3246</v>
      </c>
      <c r="J24" s="554"/>
      <c r="K24" s="530"/>
      <c r="L24" s="2142"/>
      <c r="M24" s="2132"/>
      <c r="N24" s="2132"/>
      <c r="O24" s="2141"/>
      <c r="P24" s="3404"/>
      <c r="Q24" s="1571"/>
      <c r="R24" s="1572"/>
      <c r="S24" s="1573"/>
      <c r="T24" s="1572"/>
      <c r="U24" s="1573"/>
      <c r="V24" s="1572"/>
      <c r="W24" s="1573"/>
      <c r="X24" s="1566"/>
      <c r="Y24" s="3404"/>
      <c r="Z24" s="1574"/>
      <c r="AA24" s="1575">
        <v>1</v>
      </c>
      <c r="AB24" s="1575">
        <v>1</v>
      </c>
      <c r="AC24" s="1575">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404"/>
      <c r="Q25" s="1571" t="str">
        <f t="shared" ref="Q25:Q39" si="8">B25</f>
        <v>区域土地利用方向</v>
      </c>
      <c r="R25" s="1572" t="s">
        <v>8</v>
      </c>
      <c r="S25" s="1573">
        <f>F25</f>
        <v>100</v>
      </c>
      <c r="T25" s="1572" t="s">
        <v>8</v>
      </c>
      <c r="U25" s="1573">
        <f>H25</f>
        <v>100</v>
      </c>
      <c r="V25" s="1572" t="s">
        <v>8</v>
      </c>
      <c r="W25" s="1573">
        <f>J25</f>
        <v>100</v>
      </c>
      <c r="X25" s="1566"/>
      <c r="Y25" s="3404"/>
      <c r="Z25" s="1574" t="str">
        <f>Q25</f>
        <v>区域土地利用方向</v>
      </c>
      <c r="AA25" s="1575">
        <f t="shared" si="3"/>
        <v>1</v>
      </c>
      <c r="AB25" s="1575">
        <f t="shared" si="4"/>
        <v>1</v>
      </c>
      <c r="AC25" s="1575">
        <f t="shared" si="5"/>
        <v>1</v>
      </c>
    </row>
    <row r="26" spans="1:29" ht="20.25">
      <c r="A26" s="514"/>
      <c r="B26" s="1005"/>
      <c r="C26" s="553" t="s">
        <v>3174</v>
      </c>
      <c r="D26" s="556"/>
      <c r="E26" s="557" t="s">
        <v>3174</v>
      </c>
      <c r="F26" s="554"/>
      <c r="G26" s="557" t="s">
        <v>3174</v>
      </c>
      <c r="H26" s="554"/>
      <c r="I26" s="557" t="s">
        <v>3174</v>
      </c>
      <c r="J26" s="554"/>
      <c r="K26" s="530"/>
      <c r="L26" s="2142"/>
      <c r="M26" s="2132"/>
      <c r="N26" s="2132"/>
      <c r="O26" s="2141"/>
      <c r="P26" s="3404"/>
      <c r="Q26" s="1571"/>
      <c r="R26" s="1572"/>
      <c r="S26" s="1573"/>
      <c r="T26" s="1572"/>
      <c r="U26" s="1573"/>
      <c r="V26" s="1572"/>
      <c r="W26" s="1573"/>
      <c r="X26" s="1566"/>
      <c r="Y26" s="3404"/>
      <c r="Z26" s="1574"/>
      <c r="AA26" s="1575"/>
      <c r="AB26" s="1575"/>
      <c r="AC26" s="1575"/>
    </row>
    <row r="27" spans="1:29" ht="57">
      <c r="A27" s="514"/>
      <c r="B27" s="577" t="s">
        <v>545</v>
      </c>
      <c r="C27" s="560" t="str">
        <f>估价对象房地状况!C20</f>
        <v>区域自然环境较好；人文环境一般；综合评价环境状况较好</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42"/>
      <c r="M27" s="2132"/>
      <c r="N27" s="2132"/>
      <c r="O27" s="2141"/>
      <c r="P27" s="3404"/>
      <c r="Q27" s="1571" t="str">
        <f t="shared" si="8"/>
        <v>自然及人文环境状况</v>
      </c>
      <c r="R27" s="1572" t="s">
        <v>8</v>
      </c>
      <c r="S27" s="1573">
        <f>F27</f>
        <v>103</v>
      </c>
      <c r="T27" s="1572" t="s">
        <v>8</v>
      </c>
      <c r="U27" s="1573">
        <f>H27</f>
        <v>103</v>
      </c>
      <c r="V27" s="1572" t="s">
        <v>8</v>
      </c>
      <c r="W27" s="1573">
        <f>J27</f>
        <v>103</v>
      </c>
      <c r="X27" s="1566"/>
      <c r="Y27" s="3404"/>
      <c r="Z27" s="1574" t="str">
        <f>Q27</f>
        <v>自然及人文环境状况</v>
      </c>
      <c r="AA27" s="1575">
        <f t="shared" si="3"/>
        <v>0.970873786407767</v>
      </c>
      <c r="AB27" s="1575">
        <f t="shared" si="4"/>
        <v>0.970873786407767</v>
      </c>
      <c r="AC27" s="1575">
        <f t="shared" si="5"/>
        <v>0.970873786407767</v>
      </c>
    </row>
    <row r="28" spans="1:29" ht="20.25">
      <c r="A28" s="514"/>
      <c r="B28" s="565"/>
      <c r="C28" s="553" t="s">
        <v>3174</v>
      </c>
      <c r="D28" s="556"/>
      <c r="E28" s="557" t="s">
        <v>3175</v>
      </c>
      <c r="F28" s="554"/>
      <c r="G28" s="557" t="s">
        <v>3175</v>
      </c>
      <c r="H28" s="554"/>
      <c r="I28" s="557" t="s">
        <v>3175</v>
      </c>
      <c r="J28" s="554"/>
      <c r="K28" s="530"/>
      <c r="L28" s="2142"/>
      <c r="M28" s="2132"/>
      <c r="N28" s="2132"/>
      <c r="O28" s="2141"/>
      <c r="P28" s="3404"/>
      <c r="Q28" s="1571"/>
      <c r="R28" s="1572"/>
      <c r="S28" s="1573"/>
      <c r="T28" s="1572"/>
      <c r="U28" s="1573"/>
      <c r="V28" s="1572"/>
      <c r="W28" s="1573"/>
      <c r="X28" s="1566"/>
      <c r="Y28" s="3404"/>
      <c r="Z28" s="1574"/>
      <c r="AA28" s="1575">
        <v>1</v>
      </c>
      <c r="AB28" s="1575">
        <v>1</v>
      </c>
      <c r="AC28" s="1575">
        <v>1</v>
      </c>
    </row>
    <row r="29" spans="1:29" s="1218" customFormat="1" ht="42.75">
      <c r="A29" s="576"/>
      <c r="B29" s="2615" t="s">
        <v>2552</v>
      </c>
      <c r="C29" s="572" t="str">
        <f>估价对象房地状况!C21</f>
        <v>估价对象所在区域公共配套设施齐备</v>
      </c>
      <c r="D29" s="562">
        <v>100</v>
      </c>
      <c r="E29" s="563"/>
      <c r="F29" s="558">
        <f>SUMIF(102:102,E30,103:103)-SUMIF(102:102,C30,103:103)+100</f>
        <v>98</v>
      </c>
      <c r="G29" s="561"/>
      <c r="H29" s="558">
        <f>SUMIF(102:102,G30,103:103)-SUMIF(102:102,C30,103:103)+100</f>
        <v>98</v>
      </c>
      <c r="I29" s="563"/>
      <c r="J29" s="558">
        <f>SUMIF(102:102,I30,103:103)-SUMIF(102:102,C30,103:103)+100</f>
        <v>98</v>
      </c>
      <c r="K29" s="534">
        <v>2</v>
      </c>
      <c r="L29" s="2135"/>
      <c r="M29" s="2132"/>
      <c r="N29" s="2132"/>
      <c r="O29" s="2137"/>
      <c r="P29" s="3404"/>
      <c r="Q29" s="1149" t="str">
        <f t="shared" si="8"/>
        <v>公共配套设施</v>
      </c>
      <c r="R29" s="1567" t="s">
        <v>8</v>
      </c>
      <c r="S29" s="1568">
        <f>F29</f>
        <v>98</v>
      </c>
      <c r="T29" s="1567" t="s">
        <v>8</v>
      </c>
      <c r="U29" s="1568">
        <f>H29</f>
        <v>98</v>
      </c>
      <c r="V29" s="1567" t="s">
        <v>8</v>
      </c>
      <c r="W29" s="1568">
        <f>J29</f>
        <v>98</v>
      </c>
      <c r="X29" s="1569"/>
      <c r="Y29" s="3404"/>
      <c r="Z29" s="1148" t="str">
        <f>Q29</f>
        <v>公共配套设施</v>
      </c>
      <c r="AA29" s="1575">
        <f>D29/F29</f>
        <v>1.0204081632653061</v>
      </c>
      <c r="AB29" s="1575">
        <f>D29/H29</f>
        <v>1.0204081632653061</v>
      </c>
      <c r="AC29" s="1575">
        <f>D29/J29</f>
        <v>1.0204081632653061</v>
      </c>
    </row>
    <row r="30" spans="1:29" s="1218" customFormat="1" ht="20.25">
      <c r="A30" s="576"/>
      <c r="B30" s="565"/>
      <c r="C30" s="578" t="s">
        <v>3174</v>
      </c>
      <c r="D30" s="556"/>
      <c r="E30" s="557" t="s">
        <v>3246</v>
      </c>
      <c r="F30" s="554"/>
      <c r="G30" s="557" t="s">
        <v>3246</v>
      </c>
      <c r="H30" s="554"/>
      <c r="I30" s="557" t="s">
        <v>3246</v>
      </c>
      <c r="J30" s="554"/>
      <c r="K30" s="530"/>
      <c r="L30" s="2135"/>
      <c r="M30" s="2132"/>
      <c r="N30" s="2132"/>
      <c r="O30" s="2137"/>
      <c r="P30" s="3404"/>
      <c r="Q30" s="1149"/>
      <c r="R30" s="1567"/>
      <c r="S30" s="1568"/>
      <c r="T30" s="1567"/>
      <c r="U30" s="1568"/>
      <c r="V30" s="1567"/>
      <c r="W30" s="1568"/>
      <c r="X30" s="1569"/>
      <c r="Y30" s="3404"/>
      <c r="Z30" s="1148"/>
      <c r="AA30" s="1575">
        <v>1</v>
      </c>
      <c r="AB30" s="1575">
        <v>1</v>
      </c>
      <c r="AC30" s="1575">
        <v>1</v>
      </c>
    </row>
    <row r="31" spans="1:29" s="1218" customFormat="1" ht="42.75">
      <c r="A31" s="576"/>
      <c r="B31" s="2615" t="s">
        <v>2553</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5"/>
      <c r="M31" s="2132"/>
      <c r="N31" s="2132"/>
      <c r="O31" s="2137"/>
      <c r="P31" s="3404"/>
      <c r="Q31" s="2602" t="str">
        <f t="shared" ref="Q31" si="9">B31</f>
        <v>基础设施水平</v>
      </c>
      <c r="R31" s="1567" t="s">
        <v>8</v>
      </c>
      <c r="S31" s="1568">
        <f>F31</f>
        <v>100</v>
      </c>
      <c r="T31" s="1567" t="s">
        <v>8</v>
      </c>
      <c r="U31" s="1568">
        <f>H31</f>
        <v>100</v>
      </c>
      <c r="V31" s="1567" t="s">
        <v>8</v>
      </c>
      <c r="W31" s="1568">
        <f>J31</f>
        <v>100</v>
      </c>
      <c r="X31" s="1569"/>
      <c r="Y31" s="3404"/>
      <c r="Z31" s="2599" t="str">
        <f>Q31</f>
        <v>基础设施水平</v>
      </c>
      <c r="AA31" s="1575">
        <f>D31/F31</f>
        <v>1</v>
      </c>
      <c r="AB31" s="1575">
        <f>D31/H31</f>
        <v>1</v>
      </c>
      <c r="AC31" s="1575">
        <f>D31/J31</f>
        <v>1</v>
      </c>
    </row>
    <row r="32" spans="1:29" s="1218" customFormat="1" ht="20.25">
      <c r="A32" s="576"/>
      <c r="B32" s="565"/>
      <c r="C32" s="578" t="s">
        <v>3214</v>
      </c>
      <c r="D32" s="556"/>
      <c r="E32" s="578" t="s">
        <v>3214</v>
      </c>
      <c r="F32" s="554"/>
      <c r="G32" s="578" t="s">
        <v>3214</v>
      </c>
      <c r="H32" s="554"/>
      <c r="I32" s="578" t="s">
        <v>3214</v>
      </c>
      <c r="J32" s="554"/>
      <c r="K32" s="530"/>
      <c r="L32" s="2135"/>
      <c r="M32" s="2132"/>
      <c r="N32" s="2132"/>
      <c r="O32" s="2137"/>
      <c r="P32" s="3404"/>
      <c r="Q32" s="2602"/>
      <c r="R32" s="1567"/>
      <c r="S32" s="1568"/>
      <c r="T32" s="1567"/>
      <c r="U32" s="1568"/>
      <c r="V32" s="1567"/>
      <c r="W32" s="1568"/>
      <c r="X32" s="1569"/>
      <c r="Y32" s="3404"/>
      <c r="Z32" s="2599"/>
      <c r="AA32" s="1575">
        <v>1</v>
      </c>
      <c r="AB32" s="1575">
        <v>1</v>
      </c>
      <c r="AC32" s="1575">
        <v>1</v>
      </c>
    </row>
    <row r="33" spans="1:29" ht="20.25">
      <c r="A33" s="531"/>
      <c r="B33" s="565" t="s">
        <v>547</v>
      </c>
      <c r="C33" s="579" t="s">
        <v>3230</v>
      </c>
      <c r="D33" s="574">
        <v>100</v>
      </c>
      <c r="E33" s="582" t="s">
        <v>3251</v>
      </c>
      <c r="F33" s="539">
        <f>SUMIF(106:106,E33,107:107)-SUMIF(106:106,C33,107:107)+100</f>
        <v>96</v>
      </c>
      <c r="G33" s="579" t="s">
        <v>3251</v>
      </c>
      <c r="H33" s="539">
        <f>SUMIF(106:106,G33,107:107)-SUMIF(106:106,C33,107:107)+100</f>
        <v>96</v>
      </c>
      <c r="I33" s="579" t="s">
        <v>3251</v>
      </c>
      <c r="J33" s="539">
        <f>SUMIF(106:106,I33,107:107)-SUMIF(106:106,C33,107:107)+100</f>
        <v>96</v>
      </c>
      <c r="K33" s="534">
        <v>2</v>
      </c>
      <c r="L33" s="2142"/>
      <c r="M33" s="2132"/>
      <c r="N33" s="2132"/>
      <c r="O33" s="2141"/>
      <c r="P33" s="3404"/>
      <c r="Q33" s="1571" t="str">
        <f t="shared" si="8"/>
        <v>临街状况</v>
      </c>
      <c r="R33" s="1572" t="s">
        <v>8</v>
      </c>
      <c r="S33" s="1573">
        <f t="shared" ref="S33:S47" si="10">F33</f>
        <v>96</v>
      </c>
      <c r="T33" s="1572" t="s">
        <v>8</v>
      </c>
      <c r="U33" s="1573">
        <f t="shared" ref="U33:U47" si="11">H33</f>
        <v>96</v>
      </c>
      <c r="V33" s="1572" t="s">
        <v>8</v>
      </c>
      <c r="W33" s="1573">
        <f t="shared" ref="W33:W47" si="12">J33</f>
        <v>96</v>
      </c>
      <c r="X33" s="1566"/>
      <c r="Y33" s="3404"/>
      <c r="Z33" s="1574" t="str">
        <f t="shared" ref="Z33:Z47" si="13">Q33</f>
        <v>临街状况</v>
      </c>
      <c r="AA33" s="1575">
        <f t="shared" si="3"/>
        <v>1.0416666666666667</v>
      </c>
      <c r="AB33" s="1575">
        <f t="shared" si="4"/>
        <v>1.0416666666666667</v>
      </c>
      <c r="AC33" s="1575">
        <f t="shared" si="5"/>
        <v>1.0416666666666667</v>
      </c>
    </row>
    <row r="34" spans="1:29" ht="27">
      <c r="A34" s="531"/>
      <c r="B34" s="577" t="s">
        <v>548</v>
      </c>
      <c r="C34" s="3199" t="s">
        <v>3275</v>
      </c>
      <c r="D34" s="562">
        <v>100</v>
      </c>
      <c r="E34" s="3200" t="s">
        <v>3277</v>
      </c>
      <c r="F34" s="558">
        <f>SUMIF(108:108,E35,109:109)-SUMIF(108:108,C35,109:109)+100</f>
        <v>98</v>
      </c>
      <c r="G34" s="3199" t="s">
        <v>3282</v>
      </c>
      <c r="H34" s="558">
        <f>SUMIF(108:108,G35,109:109)-SUMIF(108:108,C35,109:109)+100</f>
        <v>98</v>
      </c>
      <c r="I34" s="3200" t="s">
        <v>3283</v>
      </c>
      <c r="J34" s="558">
        <f>SUMIF(108:108,I35,109:109)-SUMIF(108:108,C35,109:109)+100</f>
        <v>98</v>
      </c>
      <c r="K34" s="534">
        <v>2</v>
      </c>
      <c r="L34" s="2142"/>
      <c r="M34" s="2132"/>
      <c r="N34" s="2132"/>
      <c r="O34" s="2141"/>
      <c r="P34" s="3404"/>
      <c r="Q34" s="1571" t="str">
        <f t="shared" si="8"/>
        <v>毗邻道路的类型与等级</v>
      </c>
      <c r="R34" s="1572" t="s">
        <v>8</v>
      </c>
      <c r="S34" s="1573">
        <f t="shared" si="10"/>
        <v>98</v>
      </c>
      <c r="T34" s="1572" t="s">
        <v>8</v>
      </c>
      <c r="U34" s="1573">
        <f t="shared" si="11"/>
        <v>98</v>
      </c>
      <c r="V34" s="1572" t="s">
        <v>8</v>
      </c>
      <c r="W34" s="1573">
        <f t="shared" si="12"/>
        <v>98</v>
      </c>
      <c r="X34" s="1566"/>
      <c r="Y34" s="3404"/>
      <c r="Z34" s="1574" t="str">
        <f t="shared" si="13"/>
        <v>毗邻道路的类型与等级</v>
      </c>
      <c r="AA34" s="1575">
        <f t="shared" si="3"/>
        <v>1.0204081632653061</v>
      </c>
      <c r="AB34" s="1575">
        <f t="shared" si="4"/>
        <v>1.0204081632653061</v>
      </c>
      <c r="AC34" s="1575">
        <f t="shared" si="5"/>
        <v>1.0204081632653061</v>
      </c>
    </row>
    <row r="35" spans="1:29" ht="20.25">
      <c r="A35" s="531"/>
      <c r="B35" s="565"/>
      <c r="C35" s="553" t="s">
        <v>3235</v>
      </c>
      <c r="D35" s="556"/>
      <c r="E35" s="575" t="s">
        <v>3237</v>
      </c>
      <c r="F35" s="554"/>
      <c r="G35" s="553" t="s">
        <v>3237</v>
      </c>
      <c r="H35" s="554"/>
      <c r="I35" s="575" t="s">
        <v>3237</v>
      </c>
      <c r="J35" s="554"/>
      <c r="K35" s="580"/>
      <c r="L35" s="2142"/>
      <c r="M35" s="2132"/>
      <c r="N35" s="2132"/>
      <c r="O35" s="2141"/>
      <c r="P35" s="3404"/>
      <c r="Q35" s="1571"/>
      <c r="R35" s="1572"/>
      <c r="S35" s="1573"/>
      <c r="T35" s="1572"/>
      <c r="U35" s="1573"/>
      <c r="V35" s="1572"/>
      <c r="W35" s="1573"/>
      <c r="X35" s="1566"/>
      <c r="Y35" s="3404"/>
      <c r="Z35" s="1574"/>
      <c r="AA35" s="1575">
        <v>1</v>
      </c>
      <c r="AB35" s="1575">
        <v>1</v>
      </c>
      <c r="AC35" s="1575">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04"/>
      <c r="Q36" s="1571" t="str">
        <f t="shared" si="8"/>
        <v>土地级别</v>
      </c>
      <c r="R36" s="1572" t="s">
        <v>8</v>
      </c>
      <c r="S36" s="1573">
        <f t="shared" si="10"/>
        <v>100</v>
      </c>
      <c r="T36" s="1572" t="s">
        <v>8</v>
      </c>
      <c r="U36" s="1573">
        <f t="shared" si="11"/>
        <v>100</v>
      </c>
      <c r="V36" s="1572" t="s">
        <v>8</v>
      </c>
      <c r="W36" s="1573">
        <f t="shared" si="12"/>
        <v>100</v>
      </c>
      <c r="X36" s="1566"/>
      <c r="Y36" s="3404"/>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4"/>
      <c r="Q37" s="1571">
        <f t="shared" si="8"/>
        <v>111</v>
      </c>
      <c r="R37" s="1572" t="s">
        <v>8</v>
      </c>
      <c r="S37" s="1573">
        <f t="shared" si="10"/>
        <v>100</v>
      </c>
      <c r="T37" s="1572" t="s">
        <v>8</v>
      </c>
      <c r="U37" s="1573">
        <f t="shared" si="11"/>
        <v>100</v>
      </c>
      <c r="V37" s="1572" t="s">
        <v>8</v>
      </c>
      <c r="W37" s="1573">
        <f t="shared" si="12"/>
        <v>100</v>
      </c>
      <c r="X37" s="1566"/>
      <c r="Y37" s="3404"/>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5" t="s">
        <v>550</v>
      </c>
      <c r="Q38" s="1571">
        <f t="shared" si="8"/>
        <v>111</v>
      </c>
      <c r="R38" s="1572" t="s">
        <v>8</v>
      </c>
      <c r="S38" s="1573">
        <f t="shared" si="10"/>
        <v>100</v>
      </c>
      <c r="T38" s="1572" t="s">
        <v>8</v>
      </c>
      <c r="U38" s="1573">
        <f t="shared" si="11"/>
        <v>100</v>
      </c>
      <c r="V38" s="1572" t="s">
        <v>8</v>
      </c>
      <c r="W38" s="1573">
        <f t="shared" si="12"/>
        <v>100</v>
      </c>
      <c r="X38" s="1566"/>
      <c r="Y38" s="3406" t="s">
        <v>550</v>
      </c>
      <c r="Z38" s="1574">
        <f t="shared" si="13"/>
        <v>111</v>
      </c>
      <c r="AA38" s="1575">
        <f t="shared" si="3"/>
        <v>1</v>
      </c>
      <c r="AB38" s="1575">
        <f t="shared" si="4"/>
        <v>1</v>
      </c>
      <c r="AC38" s="1575">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6"/>
      <c r="Q39" s="1571">
        <f t="shared" si="8"/>
        <v>111</v>
      </c>
      <c r="R39" s="1576" t="s">
        <v>8</v>
      </c>
      <c r="S39" s="1577">
        <f t="shared" si="10"/>
        <v>100</v>
      </c>
      <c r="T39" s="1576" t="s">
        <v>8</v>
      </c>
      <c r="U39" s="1577">
        <f t="shared" si="11"/>
        <v>100</v>
      </c>
      <c r="V39" s="1576" t="s">
        <v>8</v>
      </c>
      <c r="W39" s="1577">
        <f t="shared" si="12"/>
        <v>100</v>
      </c>
      <c r="X39" s="1578"/>
      <c r="Y39" s="3406"/>
      <c r="Z39" s="1579">
        <f t="shared" si="13"/>
        <v>111</v>
      </c>
      <c r="AA39" s="1575">
        <f t="shared" si="3"/>
        <v>1</v>
      </c>
      <c r="AB39" s="1575">
        <f t="shared" si="4"/>
        <v>1</v>
      </c>
      <c r="AC39" s="1575">
        <f t="shared" si="5"/>
        <v>1</v>
      </c>
    </row>
    <row r="40" spans="1:29" ht="20.25">
      <c r="A40" s="2931" t="s">
        <v>2759</v>
      </c>
      <c r="B40" s="594" t="s">
        <v>552</v>
      </c>
      <c r="C40" s="595">
        <v>25829</v>
      </c>
      <c r="D40" s="596">
        <v>100</v>
      </c>
      <c r="E40" s="595">
        <f>土地案例!D19</f>
        <v>60210</v>
      </c>
      <c r="F40" s="596">
        <f>LOOKUP(E40,119:119,120:120)-LOOKUP(C40,119:119,120:120)+100</f>
        <v>102</v>
      </c>
      <c r="G40" s="595">
        <f>土地案例!D14</f>
        <v>16991</v>
      </c>
      <c r="H40" s="596">
        <f>LOOKUP(G40,119:119,120:120)-LOOKUP(C40,119:119,120:120)+100</f>
        <v>99</v>
      </c>
      <c r="I40" s="597">
        <f>土地案例!D17</f>
        <v>14537</v>
      </c>
      <c r="J40" s="596">
        <f>LOOKUP(I40,119:119,120:120)-LOOKUP(C40,119:119,120:120)+100</f>
        <v>99</v>
      </c>
      <c r="K40" s="580"/>
      <c r="L40" s="2142"/>
      <c r="M40" s="2132"/>
      <c r="N40" s="2132"/>
      <c r="O40" s="2141"/>
      <c r="P40" s="3406"/>
      <c r="Q40" s="1571" t="str">
        <f>B40</f>
        <v>宗地面积</v>
      </c>
      <c r="R40" s="1572" t="s">
        <v>8</v>
      </c>
      <c r="S40" s="1573">
        <f t="shared" si="10"/>
        <v>102</v>
      </c>
      <c r="T40" s="1572" t="s">
        <v>8</v>
      </c>
      <c r="U40" s="1573">
        <f t="shared" si="11"/>
        <v>99</v>
      </c>
      <c r="V40" s="1572" t="s">
        <v>8</v>
      </c>
      <c r="W40" s="1573">
        <f t="shared" si="12"/>
        <v>99</v>
      </c>
      <c r="X40" s="1566"/>
      <c r="Y40" s="3406"/>
      <c r="Z40" s="1574" t="str">
        <f t="shared" si="13"/>
        <v>宗地面积</v>
      </c>
      <c r="AA40" s="1575">
        <f t="shared" si="3"/>
        <v>0.98039215686274506</v>
      </c>
      <c r="AB40" s="1575">
        <f t="shared" si="4"/>
        <v>1.0101010101010102</v>
      </c>
      <c r="AC40" s="1575">
        <f t="shared" si="5"/>
        <v>1.0101010101010102</v>
      </c>
    </row>
    <row r="41" spans="1:29" ht="20.25">
      <c r="A41" s="593"/>
      <c r="B41" s="526" t="s">
        <v>553</v>
      </c>
      <c r="C41" s="598" t="s">
        <v>3279</v>
      </c>
      <c r="D41" s="539">
        <v>100</v>
      </c>
      <c r="E41" s="598" t="s">
        <v>3279</v>
      </c>
      <c r="F41" s="539">
        <f>SUMIF(121:121,E41,122:122)-SUMIF(121:121,C41,122:122)+100</f>
        <v>100</v>
      </c>
      <c r="G41" s="598" t="s">
        <v>3279</v>
      </c>
      <c r="H41" s="539">
        <f>SUMIF(121:121,G41,122:122)-SUMIF(121:121,C41,122:122)+100</f>
        <v>100</v>
      </c>
      <c r="I41" s="598" t="s">
        <v>3279</v>
      </c>
      <c r="J41" s="539">
        <f>SUMIF(121:121,I41,122:122)-SUMIF(121:121,C41,122:122)+100</f>
        <v>100</v>
      </c>
      <c r="K41" s="583">
        <v>3</v>
      </c>
      <c r="L41" s="2142"/>
      <c r="M41" s="2132"/>
      <c r="N41" s="2132"/>
      <c r="O41" s="2141"/>
      <c r="P41" s="3406"/>
      <c r="Q41" s="1571" t="str">
        <f t="shared" ref="Q41:Q47" si="14">B41</f>
        <v>宗地形状</v>
      </c>
      <c r="R41" s="1572" t="s">
        <v>8</v>
      </c>
      <c r="S41" s="1573">
        <f t="shared" si="10"/>
        <v>100</v>
      </c>
      <c r="T41" s="1572" t="s">
        <v>8</v>
      </c>
      <c r="U41" s="1573">
        <f t="shared" si="11"/>
        <v>100</v>
      </c>
      <c r="V41" s="1572" t="s">
        <v>8</v>
      </c>
      <c r="W41" s="1573">
        <f t="shared" si="12"/>
        <v>100</v>
      </c>
      <c r="X41" s="1566"/>
      <c r="Y41" s="3406"/>
      <c r="Z41" s="1574" t="str">
        <f t="shared" si="13"/>
        <v>宗地形状</v>
      </c>
      <c r="AA41" s="1575">
        <f t="shared" si="3"/>
        <v>1</v>
      </c>
      <c r="AB41" s="1575">
        <f t="shared" si="4"/>
        <v>1</v>
      </c>
      <c r="AC41" s="1575">
        <f t="shared" si="5"/>
        <v>1</v>
      </c>
    </row>
    <row r="42" spans="1:29" ht="20.25">
      <c r="A42" s="593"/>
      <c r="B42" s="526" t="s">
        <v>554</v>
      </c>
      <c r="C42" s="598" t="s">
        <v>3242</v>
      </c>
      <c r="D42" s="539">
        <v>100</v>
      </c>
      <c r="E42" s="598" t="s">
        <v>3242</v>
      </c>
      <c r="F42" s="539">
        <f>SUMIF(123:123,E42,124:124)-SUMIF(123:123,C42,124:124)+100</f>
        <v>100</v>
      </c>
      <c r="G42" s="598" t="s">
        <v>3242</v>
      </c>
      <c r="H42" s="539">
        <f>SUMIF(123:123,G42,124:124)-SUMIF(123:123,C42,124:124)+100</f>
        <v>100</v>
      </c>
      <c r="I42" s="598" t="s">
        <v>3242</v>
      </c>
      <c r="J42" s="539">
        <f>SUMIF(123:123,I42,124:124)-SUMIF(123:123,C42,124:124)+100</f>
        <v>100</v>
      </c>
      <c r="K42" s="583">
        <v>2</v>
      </c>
      <c r="L42" s="2142"/>
      <c r="M42" s="2132"/>
      <c r="N42" s="2132"/>
      <c r="O42" s="2141"/>
      <c r="P42" s="3406"/>
      <c r="Q42" s="1571" t="str">
        <f t="shared" si="14"/>
        <v>临街宽度及深度</v>
      </c>
      <c r="R42" s="1572" t="s">
        <v>8</v>
      </c>
      <c r="S42" s="1573">
        <f t="shared" si="10"/>
        <v>100</v>
      </c>
      <c r="T42" s="1572" t="s">
        <v>8</v>
      </c>
      <c r="U42" s="1573">
        <f t="shared" si="11"/>
        <v>100</v>
      </c>
      <c r="V42" s="1572" t="s">
        <v>8</v>
      </c>
      <c r="W42" s="1573">
        <f t="shared" si="12"/>
        <v>100</v>
      </c>
      <c r="X42" s="1566"/>
      <c r="Y42" s="3406"/>
      <c r="Z42" s="1574" t="str">
        <f t="shared" si="13"/>
        <v>临街宽度及深度</v>
      </c>
      <c r="AA42" s="1575">
        <f t="shared" si="3"/>
        <v>1</v>
      </c>
      <c r="AB42" s="1575">
        <f t="shared" si="4"/>
        <v>1</v>
      </c>
      <c r="AC42" s="1575">
        <f t="shared" si="5"/>
        <v>1</v>
      </c>
    </row>
    <row r="43" spans="1:29" s="1218" customFormat="1" ht="20.25">
      <c r="A43" s="599"/>
      <c r="B43" s="1895" t="s">
        <v>2428</v>
      </c>
      <c r="C43" s="600" t="s">
        <v>3218</v>
      </c>
      <c r="D43" s="254">
        <v>100</v>
      </c>
      <c r="E43" s="600" t="s">
        <v>3218</v>
      </c>
      <c r="F43" s="539">
        <f>SUMIF(125:125,E43,126:126)-SUMIF(125:125,C43,126:126)+100</f>
        <v>100</v>
      </c>
      <c r="G43" s="600" t="s">
        <v>3218</v>
      </c>
      <c r="H43" s="539">
        <f>SUMIF(125:125,G43,126:126)-SUMIF(125:125,C43,126:126)+100</f>
        <v>100</v>
      </c>
      <c r="I43" s="600" t="s">
        <v>3218</v>
      </c>
      <c r="J43" s="539">
        <f>SUMIF(125:125,I43,126:126)-SUMIF(125:125,C43,126:126)+100</f>
        <v>100</v>
      </c>
      <c r="K43" s="583">
        <v>2</v>
      </c>
      <c r="L43" s="2135"/>
      <c r="M43" s="2132"/>
      <c r="N43" s="2132"/>
      <c r="O43" s="2137"/>
      <c r="P43" s="3406"/>
      <c r="Q43" s="1571" t="str">
        <f t="shared" si="14"/>
        <v>宗地开发程度</v>
      </c>
      <c r="R43" s="1567" t="s">
        <v>8</v>
      </c>
      <c r="S43" s="1568">
        <f t="shared" si="10"/>
        <v>100</v>
      </c>
      <c r="T43" s="1567" t="s">
        <v>8</v>
      </c>
      <c r="U43" s="1568">
        <f t="shared" si="11"/>
        <v>100</v>
      </c>
      <c r="V43" s="1567" t="s">
        <v>8</v>
      </c>
      <c r="W43" s="1568">
        <f t="shared" si="12"/>
        <v>100</v>
      </c>
      <c r="X43" s="1569"/>
      <c r="Y43" s="3406"/>
      <c r="Z43" s="1148" t="str">
        <f t="shared" si="13"/>
        <v>宗地开发程度</v>
      </c>
      <c r="AA43" s="1570">
        <f t="shared" si="3"/>
        <v>1</v>
      </c>
      <c r="AB43" s="1570">
        <f t="shared" si="4"/>
        <v>1</v>
      </c>
      <c r="AC43" s="1570">
        <f t="shared" si="5"/>
        <v>1</v>
      </c>
    </row>
    <row r="44" spans="1:29" ht="20.25">
      <c r="A44" s="593"/>
      <c r="B44" s="526" t="s">
        <v>555</v>
      </c>
      <c r="C44" s="598" t="s">
        <v>3174</v>
      </c>
      <c r="D44" s="539">
        <v>100</v>
      </c>
      <c r="E44" s="598" t="s">
        <v>3174</v>
      </c>
      <c r="F44" s="539">
        <f>SUMIF(127:127,E44,128:128)-SUMIF(127:127,C44,128:128)+100</f>
        <v>100</v>
      </c>
      <c r="G44" s="598" t="s">
        <v>3174</v>
      </c>
      <c r="H44" s="539">
        <f>SUMIF(127:127,G44,128:128)-SUMIF(127:127,C44,128:128)+100</f>
        <v>100</v>
      </c>
      <c r="I44" s="598" t="s">
        <v>3174</v>
      </c>
      <c r="J44" s="539">
        <f>SUMIF(127:127,I44,128:128)-SUMIF(127:127,C44,128:128)+100</f>
        <v>100</v>
      </c>
      <c r="K44" s="583">
        <v>2</v>
      </c>
      <c r="L44" s="2142"/>
      <c r="M44" s="2132"/>
      <c r="N44" s="2132"/>
      <c r="O44" s="2141"/>
      <c r="P44" s="3406" t="s">
        <v>550</v>
      </c>
      <c r="Q44" s="1571" t="str">
        <f t="shared" si="14"/>
        <v>工程地质条件</v>
      </c>
      <c r="R44" s="1572" t="s">
        <v>8</v>
      </c>
      <c r="S44" s="1573">
        <f t="shared" si="10"/>
        <v>100</v>
      </c>
      <c r="T44" s="1572" t="s">
        <v>8</v>
      </c>
      <c r="U44" s="1573">
        <f t="shared" si="11"/>
        <v>100</v>
      </c>
      <c r="V44" s="1572" t="s">
        <v>8</v>
      </c>
      <c r="W44" s="1573">
        <f t="shared" si="12"/>
        <v>100</v>
      </c>
      <c r="X44" s="1566"/>
      <c r="Y44" s="3406" t="s">
        <v>550</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6"/>
      <c r="Q45" s="1571">
        <f t="shared" si="14"/>
        <v>111</v>
      </c>
      <c r="R45" s="1572" t="s">
        <v>8</v>
      </c>
      <c r="S45" s="1573">
        <f t="shared" si="10"/>
        <v>100</v>
      </c>
      <c r="T45" s="1572" t="s">
        <v>8</v>
      </c>
      <c r="U45" s="1573">
        <f t="shared" si="11"/>
        <v>100</v>
      </c>
      <c r="V45" s="1572" t="s">
        <v>8</v>
      </c>
      <c r="W45" s="1573">
        <f t="shared" si="12"/>
        <v>100</v>
      </c>
      <c r="X45" s="1566"/>
      <c r="Y45" s="3406"/>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6"/>
      <c r="Q46" s="1571">
        <f t="shared" si="14"/>
        <v>111</v>
      </c>
      <c r="R46" s="1572" t="s">
        <v>8</v>
      </c>
      <c r="S46" s="1573">
        <f t="shared" si="10"/>
        <v>100</v>
      </c>
      <c r="T46" s="1572" t="s">
        <v>8</v>
      </c>
      <c r="U46" s="1573">
        <f t="shared" si="11"/>
        <v>100</v>
      </c>
      <c r="V46" s="1572" t="s">
        <v>8</v>
      </c>
      <c r="W46" s="1573">
        <f t="shared" si="12"/>
        <v>100</v>
      </c>
      <c r="X46" s="1566"/>
      <c r="Y46" s="3406"/>
      <c r="Z46" s="1574">
        <f t="shared" si="13"/>
        <v>111</v>
      </c>
      <c r="AA46" s="1575">
        <f t="shared" si="3"/>
        <v>1</v>
      </c>
      <c r="AB46" s="1575">
        <f t="shared" si="4"/>
        <v>1</v>
      </c>
      <c r="AC46" s="1575">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6"/>
      <c r="Q47" s="1571">
        <f t="shared" si="14"/>
        <v>111</v>
      </c>
      <c r="R47" s="1576" t="s">
        <v>8</v>
      </c>
      <c r="S47" s="1577">
        <f t="shared" si="10"/>
        <v>100</v>
      </c>
      <c r="T47" s="1576" t="s">
        <v>8</v>
      </c>
      <c r="U47" s="1577">
        <f t="shared" si="11"/>
        <v>100</v>
      </c>
      <c r="V47" s="1576" t="s">
        <v>8</v>
      </c>
      <c r="W47" s="1577">
        <f t="shared" si="12"/>
        <v>100</v>
      </c>
      <c r="X47" s="1578"/>
      <c r="Y47" s="3406"/>
      <c r="Z47" s="1579">
        <f t="shared" si="13"/>
        <v>111</v>
      </c>
      <c r="AA47" s="1575">
        <f t="shared" si="3"/>
        <v>1</v>
      </c>
      <c r="AB47" s="1575">
        <f t="shared" si="4"/>
        <v>1</v>
      </c>
      <c r="AC47" s="1575">
        <f t="shared" si="5"/>
        <v>1</v>
      </c>
    </row>
    <row r="48" spans="1:29" ht="20.25">
      <c r="A48" s="606" t="s">
        <v>556</v>
      </c>
      <c r="B48" s="607" t="s">
        <v>3280</v>
      </c>
      <c r="C48" s="608" t="s">
        <v>1</v>
      </c>
      <c r="D48" s="609"/>
      <c r="E48" s="610">
        <f>土地案例!L19</f>
        <v>9243</v>
      </c>
      <c r="F48" s="611"/>
      <c r="G48" s="612">
        <f>土地案例!L14</f>
        <v>8490</v>
      </c>
      <c r="H48" s="613"/>
      <c r="I48" s="610">
        <f>土地案例!L17</f>
        <v>8771</v>
      </c>
      <c r="J48" s="613"/>
      <c r="K48" s="1338"/>
      <c r="L48" s="2144"/>
      <c r="M48" s="2132"/>
      <c r="N48" s="2132"/>
      <c r="O48" s="2145"/>
      <c r="P48" s="3369" t="str">
        <f>A48</f>
        <v>成交单价</v>
      </c>
      <c r="Q48" s="3369"/>
      <c r="R48" s="3370">
        <f>E48</f>
        <v>9243</v>
      </c>
      <c r="S48" s="3370"/>
      <c r="T48" s="3370">
        <f>G48</f>
        <v>8490</v>
      </c>
      <c r="U48" s="3370"/>
      <c r="V48" s="3370">
        <f>I48</f>
        <v>8771</v>
      </c>
      <c r="W48" s="3370"/>
      <c r="X48" s="1558"/>
      <c r="Y48" s="1580"/>
      <c r="Z48" s="1558"/>
      <c r="AA48" s="1558"/>
      <c r="AB48" s="1558"/>
      <c r="AC48" s="1558"/>
    </row>
    <row r="49" spans="1:29" ht="21" thickBot="1">
      <c r="A49" s="614" t="s">
        <v>2697</v>
      </c>
      <c r="B49" s="615"/>
      <c r="C49" s="616">
        <f>R50</f>
        <v>9930</v>
      </c>
      <c r="D49" s="617"/>
      <c r="E49" s="616">
        <f>R49</f>
        <v>10452</v>
      </c>
      <c r="F49" s="618"/>
      <c r="G49" s="619">
        <f>T49</f>
        <v>9511</v>
      </c>
      <c r="H49" s="617"/>
      <c r="I49" s="616">
        <f>V49</f>
        <v>9826</v>
      </c>
      <c r="J49" s="617"/>
      <c r="K49" s="1339"/>
      <c r="L49" s="2144"/>
      <c r="M49" s="2132"/>
      <c r="N49" s="2132"/>
      <c r="O49" s="2145"/>
      <c r="P49" s="3369" t="str">
        <f>A49</f>
        <v>比较价格（元/平方米）</v>
      </c>
      <c r="Q49" s="3369"/>
      <c r="R49" s="3371">
        <f>ROUND(PRODUCT(R48,AA9:AA47),0)</f>
        <v>10452</v>
      </c>
      <c r="S49" s="3371"/>
      <c r="T49" s="3371">
        <f>ROUND(PRODUCT(T48,AB9:AB47),0)</f>
        <v>9511</v>
      </c>
      <c r="U49" s="3371"/>
      <c r="V49" s="3371">
        <f>ROUND(PRODUCT(V48,AC9:AC47),0)</f>
        <v>9826</v>
      </c>
      <c r="W49" s="3371"/>
      <c r="X49" s="1558"/>
      <c r="Y49" s="1558"/>
      <c r="Z49" s="1558"/>
      <c r="AA49" s="1558"/>
      <c r="AB49" s="1558"/>
      <c r="AC49" s="1558"/>
    </row>
    <row r="50" spans="1:29" ht="21" thickBot="1">
      <c r="A50" s="620" t="s">
        <v>2936</v>
      </c>
      <c r="B50" s="621"/>
      <c r="C50" s="622">
        <f>R50</f>
        <v>9930</v>
      </c>
      <c r="D50" s="622"/>
      <c r="E50" s="622"/>
      <c r="F50" s="622"/>
      <c r="G50" s="622"/>
      <c r="H50" s="622"/>
      <c r="I50" s="622"/>
      <c r="J50" s="622"/>
      <c r="K50" s="1340"/>
      <c r="L50" s="2144"/>
      <c r="M50" s="2132"/>
      <c r="N50" s="2132"/>
      <c r="O50" s="2145"/>
      <c r="P50" s="3366" t="str">
        <f>A50</f>
        <v>估价对象XX用房的比较价格（楼面单价，元/平方米）</v>
      </c>
      <c r="Q50" s="3367"/>
      <c r="R50" s="3368">
        <f>ROUND(AVERAGE(R49:V49),0)</f>
        <v>9930</v>
      </c>
      <c r="S50" s="3368"/>
      <c r="T50" s="3368"/>
      <c r="U50" s="3368"/>
      <c r="V50" s="3368"/>
      <c r="W50" s="336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0.13080168776371304</v>
      </c>
      <c r="F53" s="626" t="str">
        <f>IF(OR(E53&gt;=0.3,E53&lt;=-0.3),"超过30%","")</f>
        <v/>
      </c>
      <c r="G53" s="625">
        <f>IF(G48&lt;G49,G49/G48-1,G48/G49-1)</f>
        <v>0.12025912838633679</v>
      </c>
      <c r="H53" s="626" t="str">
        <f>IF(OR(G53&gt;=0.3,G53&lt;=-0.3),"超过30%","")</f>
        <v/>
      </c>
      <c r="I53" s="625">
        <f>IF(I48&lt;I49,I49/I48-1,I48/I49-1)</f>
        <v>0.12028274997149691</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9.8938071706445196E-2</v>
      </c>
      <c r="F54" s="626" t="str">
        <f>IF(OR(E54&gt;=0.2,E54&lt;=-0.2),"超过20%","")</f>
        <v/>
      </c>
      <c r="G54" s="625">
        <f>IF(G49&lt;I49,I49/G49-1,G49/I49-1)</f>
        <v>3.3119545789086269E-2</v>
      </c>
      <c r="H54" s="626" t="str">
        <f>IF(OR(G54&gt;=0.2,G54&lt;=-0.2),"超过20%","")</f>
        <v/>
      </c>
      <c r="I54" s="625">
        <f>IF(I49&lt;E49,E49/I49-1,I49/E49-1)</f>
        <v>6.3708528394056607E-2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f>IF(E48&lt;G48,G48/E48-1,E48/G48-1)</f>
        <v>8.8692579505300406E-2</v>
      </c>
      <c r="F55" s="626" t="str">
        <f>IF(OR(E55&gt;=0.3,E55&lt;=-0.3),"超过30%","")</f>
        <v/>
      </c>
      <c r="G55" s="625">
        <f>IF(G48&lt;I48,I48/G48-1,G48/I48-1)</f>
        <v>3.3097762073027059E-2</v>
      </c>
      <c r="H55" s="626" t="str">
        <f>IF(OR(G55&gt;=0.3,G55&lt;=-0.3),"超过30%","")</f>
        <v/>
      </c>
      <c r="I55" s="625">
        <f>IF(I48&lt;E48,E48/I48-1,I48/E48-1)</f>
        <v>5.3813704252650751E-2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1725</v>
      </c>
      <c r="D57" s="2227" t="s">
        <v>2296</v>
      </c>
      <c r="E57" s="630" t="s">
        <v>562</v>
      </c>
      <c r="F57" s="631" t="s">
        <v>563</v>
      </c>
      <c r="G57" s="3395" t="s">
        <v>2284</v>
      </c>
      <c r="H57" s="3396"/>
      <c r="I57" s="1554" t="s">
        <v>1723</v>
      </c>
      <c r="J57" s="1554" t="str">
        <f>项目基本情况!F41</f>
        <v>江苏省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564</v>
      </c>
      <c r="B58" s="633">
        <f>C50</f>
        <v>9930</v>
      </c>
      <c r="C58" s="634">
        <v>1</v>
      </c>
      <c r="D58" s="2228">
        <v>1</v>
      </c>
      <c r="E58" s="634">
        <f>'数据-汇总表'!E8+'数据-汇总表'!E9</f>
        <v>41326</v>
      </c>
      <c r="F58" s="635">
        <f t="shared" ref="F58:F67" si="15">ROUND(B58*E58/10000,0)</f>
        <v>41037</v>
      </c>
      <c r="G58" s="3397"/>
      <c r="H58" s="339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565</v>
      </c>
      <c r="B59" s="637">
        <f>ROUND($C$50*C59*D59,0)</f>
        <v>0</v>
      </c>
      <c r="C59" s="377">
        <f t="shared" ref="C59:C67" si="16">IF($C$57="北京市系数",I59,J59)</f>
        <v>0</v>
      </c>
      <c r="D59" s="2229">
        <v>0.25</v>
      </c>
      <c r="E59" s="638">
        <v>0</v>
      </c>
      <c r="F59" s="635">
        <f t="shared" si="15"/>
        <v>0</v>
      </c>
      <c r="G59" s="3399"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566</v>
      </c>
      <c r="B60" s="637">
        <f t="shared" ref="B60:B67" si="17">ROUND($C$50*C60*D60,0)</f>
        <v>0</v>
      </c>
      <c r="C60" s="377">
        <f t="shared" si="16"/>
        <v>0</v>
      </c>
      <c r="D60" s="2229">
        <v>0.25</v>
      </c>
      <c r="E60" s="638">
        <v>0</v>
      </c>
      <c r="F60" s="635">
        <f t="shared" si="15"/>
        <v>0</v>
      </c>
      <c r="G60" s="339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567</v>
      </c>
      <c r="B61" s="637">
        <f t="shared" si="17"/>
        <v>0</v>
      </c>
      <c r="C61" s="377">
        <f t="shared" si="16"/>
        <v>0</v>
      </c>
      <c r="D61" s="2229">
        <v>0.25</v>
      </c>
      <c r="E61" s="638">
        <v>0</v>
      </c>
      <c r="F61" s="635">
        <f t="shared" si="15"/>
        <v>0</v>
      </c>
      <c r="G61" s="339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568</v>
      </c>
      <c r="B62" s="637">
        <f t="shared" si="17"/>
        <v>0</v>
      </c>
      <c r="C62" s="377">
        <f t="shared" si="16"/>
        <v>0</v>
      </c>
      <c r="D62" s="2229">
        <v>0.25</v>
      </c>
      <c r="E62" s="638">
        <v>0</v>
      </c>
      <c r="F62" s="635">
        <f t="shared" si="15"/>
        <v>0</v>
      </c>
      <c r="G62" s="339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7">
        <f t="shared" si="17"/>
        <v>0</v>
      </c>
      <c r="C63" s="377">
        <f t="shared" si="16"/>
        <v>0</v>
      </c>
      <c r="D63" s="2229">
        <v>0.25</v>
      </c>
      <c r="E63" s="640">
        <f>'数据-汇总表'!E11</f>
        <v>0</v>
      </c>
      <c r="F63" s="635">
        <f t="shared" si="15"/>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570</v>
      </c>
      <c r="B65" s="637">
        <f t="shared" si="17"/>
        <v>0</v>
      </c>
      <c r="C65" s="377">
        <f t="shared" si="16"/>
        <v>0</v>
      </c>
      <c r="D65" s="2229">
        <v>0.25</v>
      </c>
      <c r="E65" s="640">
        <f>'数据-汇总表'!E13</f>
        <v>12024.36</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571</v>
      </c>
      <c r="B66" s="637">
        <f t="shared" si="17"/>
        <v>0</v>
      </c>
      <c r="C66" s="377">
        <f t="shared" si="16"/>
        <v>0</v>
      </c>
      <c r="D66" s="2229">
        <v>0.25</v>
      </c>
      <c r="E66" s="640">
        <f>'数据-汇总表'!E14</f>
        <v>0</v>
      </c>
      <c r="F66" s="635">
        <f t="shared" si="15"/>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572</v>
      </c>
      <c r="B67" s="637">
        <f t="shared" si="17"/>
        <v>0</v>
      </c>
      <c r="C67" s="377">
        <f t="shared" si="16"/>
        <v>0</v>
      </c>
      <c r="D67" s="2229">
        <v>0.25</v>
      </c>
      <c r="E67" s="640">
        <f>'数据-汇总表'!E15</f>
        <v>0</v>
      </c>
      <c r="F67" s="635">
        <f t="shared" si="15"/>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573</v>
      </c>
      <c r="B68" s="642" t="s">
        <v>17</v>
      </c>
      <c r="C68" s="642" t="s">
        <v>18</v>
      </c>
      <c r="D68" s="642" t="s">
        <v>2297</v>
      </c>
      <c r="E68" s="642">
        <f>IF(B48="楼面地价",SUM(E58:E67),'数据-汇总表'!D3)</f>
        <v>25829</v>
      </c>
      <c r="F68" s="643">
        <f>IF(B48="楼面地价",SUM(F58:F67),ROUND(C50*E68/10000,0))</f>
        <v>25648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2" t="s">
        <v>2536</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30" t="s">
        <v>2651</v>
      </c>
      <c r="B73" s="478" t="str">
        <f>"北京市平均增长率"&amp;TEXT(SUMIF(基准地价!N21:N25,A73,基准地价!P21:P25),"0.00%")</f>
        <v>北京市平均增长率2.27%</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820" t="s">
        <v>2650</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8"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87" t="s">
        <v>3146</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102</v>
      </c>
      <c r="E83" s="678">
        <f t="shared" ref="E83:M83" si="21">IF($B$48="单位面积地价",D83+$K13,D83-$K13)</f>
        <v>104</v>
      </c>
      <c r="F83" s="678">
        <f t="shared" si="21"/>
        <v>106</v>
      </c>
      <c r="G83" s="678">
        <f t="shared" si="21"/>
        <v>108</v>
      </c>
      <c r="H83" s="678">
        <f t="shared" si="21"/>
        <v>110</v>
      </c>
      <c r="I83" s="678">
        <f t="shared" si="21"/>
        <v>112</v>
      </c>
      <c r="J83" s="678">
        <f t="shared" si="21"/>
        <v>114</v>
      </c>
      <c r="K83" s="678">
        <f t="shared" si="21"/>
        <v>116</v>
      </c>
      <c r="L83" s="678">
        <f t="shared" si="21"/>
        <v>118</v>
      </c>
      <c r="M83" s="678">
        <f t="shared" si="21"/>
        <v>120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2552</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621" t="s">
        <v>2554</v>
      </c>
      <c r="C104" s="2622" t="s">
        <v>2555</v>
      </c>
      <c r="D104" s="2622" t="s">
        <v>2556</v>
      </c>
      <c r="E104" s="2622" t="s">
        <v>2557</v>
      </c>
      <c r="F104" s="2622" t="s">
        <v>2558</v>
      </c>
      <c r="G104" s="2622" t="s">
        <v>2559</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1" t="s">
        <v>3236</v>
      </c>
      <c r="D108" s="3191" t="s">
        <v>3238</v>
      </c>
      <c r="E108" s="3191" t="s">
        <v>3239</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114" t="str">
        <f t="shared" si="25"/>
        <v>(含)-</v>
      </c>
      <c r="K118" s="3114" t="str">
        <f t="shared" si="25"/>
        <v>(含)-</v>
      </c>
      <c r="L118" s="3115" t="str">
        <f t="shared" si="25"/>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2" t="s">
        <v>3240</v>
      </c>
      <c r="D121" s="3192" t="s">
        <v>3241</v>
      </c>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1" t="s">
        <v>3243</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2429</v>
      </c>
      <c r="C125" s="3191" t="s">
        <v>3213</v>
      </c>
      <c r="D125" s="3191" t="s">
        <v>3215</v>
      </c>
      <c r="E125" s="3191" t="s">
        <v>3216</v>
      </c>
      <c r="F125" s="3191" t="s">
        <v>3217</v>
      </c>
      <c r="G125" s="3191" t="s">
        <v>3219</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1" t="s">
        <v>3244</v>
      </c>
      <c r="D127" s="3191" t="s">
        <v>3245</v>
      </c>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3" sqref="L1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9</v>
      </c>
    </row>
    <row r="2" spans="1:31" s="2041" customFormat="1" ht="18" customHeight="1">
      <c r="A2" s="2101" t="s">
        <v>467</v>
      </c>
      <c r="B2" s="2105">
        <f ca="1">C36</f>
        <v>30525</v>
      </c>
      <c r="C2" s="2104"/>
      <c r="D2" s="2104"/>
      <c r="E2" s="2104"/>
      <c r="F2" s="2104"/>
      <c r="G2" s="2104"/>
      <c r="H2" s="2104"/>
      <c r="I2" s="2104"/>
      <c r="J2" s="2104"/>
      <c r="K2" s="2104"/>
    </row>
    <row r="3" spans="1:31" s="2041" customFormat="1" ht="18" customHeight="1">
      <c r="A3" s="2106" t="s">
        <v>1685</v>
      </c>
      <c r="B3" s="2107">
        <f ca="1">ROUND(B2*10000/IF(B1="",'数据-汇总表'!E3,INDIRECT("'数据-取费表'!K"&amp;$K$1)),0)</f>
        <v>5722</v>
      </c>
      <c r="C3" s="2104"/>
      <c r="D3" s="2104"/>
      <c r="E3" s="2104"/>
      <c r="F3" s="2104"/>
      <c r="G3" s="2104"/>
      <c r="H3" s="2104"/>
      <c r="I3" s="2104"/>
      <c r="J3" s="2104"/>
      <c r="K3" s="2104"/>
    </row>
    <row r="4" spans="1:31" s="2041" customFormat="1" ht="18" customHeight="1">
      <c r="A4" s="425" t="s">
        <v>468</v>
      </c>
      <c r="B4" s="426">
        <f ca="1">ROUND(B2*10000/IF(B1="",'数据-汇总表'!D3,INDIRECT("'数据-取费表'!R"&amp;$K$1)),0)</f>
        <v>11818</v>
      </c>
      <c r="C4" s="427"/>
      <c r="D4" s="421"/>
      <c r="E4" s="421"/>
      <c r="F4" s="421"/>
      <c r="G4" s="421"/>
      <c r="H4" s="421"/>
      <c r="I4" s="421"/>
      <c r="J4" s="421"/>
      <c r="K4" s="421"/>
    </row>
    <row r="5" spans="1:31" s="2041" customFormat="1" ht="18" customHeight="1" thickBot="1">
      <c r="A5" s="428"/>
      <c r="B5" s="429">
        <f ca="1">ROUND(B2/(IF(B1="",'数据-汇总表'!D3,INDIRECT("'数据-取费表'!R"&amp;$K$1))/666.67),0)</f>
        <v>788</v>
      </c>
      <c r="C5" s="430" t="s">
        <v>469</v>
      </c>
      <c r="D5" s="421"/>
      <c r="E5" s="421"/>
      <c r="F5" s="421"/>
      <c r="G5" s="421"/>
      <c r="H5" s="421"/>
      <c r="I5" s="421"/>
      <c r="J5" s="421"/>
      <c r="K5" s="421"/>
    </row>
    <row r="6" spans="1:31" s="2111" customFormat="1" ht="16.5" customHeight="1">
      <c r="A6" s="2852" t="s">
        <v>1843</v>
      </c>
      <c r="B6" s="2853"/>
      <c r="C6" s="2854">
        <f ca="1">SUM(C10:K10)</f>
        <v>61523</v>
      </c>
      <c r="D6" s="2853"/>
      <c r="E6" s="2853"/>
      <c r="F6" s="2853"/>
      <c r="G6" s="2853"/>
      <c r="H6" s="2853"/>
      <c r="I6" s="2853"/>
      <c r="J6" s="2853"/>
      <c r="K6" s="2855"/>
    </row>
    <row r="7" spans="1:31" s="2113" customFormat="1" ht="15">
      <c r="A7" s="2856" t="s">
        <v>470</v>
      </c>
      <c r="B7" s="2857" t="s">
        <v>471</v>
      </c>
      <c r="C7" s="435" t="s">
        <v>923</v>
      </c>
      <c r="D7" s="435" t="s">
        <v>3154</v>
      </c>
      <c r="E7" s="435" t="s">
        <v>3167</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1846</v>
      </c>
      <c r="B8" s="260" t="s">
        <v>472</v>
      </c>
      <c r="C8" s="2858">
        <f>'不动产比较法-住宅'!C49</f>
        <v>14245</v>
      </c>
      <c r="D8" s="2858">
        <f>'不动产比较法-商业'!C49</f>
        <v>21009</v>
      </c>
      <c r="E8" s="2858">
        <f ca="1">不动产收益法!C43</f>
        <v>2586</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1847</v>
      </c>
      <c r="B9" s="260" t="s">
        <v>473</v>
      </c>
      <c r="C9" s="440">
        <f>SUMIF('数据-汇总表'!$C19:$C33,'剩余法-待开发'!C7,'数据-汇总表'!$E19:$E33)</f>
        <v>39893.33</v>
      </c>
      <c r="D9" s="440">
        <f>SUMIF('数据-汇总表'!$C19:$C33,'剩余法-待开发'!D7,'数据-汇总表'!$E19:$E33)</f>
        <v>754.88</v>
      </c>
      <c r="E9" s="440">
        <f>SUMIF('数据-汇总表'!$C19:$C33,'剩余法-待开发'!E7,'数据-汇总表'!$E19:$E33)</f>
        <v>12024.36</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ROUND(C8*C9/10000,0)</f>
        <v>56828</v>
      </c>
      <c r="D10" s="3052">
        <f t="shared" ref="D10:E10" si="0">ROUND(D8*D9/10000,0)</f>
        <v>1586</v>
      </c>
      <c r="E10" s="3052">
        <f t="shared" ca="1" si="0"/>
        <v>3109</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49">
        <f ca="1">IF(B1="",'数据-取费表'!P16,INDIRECT("'数据-取费表'!p"&amp;$K$1)+INDIRECT("'数据-取费表'!t"&amp;$K$1))</f>
        <v>12636</v>
      </c>
      <c r="D13" s="2868"/>
      <c r="E13" s="2869"/>
      <c r="F13" s="2870"/>
      <c r="G13" s="2836"/>
      <c r="H13" s="2837"/>
      <c r="I13" s="2837"/>
      <c r="J13" s="2837"/>
      <c r="K13" s="2838"/>
    </row>
    <row r="14" spans="1:31" s="2116" customFormat="1" ht="13.5" customHeight="1">
      <c r="A14" s="2866" t="s">
        <v>1850</v>
      </c>
      <c r="B14" s="2867" t="s">
        <v>480</v>
      </c>
      <c r="C14" s="53">
        <f ca="1">ROUND(C13*F14,0)</f>
        <v>379</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299</v>
      </c>
      <c r="D15" s="2868"/>
      <c r="E15" s="2869"/>
      <c r="F15" s="2871">
        <f>'数据-取费表'!B34</f>
        <v>0.03</v>
      </c>
      <c r="G15" s="2836" t="s">
        <v>483</v>
      </c>
      <c r="H15" s="2837"/>
      <c r="I15" s="2837"/>
      <c r="J15" s="2837"/>
      <c r="K15" s="2838"/>
    </row>
    <row r="16" spans="1:31" s="2117" customFormat="1" ht="13.5" customHeight="1">
      <c r="A16" s="2866" t="s">
        <v>1852</v>
      </c>
      <c r="B16" s="2867" t="s">
        <v>484</v>
      </c>
      <c r="C16" s="53">
        <f ca="1">ROUND(D16*E16/10000,0)</f>
        <v>800</v>
      </c>
      <c r="D16" s="2868">
        <f ca="1">IF(B1="",'数据-汇总表'!E3,INDIRECT("'数据-取费表'!K"&amp;$K$1)+INDIRECT("'数据-取费表'!S"&amp;$K$1))</f>
        <v>53350.36</v>
      </c>
      <c r="E16" s="53">
        <f>'数据-取费表'!B35</f>
        <v>150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190</v>
      </c>
      <c r="D17" s="474"/>
      <c r="E17" s="2872"/>
      <c r="F17" s="2873">
        <f>'数据-取费表'!B36</f>
        <v>1.4999999999999999E-2</v>
      </c>
      <c r="G17" s="260" t="s">
        <v>486</v>
      </c>
      <c r="H17" s="2839"/>
      <c r="I17" s="2839"/>
      <c r="J17" s="2839"/>
      <c r="K17" s="278"/>
    </row>
    <row r="18" spans="1:14" s="2116" customFormat="1" ht="13.5" customHeight="1">
      <c r="A18" s="2874" t="s">
        <v>1854</v>
      </c>
      <c r="B18" s="2875" t="s">
        <v>487</v>
      </c>
      <c r="C18" s="2876">
        <f ca="1">SUM(C13:C17)</f>
        <v>14304</v>
      </c>
      <c r="D18" s="2877"/>
      <c r="E18" s="467"/>
      <c r="F18" s="467"/>
      <c r="G18" s="2840" t="s">
        <v>2434</v>
      </c>
      <c r="H18" s="2841"/>
      <c r="I18" s="2841"/>
      <c r="J18" s="2841"/>
      <c r="K18" s="2842"/>
    </row>
    <row r="19" spans="1:14" s="2116" customFormat="1" ht="13.5" customHeight="1">
      <c r="A19" s="2874" t="s">
        <v>1855</v>
      </c>
      <c r="B19" s="2875" t="s">
        <v>488</v>
      </c>
      <c r="C19" s="2832">
        <f ca="1">ROUND(D19*E19/10000,0)</f>
        <v>534</v>
      </c>
      <c r="D19" s="2878">
        <f ca="1">D16</f>
        <v>53350.36</v>
      </c>
      <c r="E19" s="2832">
        <f>'数据-取费表'!B32</f>
        <v>100</v>
      </c>
      <c r="F19" s="467"/>
      <c r="G19" s="2836" t="s">
        <v>489</v>
      </c>
      <c r="H19" s="2837"/>
      <c r="I19" s="2841"/>
      <c r="J19" s="2841"/>
      <c r="K19" s="2842"/>
    </row>
    <row r="20" spans="1:14" s="2116" customFormat="1" ht="13.5" customHeight="1">
      <c r="A20" s="2874" t="s">
        <v>1856</v>
      </c>
      <c r="B20" s="2875" t="s">
        <v>490</v>
      </c>
      <c r="C20" s="2832">
        <f ca="1">C21+C22-IF(B1="",'数据-取费表'!B29,IF(G20="已全部缴纳",C21+C22,H20))</f>
        <v>400</v>
      </c>
      <c r="D20" s="2878"/>
      <c r="E20" s="2832"/>
      <c r="F20" s="2879"/>
      <c r="G20" s="3110" t="s">
        <v>3173</v>
      </c>
      <c r="H20" s="2834"/>
      <c r="I20" s="2835" t="s">
        <v>2655</v>
      </c>
      <c r="J20" s="2841"/>
      <c r="K20" s="2842"/>
    </row>
    <row r="21" spans="1:14" s="2116" customFormat="1" ht="13.5" customHeight="1">
      <c r="A21" s="2866" t="s">
        <v>1857</v>
      </c>
      <c r="B21" s="2867" t="s">
        <v>491</v>
      </c>
      <c r="C21" s="53">
        <f ca="1">ROUND(D21*E21/10000,0)</f>
        <v>299</v>
      </c>
      <c r="D21" s="2868">
        <f ca="1">IF(B1="",'数据-汇总表'!E5,IF(INDIRECT("'数据-取费表'!c"&amp;$K$1)="住宅",INDIRECT("'数据-取费表'!k"&amp;$K$1),0))</f>
        <v>39893.33</v>
      </c>
      <c r="E21" s="53">
        <f>'数据-取费表'!B27</f>
        <v>75</v>
      </c>
      <c r="F21" s="2871"/>
      <c r="G21" s="26"/>
      <c r="H21" s="51"/>
      <c r="I21" s="51"/>
      <c r="J21" s="51"/>
      <c r="K21" s="2843"/>
    </row>
    <row r="22" spans="1:14" s="2116" customFormat="1" ht="13.5" customHeight="1">
      <c r="A22" s="2866" t="s">
        <v>1858</v>
      </c>
      <c r="B22" s="2867" t="s">
        <v>492</v>
      </c>
      <c r="C22" s="53">
        <f ca="1">ROUND(D22*E22/10000,0)</f>
        <v>101</v>
      </c>
      <c r="D22" s="2868">
        <f ca="1">IF(B1="",'数据-汇总表'!E6,IF(INDIRECT("'数据-取费表'!c"&amp;$K$1)="住宅",INDIRECT("'数据-取费表'!s"&amp;$K$1),INDIRECT("'数据-取费表'!k"&amp;$K$1)+INDIRECT("'数据-取费表'!s"&amp;$K$1)))</f>
        <v>13457.029999999999</v>
      </c>
      <c r="E22" s="53">
        <f>'数据-取费表'!B28</f>
        <v>75</v>
      </c>
      <c r="F22" s="2871"/>
      <c r="G22" s="26"/>
      <c r="H22" s="51"/>
      <c r="I22" s="51"/>
      <c r="J22" s="51"/>
      <c r="K22" s="2843"/>
    </row>
    <row r="23" spans="1:14" s="2116" customFormat="1" ht="13.5" customHeight="1">
      <c r="A23" s="2874" t="s">
        <v>1859</v>
      </c>
      <c r="B23" s="3058" t="s">
        <v>2838</v>
      </c>
      <c r="C23" s="2876">
        <f ca="1">ROUND((C18+C19+C20)*F23,0)</f>
        <v>305</v>
      </c>
      <c r="D23" s="467"/>
      <c r="E23" s="467"/>
      <c r="F23" s="2880">
        <f>'数据-取费表'!B37</f>
        <v>0.02</v>
      </c>
      <c r="G23" s="2836" t="s">
        <v>2435</v>
      </c>
      <c r="H23" s="2837"/>
      <c r="I23" s="2837"/>
      <c r="J23" s="2837"/>
      <c r="K23" s="2838"/>
      <c r="L23" s="2118"/>
      <c r="M23" s="2118"/>
      <c r="N23" s="2118"/>
    </row>
    <row r="24" spans="1:14" s="2116" customFormat="1" ht="13.5" customHeight="1">
      <c r="A24" s="2874" t="s">
        <v>1860</v>
      </c>
      <c r="B24" s="3058" t="s">
        <v>2841</v>
      </c>
      <c r="C24" s="2876">
        <f ca="1">ROUND(C6*F24,0)</f>
        <v>1230</v>
      </c>
      <c r="D24" s="474"/>
      <c r="E24" s="472"/>
      <c r="F24" s="2880">
        <f>'数据-取费表'!B38</f>
        <v>0.02</v>
      </c>
      <c r="G24" s="2845" t="s">
        <v>499</v>
      </c>
      <c r="H24" s="2839"/>
      <c r="I24" s="2839"/>
      <c r="J24" s="2839"/>
      <c r="K24" s="278"/>
      <c r="L24" s="2118"/>
      <c r="M24" s="2118"/>
      <c r="N24" s="2118"/>
    </row>
    <row r="25" spans="1:14" s="2119" customFormat="1" ht="13.5" customHeight="1">
      <c r="A25" s="2874" t="s">
        <v>1861</v>
      </c>
      <c r="B25" s="3058" t="s">
        <v>2839</v>
      </c>
      <c r="C25" s="466">
        <f>ROUND(F25/(1+'数据-取费表'!C42),4)</f>
        <v>2.9000000000000001E-2</v>
      </c>
      <c r="D25" s="461" t="s">
        <v>2833</v>
      </c>
      <c r="E25" s="468"/>
      <c r="F25" s="2880">
        <f>'数据-取费表'!B48+'数据-取费表'!B49</f>
        <v>3.0499999999999999E-2</v>
      </c>
      <c r="G25" s="2844" t="s">
        <v>2292</v>
      </c>
      <c r="H25" s="2837"/>
      <c r="I25" s="2837"/>
      <c r="J25" s="2837"/>
      <c r="K25" s="2838"/>
    </row>
    <row r="26" spans="1:14" s="2118" customFormat="1" ht="13.5" customHeight="1">
      <c r="A26" s="2874" t="s">
        <v>1862</v>
      </c>
      <c r="B26" s="3059" t="s">
        <v>2840</v>
      </c>
      <c r="C26" s="2881">
        <f ca="1">C28</f>
        <v>797</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1857</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1858</v>
      </c>
      <c r="B28" s="2882" t="s">
        <v>2842</v>
      </c>
      <c r="C28" s="2884">
        <f ca="1">ROUND(IF('数据-取费表'!B22&lt;=1,(C18+C19+C20+C23+C24)*F26*'数据-取费表'!B24/2,(C18+C19+C20+C23+C24)*(POWER((1+F26),'数据-取费表'!B24/2)-1)),0)</f>
        <v>797</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1863</v>
      </c>
      <c r="B29" s="2875" t="s">
        <v>497</v>
      </c>
      <c r="C29" s="2876">
        <f ca="1">ROUND(C6*F29/(1+'数据-取费表'!C42),0)</f>
        <v>3223</v>
      </c>
      <c r="D29" s="467"/>
      <c r="E29" s="467"/>
      <c r="F29" s="3060">
        <f>'数据-取费表'!B41</f>
        <v>5.5000000000000007E-2</v>
      </c>
      <c r="G29" s="2845" t="s">
        <v>498</v>
      </c>
      <c r="H29" s="2837"/>
      <c r="I29" s="2837"/>
      <c r="J29" s="2837"/>
      <c r="K29" s="2838"/>
    </row>
    <row r="30" spans="1:14" s="2121" customFormat="1" ht="13.5" customHeight="1">
      <c r="A30" s="1634" t="s">
        <v>1864</v>
      </c>
      <c r="B30" s="2886" t="s">
        <v>500</v>
      </c>
      <c r="C30" s="2881">
        <f ca="1">C31</f>
        <v>20793</v>
      </c>
      <c r="D30" s="476">
        <f ca="1">C32</f>
        <v>0.12909999999999999</v>
      </c>
      <c r="E30" s="468" t="s">
        <v>495</v>
      </c>
      <c r="F30" s="470"/>
      <c r="G30" s="2844" t="s">
        <v>2975</v>
      </c>
      <c r="H30" s="2837"/>
      <c r="I30" s="2837"/>
      <c r="J30" s="2837"/>
      <c r="K30" s="2838"/>
    </row>
    <row r="31" spans="1:14" s="2120" customFormat="1" ht="13.5" customHeight="1">
      <c r="A31" s="802" t="s">
        <v>1857</v>
      </c>
      <c r="B31" s="2882"/>
      <c r="C31" s="449">
        <f ca="1">C18+C19+C20+C23+C24+C26+C29</f>
        <v>20793</v>
      </c>
      <c r="D31" s="471"/>
      <c r="E31" s="472"/>
      <c r="F31" s="473"/>
      <c r="G31" s="260"/>
      <c r="H31" s="2839"/>
      <c r="I31" s="2839"/>
      <c r="J31" s="2839"/>
      <c r="K31" s="278"/>
    </row>
    <row r="32" spans="1:14" s="2120" customFormat="1" ht="13.5" customHeight="1">
      <c r="A32" s="802" t="s">
        <v>1858</v>
      </c>
      <c r="B32" s="2882"/>
      <c r="C32" s="53">
        <f ca="1">ROUND(C25+D26,4)</f>
        <v>0.12909999999999999</v>
      </c>
      <c r="D32" s="471"/>
      <c r="E32" s="472"/>
      <c r="F32" s="473"/>
      <c r="G32" s="260"/>
      <c r="H32" s="2839"/>
      <c r="I32" s="2839"/>
      <c r="J32" s="2839"/>
      <c r="K32" s="278"/>
    </row>
    <row r="33" spans="1:11" s="2122" customFormat="1" ht="13.5" customHeight="1">
      <c r="A33" s="3057" t="s">
        <v>2837</v>
      </c>
      <c r="B33" s="3055" t="s">
        <v>2835</v>
      </c>
      <c r="C33" s="477">
        <f ca="1">C35</f>
        <v>2180</v>
      </c>
      <c r="D33" s="466">
        <f ca="1">C34</f>
        <v>0.1338</v>
      </c>
      <c r="E33" s="468" t="s">
        <v>495</v>
      </c>
      <c r="F33" s="478">
        <f ca="1">IF(B1="",'数据-取费表'!Q16,INDIRECT("'数据-取费表'!q"&amp;$K$1))</f>
        <v>0.13</v>
      </c>
      <c r="G33" s="2840"/>
      <c r="H33" s="2841"/>
      <c r="I33" s="2841"/>
      <c r="J33" s="2841"/>
      <c r="K33" s="2842"/>
    </row>
    <row r="34" spans="1:11" s="2123" customFormat="1" ht="13.5" customHeight="1">
      <c r="A34" s="374" t="s">
        <v>1857</v>
      </c>
      <c r="B34" s="2887" t="s">
        <v>501</v>
      </c>
      <c r="C34" s="471">
        <f ca="1">ROUND((1+C25)*F33,4)</f>
        <v>0.1338</v>
      </c>
      <c r="D34" s="471"/>
      <c r="E34" s="472"/>
      <c r="F34" s="479"/>
      <c r="G34" s="260" t="s">
        <v>2293</v>
      </c>
      <c r="H34" s="2839"/>
      <c r="I34" s="2839"/>
      <c r="J34" s="2839"/>
      <c r="K34" s="278"/>
    </row>
    <row r="35" spans="1:11" s="2123" customFormat="1" ht="13.5" customHeight="1" thickBot="1">
      <c r="A35" s="1635" t="s">
        <v>1858</v>
      </c>
      <c r="B35" s="3056" t="s">
        <v>2843</v>
      </c>
      <c r="C35" s="1627">
        <f ca="1">ROUND((C18+C19+C20+C23+C24)*F33,0)</f>
        <v>2180</v>
      </c>
      <c r="D35" s="1628"/>
      <c r="E35" s="2888"/>
      <c r="F35" s="1629"/>
      <c r="G35" s="2846"/>
      <c r="H35" s="2847"/>
      <c r="I35" s="2847"/>
      <c r="J35" s="2847"/>
      <c r="K35" s="2848"/>
    </row>
    <row r="36" spans="1:11" s="2085" customFormat="1" ht="13.5" customHeight="1" thickBot="1">
      <c r="A36" s="283" t="s">
        <v>1845</v>
      </c>
      <c r="B36" s="2850"/>
      <c r="C36" s="2889">
        <f ca="1">ROUND((C6-C30-C33)/(1+D30+D33),0)</f>
        <v>30525</v>
      </c>
      <c r="D36" s="2850"/>
      <c r="E36" s="2850"/>
      <c r="F36" s="2850"/>
      <c r="G36" s="2849" t="s">
        <v>2844</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01" t="str">
        <f>项目基本情况!B1</f>
        <v>江苏省宜兴市环科园绿园路北侧兴业路东侧一宗住宅、商业及地下车库用途出让国有建设用地使用权出让国有建设用地使用权抵押价格预评估</v>
      </c>
      <c r="C37" s="3201"/>
      <c r="D37" s="3201"/>
      <c r="E37" s="3201"/>
      <c r="F37" s="3201"/>
      <c r="G37" s="3201"/>
      <c r="H37" s="3201"/>
      <c r="I37" s="3201"/>
    </row>
    <row r="38" spans="1:9">
      <c r="A38" s="1655"/>
      <c r="B38" s="1655"/>
    </row>
    <row r="39" spans="1:9">
      <c r="A39" s="1653" t="s">
        <v>1902</v>
      </c>
      <c r="B39" s="1653" t="s">
        <v>2049</v>
      </c>
    </row>
    <row r="40" spans="1:9">
      <c r="A40" s="1653"/>
      <c r="B40" s="1653" t="str">
        <f>项目基本情况!B5</f>
        <v>苏州市梁雨庭置业有限公司</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刘梅、吴薇</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1685</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2656</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1849</v>
      </c>
      <c r="B13" s="448" t="s">
        <v>479</v>
      </c>
      <c r="C13" s="449">
        <f ca="1">IF(B1="",'数据-取费表'!M16,INDIRECT("'数据-取费表'!M"&amp;$K$1)+INDIRECT("'数据-取费表'!t"&amp;$K$1))</f>
        <v>12636</v>
      </c>
      <c r="D13" s="450"/>
      <c r="E13" s="364"/>
      <c r="F13" s="451"/>
      <c r="G13" s="443"/>
      <c r="H13" s="446"/>
      <c r="I13" s="446"/>
      <c r="J13" s="446"/>
      <c r="K13" s="447"/>
    </row>
    <row r="14" spans="1:41" s="2116" customFormat="1" ht="13.5" customHeight="1">
      <c r="A14" s="1632" t="s">
        <v>1850</v>
      </c>
      <c r="B14" s="448" t="s">
        <v>480</v>
      </c>
      <c r="C14" s="53">
        <f ca="1">ROUND(C13*F14,0)</f>
        <v>379</v>
      </c>
      <c r="D14" s="450"/>
      <c r="E14" s="364"/>
      <c r="F14" s="452">
        <f>'数据-取费表'!B33</f>
        <v>0.03</v>
      </c>
      <c r="G14" s="443" t="s">
        <v>502</v>
      </c>
      <c r="H14" s="446"/>
      <c r="I14" s="446"/>
      <c r="J14" s="446"/>
      <c r="K14" s="447"/>
    </row>
    <row r="15" spans="1:41" s="2116" customFormat="1" ht="13.5" customHeight="1">
      <c r="A15" s="1632" t="s">
        <v>1851</v>
      </c>
      <c r="B15" s="448" t="s">
        <v>482</v>
      </c>
      <c r="C15" s="53">
        <f ca="1">ROUND(IF(B1="",SUMIF('数据-取费表'!C:C,"住宅",'数据-取费表'!M:M)*F15,IF(INDIRECT("'数据-取费表'!c"&amp;$K$1)="住宅",INDIRECT("'数据-取费表'!M"&amp;$K$1)*F15,0)),0)</f>
        <v>299</v>
      </c>
      <c r="D15" s="450"/>
      <c r="E15" s="364"/>
      <c r="F15" s="452">
        <f>'数据-取费表'!B34</f>
        <v>0.03</v>
      </c>
      <c r="G15" s="443" t="s">
        <v>502</v>
      </c>
      <c r="H15" s="446"/>
      <c r="I15" s="446"/>
      <c r="J15" s="446"/>
      <c r="K15" s="447"/>
    </row>
    <row r="16" spans="1:41" s="2117" customFormat="1" ht="13.5" customHeight="1">
      <c r="A16" s="1632" t="s">
        <v>1852</v>
      </c>
      <c r="B16" s="448" t="s">
        <v>484</v>
      </c>
      <c r="C16" s="53">
        <f ca="1">ROUND(D16*E16/10000,0)</f>
        <v>800</v>
      </c>
      <c r="D16" s="450">
        <f ca="1">IF(B1="",'数据-汇总表'!E3,INDIRECT("'数据-取费表'!K"&amp;$K$1)+INDIRECT("'数据-取费表'!S"&amp;$K$1))</f>
        <v>53350.36</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8" t="s">
        <v>485</v>
      </c>
      <c r="C17" s="453">
        <f ca="1">ROUND(C13*F17,0)</f>
        <v>190</v>
      </c>
      <c r="D17" s="454"/>
      <c r="E17" s="453"/>
      <c r="F17" s="455">
        <f>'数据-取费表'!B36</f>
        <v>1.4999999999999999E-2</v>
      </c>
      <c r="G17" s="443" t="s">
        <v>502</v>
      </c>
      <c r="H17" s="456"/>
      <c r="I17" s="456"/>
      <c r="J17" s="456"/>
      <c r="K17" s="457"/>
    </row>
    <row r="18" spans="1:14" s="2119" customFormat="1" ht="13.5" customHeight="1">
      <c r="A18" s="1633" t="s">
        <v>1854</v>
      </c>
      <c r="B18" s="458" t="s">
        <v>487</v>
      </c>
      <c r="C18" s="459">
        <f ca="1">SUM(C13:C17)</f>
        <v>14304</v>
      </c>
      <c r="D18" s="460"/>
      <c r="E18" s="461"/>
      <c r="F18" s="461"/>
      <c r="G18" s="1325" t="s">
        <v>2436</v>
      </c>
      <c r="H18" s="446"/>
      <c r="I18" s="446"/>
      <c r="J18" s="446"/>
      <c r="K18" s="447"/>
    </row>
    <row r="19" spans="1:14" s="2119" customFormat="1" ht="13.5" customHeight="1">
      <c r="A19" s="1633" t="s">
        <v>1855</v>
      </c>
      <c r="B19" s="458" t="s">
        <v>493</v>
      </c>
      <c r="C19" s="459">
        <f ca="1">ROUND(C18*F19,0)</f>
        <v>286</v>
      </c>
      <c r="D19" s="461"/>
      <c r="E19" s="461"/>
      <c r="F19" s="465">
        <f>'数据-取费表'!B37</f>
        <v>0.02</v>
      </c>
      <c r="G19" s="443" t="s">
        <v>503</v>
      </c>
      <c r="H19" s="446"/>
      <c r="I19" s="446"/>
      <c r="J19" s="446"/>
      <c r="K19" s="447"/>
      <c r="L19" s="2121"/>
      <c r="M19" s="2121"/>
      <c r="N19" s="2121"/>
    </row>
    <row r="20" spans="1:14" s="2119" customFormat="1" ht="13.5" customHeight="1">
      <c r="A20" s="1633" t="s">
        <v>1856</v>
      </c>
      <c r="B20" s="458" t="s">
        <v>504</v>
      </c>
      <c r="C20" s="3053">
        <f>F20</f>
        <v>0.02</v>
      </c>
      <c r="D20" s="468" t="s">
        <v>505</v>
      </c>
      <c r="E20" s="468"/>
      <c r="F20" s="485">
        <f>'数据-取费表'!B38</f>
        <v>0.02</v>
      </c>
      <c r="G20" s="1325" t="s">
        <v>506</v>
      </c>
      <c r="H20" s="446"/>
      <c r="I20" s="446"/>
      <c r="J20" s="446"/>
      <c r="K20" s="447"/>
      <c r="L20" s="2121"/>
      <c r="M20" s="2121"/>
      <c r="N20" s="2121"/>
    </row>
    <row r="21" spans="1:14" s="2121" customFormat="1" ht="13.5" customHeight="1">
      <c r="A21" s="1633" t="s">
        <v>1859</v>
      </c>
      <c r="B21" s="460" t="s">
        <v>494</v>
      </c>
      <c r="C21" s="469">
        <f ca="1">C22</f>
        <v>693</v>
      </c>
      <c r="D21" s="466">
        <f ca="1">C23</f>
        <v>1E-3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2458</v>
      </c>
    </row>
    <row r="22" spans="1:14" s="2120" customFormat="1" ht="13.5" customHeight="1">
      <c r="A22" s="1632" t="s">
        <v>1849</v>
      </c>
      <c r="B22" s="1326" t="s">
        <v>2439</v>
      </c>
      <c r="C22" s="486">
        <f ca="1">ROUND(IF('数据-取费表'!B22&lt;=1,(C18+C19)*F21*'数据-取费表'!B20/2,(C18+C19)*(POWER((1+F21),'数据-取费表'!B20/2)-1)),0)</f>
        <v>693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1850</v>
      </c>
      <c r="B23" s="1326"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1860</v>
      </c>
      <c r="B24" s="3055" t="s">
        <v>2836</v>
      </c>
      <c r="C24" s="477">
        <f ca="1">C25</f>
        <v>1897</v>
      </c>
      <c r="D24" s="488">
        <f ca="1">C26</f>
        <v>2.5999999999999999E-3</v>
      </c>
      <c r="E24" s="468" t="s">
        <v>507</v>
      </c>
      <c r="F24" s="478">
        <f ca="1">IF(B1="",'数据-取费表'!Q16,INDIRECT("'数据-取费表'!q"&amp;$K$1))</f>
        <v>0.13</v>
      </c>
      <c r="G24" s="443"/>
      <c r="H24" s="446"/>
      <c r="I24" s="446"/>
      <c r="J24" s="446"/>
      <c r="K24" s="447"/>
    </row>
    <row r="25" spans="1:14" s="2120" customFormat="1" ht="13.5" customHeight="1">
      <c r="A25" s="1632" t="s">
        <v>1849</v>
      </c>
      <c r="B25" s="1326" t="s">
        <v>2440</v>
      </c>
      <c r="C25" s="489">
        <f ca="1">ROUND((C18+C19)*F24,0)</f>
        <v>1897</v>
      </c>
      <c r="D25" s="471"/>
      <c r="E25" s="472"/>
      <c r="F25" s="479"/>
      <c r="G25" s="1324" t="s">
        <v>2437</v>
      </c>
      <c r="H25" s="456"/>
      <c r="I25" s="456"/>
      <c r="J25" s="456"/>
      <c r="K25" s="457"/>
    </row>
    <row r="26" spans="1:14" s="2120" customFormat="1" ht="13.5" customHeight="1">
      <c r="A26" s="1632" t="s">
        <v>1850</v>
      </c>
      <c r="B26" s="1326" t="s">
        <v>509</v>
      </c>
      <c r="C26" s="490">
        <f ca="1">ROUND(F20*F24,4)</f>
        <v>2.5999999999999999E-3</v>
      </c>
      <c r="D26" s="471"/>
      <c r="E26" s="480"/>
      <c r="F26" s="479"/>
      <c r="G26" s="1324" t="s">
        <v>510</v>
      </c>
      <c r="H26" s="456"/>
      <c r="I26" s="456"/>
      <c r="J26" s="456"/>
      <c r="K26" s="457"/>
    </row>
    <row r="27" spans="1:14" s="2120" customFormat="1" ht="13.5" customHeight="1">
      <c r="A27" s="1636" t="s">
        <v>1868</v>
      </c>
      <c r="B27" s="458" t="s">
        <v>511</v>
      </c>
      <c r="C27" s="3054">
        <f>ROUND(F27/(1+'数据-取费表'!C42),4)</f>
        <v>5.2400000000000002E-2</v>
      </c>
      <c r="D27" s="461" t="s">
        <v>2834</v>
      </c>
      <c r="E27" s="461"/>
      <c r="F27" s="465">
        <f>'数据-取费表'!B41</f>
        <v>5.5000000000000007E-2</v>
      </c>
      <c r="G27" s="1960" t="s">
        <v>2294</v>
      </c>
      <c r="H27" s="446"/>
      <c r="I27" s="446"/>
      <c r="J27" s="446"/>
      <c r="K27" s="447"/>
    </row>
    <row r="28" spans="1:14" s="2121" customFormat="1" ht="13.5" customHeight="1">
      <c r="A28" s="1636" t="s">
        <v>1869</v>
      </c>
      <c r="B28" s="475" t="s">
        <v>512</v>
      </c>
      <c r="C28" s="469">
        <f ca="1">ROUND((C18+C19+C21+C24)/(1-C20-D21-D24-C27),0)</f>
        <v>18593</v>
      </c>
      <c r="D28" s="476"/>
      <c r="E28" s="468"/>
      <c r="F28" s="470"/>
      <c r="G28" s="1325" t="s">
        <v>2438</v>
      </c>
      <c r="H28" s="446"/>
      <c r="I28" s="446"/>
      <c r="J28" s="446"/>
      <c r="K28" s="447"/>
    </row>
    <row r="29" spans="1:14" s="2121" customFormat="1" ht="13.5" customHeight="1">
      <c r="A29" s="1636" t="s">
        <v>1870</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7" t="s">
        <v>515</v>
      </c>
      <c r="H30" s="495"/>
      <c r="I30" s="495"/>
      <c r="J30" s="446"/>
      <c r="K30" s="447"/>
    </row>
    <row r="31" spans="1:14" s="2126" customFormat="1" ht="13.5" customHeight="1">
      <c r="A31" s="2506" t="s">
        <v>1866</v>
      </c>
      <c r="B31" s="1328"/>
      <c r="C31" s="499">
        <f>ROUND(C6*F31/(1+'数据-取费表'!C42),0)</f>
        <v>0</v>
      </c>
      <c r="D31" s="1329"/>
      <c r="E31" s="1329"/>
      <c r="F31" s="500">
        <f>'数据-取费表'!B41</f>
        <v>5.5000000000000007E-2</v>
      </c>
      <c r="G31" s="1330"/>
      <c r="H31" s="1330"/>
      <c r="I31" s="1330"/>
      <c r="J31" s="1331"/>
      <c r="K31" s="1332"/>
    </row>
    <row r="32" spans="1:14" s="2085"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507" t="s">
        <v>2976</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N42" sqref="N42"/>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2647" t="s">
        <v>719</v>
      </c>
      <c r="C1" s="2648" t="s">
        <v>720</v>
      </c>
      <c r="D1" s="2649" t="s">
        <v>923</v>
      </c>
      <c r="E1" s="2650"/>
      <c r="F1" s="2831" t="s">
        <v>3180</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46">
        <f>ROUND(B3*D3/10000,0)</f>
        <v>56828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14245</v>
      </c>
      <c r="C3" s="851" t="s">
        <v>722</v>
      </c>
      <c r="D3" s="850">
        <f>SUMIF('数据-汇总表'!$C19:$C33,D1,'数据-汇总表'!$E19:$E33)</f>
        <v>39893.33</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375" t="s">
        <v>522</v>
      </c>
      <c r="D4" s="3376"/>
      <c r="E4" s="3410" t="s">
        <v>523</v>
      </c>
      <c r="F4" s="3411"/>
      <c r="G4" s="3375" t="s">
        <v>524</v>
      </c>
      <c r="H4" s="3376"/>
      <c r="I4" s="3375" t="s">
        <v>525</v>
      </c>
      <c r="J4" s="3376"/>
      <c r="K4" s="852" t="s">
        <v>526</v>
      </c>
      <c r="L4" s="2133"/>
      <c r="M4" s="2134"/>
      <c r="N4" s="2134"/>
      <c r="O4" s="2134"/>
      <c r="P4" s="3377" t="s">
        <v>527</v>
      </c>
      <c r="Q4" s="3378"/>
      <c r="R4" s="3383" t="s">
        <v>523</v>
      </c>
      <c r="S4" s="3384"/>
      <c r="T4" s="3383" t="s">
        <v>524</v>
      </c>
      <c r="U4" s="3384"/>
      <c r="V4" s="3370" t="s">
        <v>525</v>
      </c>
      <c r="W4" s="3370"/>
      <c r="X4" s="1566"/>
      <c r="Y4" s="3383" t="s">
        <v>527</v>
      </c>
      <c r="Z4" s="3384"/>
      <c r="AA4" s="3372" t="s">
        <v>523</v>
      </c>
      <c r="AB4" s="3372" t="s">
        <v>524</v>
      </c>
      <c r="AC4" s="3372" t="s">
        <v>525</v>
      </c>
    </row>
    <row r="5" spans="1:29" ht="15">
      <c r="A5" s="514"/>
      <c r="B5" s="515"/>
      <c r="C5" s="3391" t="s">
        <v>2930</v>
      </c>
      <c r="D5" s="3392"/>
      <c r="E5" s="3415" t="s">
        <v>3193</v>
      </c>
      <c r="F5" s="3416"/>
      <c r="G5" s="3412" t="s">
        <v>3222</v>
      </c>
      <c r="H5" s="3392"/>
      <c r="I5" s="3412" t="s">
        <v>3196</v>
      </c>
      <c r="J5" s="3392"/>
      <c r="K5" s="853"/>
      <c r="L5" s="2133"/>
      <c r="M5" s="2134"/>
      <c r="N5" s="2134"/>
      <c r="O5" s="2134"/>
      <c r="P5" s="3379"/>
      <c r="Q5" s="3380"/>
      <c r="R5" s="3385"/>
      <c r="S5" s="3386"/>
      <c r="T5" s="3385"/>
      <c r="U5" s="3386"/>
      <c r="V5" s="3370"/>
      <c r="W5" s="3370"/>
      <c r="X5" s="1566"/>
      <c r="Y5" s="3385"/>
      <c r="Z5" s="3386"/>
      <c r="AA5" s="3373"/>
      <c r="AB5" s="3373"/>
      <c r="AC5" s="3373"/>
    </row>
    <row r="6" spans="1:29" ht="15.75" thickBot="1">
      <c r="A6" s="516"/>
      <c r="B6" s="517"/>
      <c r="C6" s="3389" t="s">
        <v>2934</v>
      </c>
      <c r="D6" s="3390"/>
      <c r="E6" s="3413" t="s">
        <v>2934</v>
      </c>
      <c r="F6" s="3414"/>
      <c r="G6" s="3389" t="s">
        <v>2934</v>
      </c>
      <c r="H6" s="3390"/>
      <c r="I6" s="3389" t="s">
        <v>2934</v>
      </c>
      <c r="J6" s="3390"/>
      <c r="K6" s="853" t="s">
        <v>528</v>
      </c>
      <c r="L6" s="2133"/>
      <c r="M6" s="2134"/>
      <c r="N6" s="2134"/>
      <c r="O6" s="2134"/>
      <c r="P6" s="3381"/>
      <c r="Q6" s="3382"/>
      <c r="R6" s="3385"/>
      <c r="S6" s="3386"/>
      <c r="T6" s="3387"/>
      <c r="U6" s="3388"/>
      <c r="V6" s="3370"/>
      <c r="W6" s="3370"/>
      <c r="X6" s="1566"/>
      <c r="Y6" s="3387"/>
      <c r="Z6" s="3388"/>
      <c r="AA6" s="3374"/>
      <c r="AB6" s="3374"/>
      <c r="AC6" s="3374"/>
    </row>
    <row r="7" spans="1:29" s="1218" customFormat="1" ht="15.75" thickBot="1">
      <c r="A7" s="2935"/>
      <c r="B7" s="2942" t="s">
        <v>529</v>
      </c>
      <c r="C7" s="518">
        <f>'数据-取费表'!B2</f>
        <v>43249</v>
      </c>
      <c r="D7" s="519">
        <v>100</v>
      </c>
      <c r="E7" s="520">
        <v>43249</v>
      </c>
      <c r="F7" s="521">
        <f>SUMIF(58:58,YEAR(E7)&amp;"-"&amp;MONTH(E7),59:59)</f>
        <v>100</v>
      </c>
      <c r="G7" s="522">
        <f>E7</f>
        <v>43249</v>
      </c>
      <c r="H7" s="519">
        <f>SUMIF(58:58,YEAR(G7)&amp;"-"&amp;MONTH(G7),59:59)</f>
        <v>100</v>
      </c>
      <c r="I7" s="522">
        <f>E7</f>
        <v>43249</v>
      </c>
      <c r="J7" s="519">
        <f>SUMIF(58:58,YEAR(I7)&amp;"-"&amp;MONTH(I7),59:59)</f>
        <v>100</v>
      </c>
      <c r="K7" s="854"/>
      <c r="L7" s="2135"/>
      <c r="M7" s="2136"/>
      <c r="N7" s="2136"/>
      <c r="O7" s="2136"/>
      <c r="P7" s="3400" t="s">
        <v>530</v>
      </c>
      <c r="Q7" s="3402"/>
      <c r="R7" s="1567" t="s">
        <v>13</v>
      </c>
      <c r="S7" s="1568">
        <f t="shared" ref="S7:S15" si="0">F7</f>
        <v>100</v>
      </c>
      <c r="T7" s="1567" t="s">
        <v>13</v>
      </c>
      <c r="U7" s="1568">
        <f t="shared" ref="U7:U15" si="1">H7</f>
        <v>100</v>
      </c>
      <c r="V7" s="1567" t="s">
        <v>13</v>
      </c>
      <c r="W7" s="1568">
        <f t="shared" ref="W7:W15" si="2">J7</f>
        <v>100</v>
      </c>
      <c r="X7" s="1569"/>
      <c r="Y7" s="3400" t="s">
        <v>530</v>
      </c>
      <c r="Z7" s="3401"/>
      <c r="AA7" s="1570">
        <f>D7/F7</f>
        <v>1</v>
      </c>
      <c r="AB7" s="1570">
        <f>D7/H7</f>
        <v>1</v>
      </c>
      <c r="AC7" s="1570">
        <f>D7/J7</f>
        <v>1</v>
      </c>
    </row>
    <row r="8" spans="1:29" s="1218" customFormat="1" ht="15.75" thickBot="1">
      <c r="A8" s="2936"/>
      <c r="B8" s="2943" t="s">
        <v>531</v>
      </c>
      <c r="C8" s="524" t="s">
        <v>576</v>
      </c>
      <c r="D8" s="519">
        <v>100</v>
      </c>
      <c r="E8" s="855" t="s">
        <v>3144</v>
      </c>
      <c r="F8" s="521">
        <f>SUMIF(61:61,E8,62:62)-SUMIF(61:61,C8,62:62)+100</f>
        <v>100</v>
      </c>
      <c r="G8" s="524" t="s">
        <v>3144</v>
      </c>
      <c r="H8" s="519">
        <f>SUMIF(61:61,G8,62:62)-SUMIF(61:61,C8,62:62)+100</f>
        <v>100</v>
      </c>
      <c r="I8" s="855" t="s">
        <v>3144</v>
      </c>
      <c r="J8" s="519">
        <f>SUMIF(61:61,I8,62:62)-SUMIF(61:61,C8,62:62)+100</f>
        <v>100</v>
      </c>
      <c r="K8" s="854"/>
      <c r="L8" s="2135"/>
      <c r="M8" s="2136"/>
      <c r="N8" s="2136"/>
      <c r="O8" s="2136"/>
      <c r="P8" s="3400" t="s">
        <v>533</v>
      </c>
      <c r="Q8" s="3401"/>
      <c r="R8" s="1567" t="s">
        <v>13</v>
      </c>
      <c r="S8" s="1568">
        <f t="shared" si="0"/>
        <v>100</v>
      </c>
      <c r="T8" s="1567" t="s">
        <v>13</v>
      </c>
      <c r="U8" s="1568">
        <f t="shared" si="1"/>
        <v>100</v>
      </c>
      <c r="V8" s="1567" t="s">
        <v>13</v>
      </c>
      <c r="W8" s="1568">
        <f t="shared" si="2"/>
        <v>100</v>
      </c>
      <c r="X8" s="1569"/>
      <c r="Y8" s="3400" t="s">
        <v>533</v>
      </c>
      <c r="Z8" s="3401"/>
      <c r="AA8" s="1570">
        <f t="shared" ref="AA8:AA46" si="3">D8/F8</f>
        <v>1</v>
      </c>
      <c r="AB8" s="1570">
        <f t="shared" ref="AB8:AB46" si="4">D8/H8</f>
        <v>1</v>
      </c>
      <c r="AC8" s="1570">
        <f t="shared" ref="AC8:AC46" si="5">D8/J8</f>
        <v>1</v>
      </c>
    </row>
    <row r="9" spans="1:29" s="1218" customFormat="1" ht="15">
      <c r="A9" s="2937"/>
      <c r="B9" s="2944" t="s">
        <v>2760</v>
      </c>
      <c r="C9" s="3188" t="s">
        <v>3194</v>
      </c>
      <c r="D9" s="253">
        <v>100</v>
      </c>
      <c r="E9" s="3189" t="s">
        <v>923</v>
      </c>
      <c r="F9" s="858">
        <f>SUMIF(63:63,E9,64:64)-SUMIF(63:63,C9,64:64)+100</f>
        <v>100</v>
      </c>
      <c r="G9" s="3190" t="s">
        <v>923</v>
      </c>
      <c r="H9" s="253">
        <f>SUMIF(63:63,G9,64:64)-SUMIF(63:63,C9,64:64)+100</f>
        <v>100</v>
      </c>
      <c r="I9" s="3190" t="s">
        <v>923</v>
      </c>
      <c r="J9" s="253">
        <f>SUMIF(63:63,I9,64:64)-SUMIF(63:63,C9,64:64)+100</f>
        <v>100</v>
      </c>
      <c r="K9" s="854"/>
      <c r="L9" s="2135"/>
      <c r="M9" s="2136"/>
      <c r="N9" s="2136"/>
      <c r="O9" s="2137"/>
      <c r="P9" s="3369" t="s">
        <v>535</v>
      </c>
      <c r="Q9" s="1149" t="str">
        <f t="shared" ref="Q9:Q15" si="6">B9</f>
        <v>用途</v>
      </c>
      <c r="R9" s="1567" t="s">
        <v>8</v>
      </c>
      <c r="S9" s="1568">
        <f t="shared" si="0"/>
        <v>100</v>
      </c>
      <c r="T9" s="1567" t="s">
        <v>8</v>
      </c>
      <c r="U9" s="1568">
        <f t="shared" si="1"/>
        <v>100</v>
      </c>
      <c r="V9" s="1567" t="s">
        <v>8</v>
      </c>
      <c r="W9" s="1568">
        <f t="shared" si="2"/>
        <v>100</v>
      </c>
      <c r="X9" s="1569"/>
      <c r="Y9" s="3315" t="s">
        <v>536</v>
      </c>
      <c r="Z9" s="1148" t="str">
        <f t="shared" ref="Z9:Z15" si="7">Q9</f>
        <v>用途</v>
      </c>
      <c r="AA9" s="1570">
        <f t="shared" si="3"/>
        <v>1</v>
      </c>
      <c r="AB9" s="1570">
        <f t="shared" si="4"/>
        <v>1</v>
      </c>
      <c r="AC9" s="1570">
        <f t="shared" si="5"/>
        <v>1</v>
      </c>
    </row>
    <row r="10" spans="1:29" s="1336" customFormat="1" ht="27">
      <c r="A10" s="2938"/>
      <c r="B10" s="2943" t="s">
        <v>2761</v>
      </c>
      <c r="C10" s="860" t="s">
        <v>3195</v>
      </c>
      <c r="D10" s="254">
        <v>100</v>
      </c>
      <c r="E10" s="861" t="s">
        <v>3195</v>
      </c>
      <c r="F10" s="862">
        <f>SUMIF(65:65,E10,66:66)-SUMIF(65:65,C10,66:66)+100</f>
        <v>100</v>
      </c>
      <c r="G10" s="860" t="s">
        <v>3195</v>
      </c>
      <c r="H10" s="254">
        <f>SUMIF(65:65,G10,66:66)-SUMIF(65:65,C10,66:66)+100</f>
        <v>100</v>
      </c>
      <c r="I10" s="860" t="s">
        <v>3195</v>
      </c>
      <c r="J10" s="254">
        <f>SUMIF(65:65,I10,66:66)-SUMIF(65:65,C10,66:66)+100</f>
        <v>100</v>
      </c>
      <c r="K10" s="863">
        <v>1</v>
      </c>
      <c r="L10" s="2138"/>
      <c r="M10" s="2178"/>
      <c r="N10" s="2178"/>
      <c r="O10" s="2139"/>
      <c r="P10" s="3369"/>
      <c r="Q10" s="1149" t="str">
        <f t="shared" si="6"/>
        <v>土地使用年限（年）</v>
      </c>
      <c r="R10" s="1567" t="s">
        <v>8</v>
      </c>
      <c r="S10" s="1568">
        <f t="shared" si="0"/>
        <v>100</v>
      </c>
      <c r="T10" s="1567" t="s">
        <v>8</v>
      </c>
      <c r="U10" s="1568">
        <f t="shared" si="1"/>
        <v>100</v>
      </c>
      <c r="V10" s="1567" t="s">
        <v>8</v>
      </c>
      <c r="W10" s="1568">
        <f t="shared" si="2"/>
        <v>100</v>
      </c>
      <c r="X10" s="1569"/>
      <c r="Y10" s="3315"/>
      <c r="Z10" s="1148" t="str">
        <f t="shared" si="7"/>
        <v>土地使用年限（年）</v>
      </c>
      <c r="AA10" s="1570">
        <f t="shared" si="3"/>
        <v>1</v>
      </c>
      <c r="AB10" s="1570">
        <f t="shared" si="4"/>
        <v>1</v>
      </c>
      <c r="AC10" s="1570">
        <f t="shared" si="5"/>
        <v>1</v>
      </c>
    </row>
    <row r="11" spans="1:29" ht="15">
      <c r="A11" s="2939"/>
      <c r="B11" s="2943" t="s">
        <v>2762</v>
      </c>
      <c r="C11" s="532">
        <v>1.6</v>
      </c>
      <c r="D11" s="254">
        <v>100</v>
      </c>
      <c r="E11" s="533">
        <v>1.62</v>
      </c>
      <c r="F11" s="862">
        <f>LOOKUP(E11,68:68,69:69)-LOOKUP(C11,68:68,69:69)+100</f>
        <v>100</v>
      </c>
      <c r="G11" s="532">
        <v>1.2</v>
      </c>
      <c r="H11" s="254">
        <f>LOOKUP(G11,68:68,69:69)-LOOKUP(C11,68:68,69:69)+100</f>
        <v>100</v>
      </c>
      <c r="I11" s="532">
        <v>2</v>
      </c>
      <c r="J11" s="254">
        <f>LOOKUP(I11,68:68,69:69)-LOOKUP(C11,68:68,69:69)+100</f>
        <v>98</v>
      </c>
      <c r="K11" s="863">
        <v>2</v>
      </c>
      <c r="L11" s="2140"/>
      <c r="M11" s="2134"/>
      <c r="N11" s="2134"/>
      <c r="O11" s="2141"/>
      <c r="P11" s="3369"/>
      <c r="Q11" s="1149" t="str">
        <f t="shared" si="6"/>
        <v>容积率</v>
      </c>
      <c r="R11" s="1567" t="s">
        <v>11</v>
      </c>
      <c r="S11" s="1568">
        <f t="shared" si="0"/>
        <v>100</v>
      </c>
      <c r="T11" s="1567" t="s">
        <v>11</v>
      </c>
      <c r="U11" s="1568">
        <f t="shared" si="1"/>
        <v>100</v>
      </c>
      <c r="V11" s="1567" t="s">
        <v>11</v>
      </c>
      <c r="W11" s="1568">
        <f t="shared" si="2"/>
        <v>98</v>
      </c>
      <c r="X11" s="1569"/>
      <c r="Y11" s="3315"/>
      <c r="Z11" s="1148" t="str">
        <f t="shared" si="7"/>
        <v>容积率</v>
      </c>
      <c r="AA11" s="1570">
        <f t="shared" si="3"/>
        <v>1</v>
      </c>
      <c r="AB11" s="1570">
        <f t="shared" si="4"/>
        <v>1</v>
      </c>
      <c r="AC11" s="1570">
        <f t="shared" si="5"/>
        <v>1.0204081632653061</v>
      </c>
    </row>
    <row r="12" spans="1:29" s="1218"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9"/>
      <c r="Q12" s="1149">
        <f t="shared" si="6"/>
        <v>111</v>
      </c>
      <c r="R12" s="1567" t="s">
        <v>11</v>
      </c>
      <c r="S12" s="1568">
        <f t="shared" si="0"/>
        <v>100</v>
      </c>
      <c r="T12" s="1567" t="s">
        <v>11</v>
      </c>
      <c r="U12" s="1568">
        <f t="shared" si="1"/>
        <v>100</v>
      </c>
      <c r="V12" s="1567" t="s">
        <v>11</v>
      </c>
      <c r="W12" s="1568">
        <f t="shared" si="2"/>
        <v>100</v>
      </c>
      <c r="X12" s="1569"/>
      <c r="Y12" s="3315"/>
      <c r="Z12" s="1148">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9"/>
      <c r="Q13" s="1149">
        <f t="shared" si="6"/>
        <v>111</v>
      </c>
      <c r="R13" s="1567" t="s">
        <v>11</v>
      </c>
      <c r="S13" s="1568">
        <f t="shared" si="0"/>
        <v>100</v>
      </c>
      <c r="T13" s="1567" t="s">
        <v>11</v>
      </c>
      <c r="U13" s="1568">
        <f t="shared" si="1"/>
        <v>100</v>
      </c>
      <c r="V13" s="1567" t="s">
        <v>11</v>
      </c>
      <c r="W13" s="1568">
        <f t="shared" si="2"/>
        <v>100</v>
      </c>
      <c r="X13" s="1569"/>
      <c r="Y13" s="3315"/>
      <c r="Z13" s="1148">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9"/>
      <c r="Q14" s="1149">
        <f t="shared" si="6"/>
        <v>111</v>
      </c>
      <c r="R14" s="1567" t="s">
        <v>11</v>
      </c>
      <c r="S14" s="1568">
        <f t="shared" si="0"/>
        <v>100</v>
      </c>
      <c r="T14" s="1567" t="s">
        <v>11</v>
      </c>
      <c r="U14" s="1568">
        <f t="shared" si="1"/>
        <v>100</v>
      </c>
      <c r="V14" s="1567" t="s">
        <v>11</v>
      </c>
      <c r="W14" s="1568">
        <f t="shared" si="2"/>
        <v>100</v>
      </c>
      <c r="X14" s="1569"/>
      <c r="Y14" s="3315"/>
      <c r="Z14" s="1148">
        <f t="shared" si="7"/>
        <v>111</v>
      </c>
      <c r="AA14" s="1570">
        <f t="shared" si="3"/>
        <v>1</v>
      </c>
      <c r="AB14" s="1570">
        <f t="shared" si="4"/>
        <v>1</v>
      </c>
      <c r="AC14" s="1570">
        <f t="shared" si="5"/>
        <v>1</v>
      </c>
    </row>
    <row r="15" spans="1:29" ht="85.5">
      <c r="A15" s="2933" t="s">
        <v>2758</v>
      </c>
      <c r="B15" s="165" t="s">
        <v>295</v>
      </c>
      <c r="C15" s="866" t="str">
        <f>估价对象房地状况!C3</f>
        <v>估价对象周边居住用地大、居住小区规模大，社区发展完善，综合评价居住社区成熟度较好</v>
      </c>
      <c r="D15" s="548">
        <v>100</v>
      </c>
      <c r="E15" s="549"/>
      <c r="F15" s="550">
        <f>SUMIF(76:76,E16,77:77)-SUMIF(76:76,C16,77:77)+100</f>
        <v>100</v>
      </c>
      <c r="G15" s="551"/>
      <c r="H15" s="548">
        <f>SUMIF(76:76,G16,77:77)-SUMIF(76:76,C16,77:77)+100</f>
        <v>95</v>
      </c>
      <c r="I15" s="549"/>
      <c r="J15" s="548">
        <f>SUMIF(76:76,I16,77:77)-SUMIF(76:76,C16,77:77)+100</f>
        <v>95</v>
      </c>
      <c r="K15" s="867">
        <v>5</v>
      </c>
      <c r="L15" s="2142"/>
      <c r="M15" s="2134"/>
      <c r="N15" s="2134"/>
      <c r="O15" s="2141"/>
      <c r="P15" s="3403" t="s">
        <v>540</v>
      </c>
      <c r="Q15" s="1571" t="str">
        <f t="shared" si="6"/>
        <v>居住社区成熟度</v>
      </c>
      <c r="R15" s="1572" t="s">
        <v>11</v>
      </c>
      <c r="S15" s="1573">
        <f t="shared" si="0"/>
        <v>100</v>
      </c>
      <c r="T15" s="1572" t="s">
        <v>11</v>
      </c>
      <c r="U15" s="1573">
        <f t="shared" si="1"/>
        <v>95</v>
      </c>
      <c r="V15" s="1572" t="s">
        <v>11</v>
      </c>
      <c r="W15" s="1573">
        <f t="shared" si="2"/>
        <v>95</v>
      </c>
      <c r="X15" s="1566"/>
      <c r="Y15" s="3403" t="s">
        <v>540</v>
      </c>
      <c r="Z15" s="1574" t="str">
        <f t="shared" si="7"/>
        <v>居住社区成熟度</v>
      </c>
      <c r="AA15" s="1575">
        <f t="shared" si="3"/>
        <v>1</v>
      </c>
      <c r="AB15" s="1575">
        <f t="shared" si="4"/>
        <v>1.0526315789473684</v>
      </c>
      <c r="AC15" s="1575">
        <f t="shared" si="5"/>
        <v>1.0526315789473684</v>
      </c>
    </row>
    <row r="16" spans="1:29" ht="15">
      <c r="A16" s="531"/>
      <c r="B16" s="868"/>
      <c r="C16" s="575" t="s">
        <v>3174</v>
      </c>
      <c r="D16" s="554"/>
      <c r="E16" s="575" t="s">
        <v>3174</v>
      </c>
      <c r="F16" s="556"/>
      <c r="G16" s="557" t="s">
        <v>3246</v>
      </c>
      <c r="H16" s="558"/>
      <c r="I16" s="555" t="s">
        <v>3246</v>
      </c>
      <c r="J16" s="554"/>
      <c r="K16" s="869"/>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98</v>
      </c>
      <c r="I17" s="561"/>
      <c r="J17" s="564">
        <f>SUMIF(78:78,I18,79:79)-SUMIF(78:78,C18,79:79)+100</f>
        <v>98</v>
      </c>
      <c r="K17" s="867">
        <v>2</v>
      </c>
      <c r="L17" s="2142"/>
      <c r="M17" s="2134"/>
      <c r="N17" s="2134"/>
      <c r="O17" s="2141"/>
      <c r="P17" s="3404"/>
      <c r="Q17" s="1571" t="str">
        <f>B17</f>
        <v>交通便捷度</v>
      </c>
      <c r="R17" s="1572" t="s">
        <v>11</v>
      </c>
      <c r="S17" s="1573">
        <f>F17</f>
        <v>100</v>
      </c>
      <c r="T17" s="1572" t="s">
        <v>11</v>
      </c>
      <c r="U17" s="1573">
        <f>H17</f>
        <v>98</v>
      </c>
      <c r="V17" s="1572" t="s">
        <v>11</v>
      </c>
      <c r="W17" s="1573">
        <f>J17</f>
        <v>98</v>
      </c>
      <c r="X17" s="1566"/>
      <c r="Y17" s="3404"/>
      <c r="Z17" s="1574" t="str">
        <f>Q17</f>
        <v>交通便捷度</v>
      </c>
      <c r="AA17" s="1575">
        <f t="shared" si="3"/>
        <v>1</v>
      </c>
      <c r="AB17" s="1575">
        <f t="shared" si="4"/>
        <v>1.0204081632653061</v>
      </c>
      <c r="AC17" s="1575">
        <f t="shared" si="5"/>
        <v>1.0204081632653061</v>
      </c>
    </row>
    <row r="18" spans="1:29" ht="15">
      <c r="A18" s="531"/>
      <c r="B18" s="594"/>
      <c r="C18" s="575" t="s">
        <v>3174</v>
      </c>
      <c r="D18" s="558"/>
      <c r="E18" s="575" t="s">
        <v>3174</v>
      </c>
      <c r="F18" s="562"/>
      <c r="G18" s="557" t="s">
        <v>3246</v>
      </c>
      <c r="H18" s="554"/>
      <c r="I18" s="557" t="s">
        <v>3246</v>
      </c>
      <c r="J18" s="554"/>
      <c r="K18" s="869"/>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1"/>
      <c r="B19" s="2624" t="s">
        <v>2550</v>
      </c>
      <c r="C19" s="871" t="str">
        <f>估价对象房地状况!C7</f>
        <v>估价对象所在区域公共配套设施齐备</v>
      </c>
      <c r="D19" s="564">
        <v>100</v>
      </c>
      <c r="E19" s="569"/>
      <c r="F19" s="570">
        <f>SUMIF(80:80,E20,81:81)-SUMIF(80:80,C20,81:81)+100</f>
        <v>100</v>
      </c>
      <c r="G19" s="571"/>
      <c r="H19" s="558">
        <f>SUMIF(80:80,G20,81:81)-SUMIF(80:80,C20,81:81)+100</f>
        <v>98</v>
      </c>
      <c r="I19" s="569"/>
      <c r="J19" s="558">
        <f>SUMIF(80:80,I20,81:81)-SUMIF(80:80,C20,81:81)+100</f>
        <v>98</v>
      </c>
      <c r="K19" s="867">
        <v>2</v>
      </c>
      <c r="L19" s="2142"/>
      <c r="M19" s="2134"/>
      <c r="N19" s="2134"/>
      <c r="O19" s="2141"/>
      <c r="P19" s="3404"/>
      <c r="Q19" s="1571" t="str">
        <f>B19</f>
        <v>公共配套设施</v>
      </c>
      <c r="R19" s="1572" t="s">
        <v>11</v>
      </c>
      <c r="S19" s="1573">
        <f>F19</f>
        <v>100</v>
      </c>
      <c r="T19" s="1572" t="s">
        <v>11</v>
      </c>
      <c r="U19" s="1573">
        <f>H19</f>
        <v>98</v>
      </c>
      <c r="V19" s="1572" t="s">
        <v>11</v>
      </c>
      <c r="W19" s="1573">
        <f>J19</f>
        <v>98</v>
      </c>
      <c r="X19" s="1566"/>
      <c r="Y19" s="3404"/>
      <c r="Z19" s="1574" t="str">
        <f>Q19</f>
        <v>公共配套设施</v>
      </c>
      <c r="AA19" s="1575">
        <f t="shared" si="3"/>
        <v>1</v>
      </c>
      <c r="AB19" s="1575">
        <f t="shared" si="4"/>
        <v>1.0204081632653061</v>
      </c>
      <c r="AC19" s="1575">
        <f t="shared" si="5"/>
        <v>1.0204081632653061</v>
      </c>
    </row>
    <row r="20" spans="1:29" ht="15">
      <c r="A20" s="531"/>
      <c r="B20" s="594"/>
      <c r="C20" s="575" t="s">
        <v>3174</v>
      </c>
      <c r="D20" s="554"/>
      <c r="E20" s="575" t="s">
        <v>3174</v>
      </c>
      <c r="F20" s="556"/>
      <c r="G20" s="557" t="s">
        <v>3246</v>
      </c>
      <c r="H20" s="554"/>
      <c r="I20" s="557" t="s">
        <v>3246</v>
      </c>
      <c r="J20" s="554"/>
      <c r="K20" s="869"/>
      <c r="L20" s="2142"/>
      <c r="M20" s="2134"/>
      <c r="N20" s="2134"/>
      <c r="O20" s="2141"/>
      <c r="P20" s="3404"/>
      <c r="Q20" s="1571"/>
      <c r="R20" s="1572"/>
      <c r="S20" s="1573"/>
      <c r="T20" s="1572"/>
      <c r="U20" s="1573"/>
      <c r="V20" s="1572"/>
      <c r="W20" s="1573"/>
      <c r="X20" s="1566"/>
      <c r="Y20" s="3404"/>
      <c r="Z20" s="1574"/>
      <c r="AA20" s="1575">
        <v>1</v>
      </c>
      <c r="AB20" s="1575">
        <v>1</v>
      </c>
      <c r="AC20" s="1575">
        <v>1</v>
      </c>
    </row>
    <row r="21" spans="1:29" ht="42.75">
      <c r="A21" s="531"/>
      <c r="B21" s="2617" t="s">
        <v>2562</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v>2</v>
      </c>
      <c r="L21" s="2142"/>
      <c r="M21" s="2134"/>
      <c r="N21" s="2134"/>
      <c r="O21" s="2141"/>
      <c r="P21" s="3404"/>
      <c r="Q21" s="2603" t="str">
        <f>B21</f>
        <v>基础设施水平</v>
      </c>
      <c r="R21" s="1572" t="s">
        <v>11</v>
      </c>
      <c r="S21" s="1573">
        <f>F21</f>
        <v>100</v>
      </c>
      <c r="T21" s="1572" t="s">
        <v>11</v>
      </c>
      <c r="U21" s="1573">
        <f>H21</f>
        <v>100</v>
      </c>
      <c r="V21" s="1572" t="s">
        <v>11</v>
      </c>
      <c r="W21" s="1573">
        <f>J21</f>
        <v>100</v>
      </c>
      <c r="X21" s="2605"/>
      <c r="Y21" s="3404"/>
      <c r="Z21" s="2604" t="str">
        <f>Q21</f>
        <v>基础设施水平</v>
      </c>
      <c r="AA21" s="1575">
        <f t="shared" ref="AA21" si="8">D21/F21</f>
        <v>1</v>
      </c>
      <c r="AB21" s="1575">
        <f t="shared" ref="AB21" si="9">D21/H21</f>
        <v>1</v>
      </c>
      <c r="AC21" s="1575">
        <f t="shared" ref="AC21" si="10">D21/J21</f>
        <v>1</v>
      </c>
    </row>
    <row r="22" spans="1:29" ht="15">
      <c r="A22" s="531"/>
      <c r="B22" s="920"/>
      <c r="C22" s="575" t="s">
        <v>3214</v>
      </c>
      <c r="D22" s="554"/>
      <c r="E22" s="575" t="s">
        <v>3214</v>
      </c>
      <c r="F22" s="556"/>
      <c r="G22" s="575" t="s">
        <v>3214</v>
      </c>
      <c r="H22" s="554"/>
      <c r="I22" s="575" t="s">
        <v>3214</v>
      </c>
      <c r="J22" s="554"/>
      <c r="K22" s="2623"/>
      <c r="L22" s="2142"/>
      <c r="M22" s="2134"/>
      <c r="N22" s="2134"/>
      <c r="O22" s="2141"/>
      <c r="P22" s="3404"/>
      <c r="Q22" s="2603"/>
      <c r="R22" s="1572"/>
      <c r="S22" s="1573"/>
      <c r="T22" s="1572"/>
      <c r="U22" s="1573"/>
      <c r="V22" s="1572"/>
      <c r="W22" s="1573"/>
      <c r="X22" s="2605"/>
      <c r="Y22" s="3404"/>
      <c r="Z22" s="2604"/>
      <c r="AA22" s="1575">
        <v>1</v>
      </c>
      <c r="AB22" s="1575">
        <v>1</v>
      </c>
      <c r="AC22" s="1575">
        <v>1</v>
      </c>
    </row>
    <row r="23" spans="1:29" ht="57">
      <c r="A23" s="531"/>
      <c r="B23" s="870" t="s">
        <v>297</v>
      </c>
      <c r="C23" s="871" t="str">
        <f>估价对象房地状况!C9</f>
        <v>区域自然环境较好；人文环境一般；综合评价环境状况较好</v>
      </c>
      <c r="D23" s="558">
        <v>100</v>
      </c>
      <c r="E23" s="561"/>
      <c r="F23" s="562">
        <f>SUMIF(84:84,E24,85:85)-SUMIF(84:84,C24,85:85)+100</f>
        <v>100</v>
      </c>
      <c r="G23" s="563"/>
      <c r="H23" s="558">
        <f>SUMIF(84:84,G24,85:85)-SUMIF(84:84,C24,85:85)+100</f>
        <v>102</v>
      </c>
      <c r="I23" s="561"/>
      <c r="J23" s="558">
        <f>SUMIF(84:84,I24,85:85)-SUMIF(84:84,C24,85:85)+100</f>
        <v>102</v>
      </c>
      <c r="K23" s="867">
        <v>2</v>
      </c>
      <c r="L23" s="2142"/>
      <c r="M23" s="2134"/>
      <c r="N23" s="2134"/>
      <c r="O23" s="2141"/>
      <c r="P23" s="3404"/>
      <c r="Q23" s="1571" t="str">
        <f>B23</f>
        <v>自然及人文环境</v>
      </c>
      <c r="R23" s="1572" t="s">
        <v>11</v>
      </c>
      <c r="S23" s="1573">
        <f>F23</f>
        <v>100</v>
      </c>
      <c r="T23" s="1572" t="s">
        <v>11</v>
      </c>
      <c r="U23" s="1573">
        <f>H23</f>
        <v>102</v>
      </c>
      <c r="V23" s="1572" t="s">
        <v>11</v>
      </c>
      <c r="W23" s="1573">
        <f>J23</f>
        <v>102</v>
      </c>
      <c r="X23" s="1566"/>
      <c r="Y23" s="3404"/>
      <c r="Z23" s="1574" t="str">
        <f>Q23</f>
        <v>自然及人文环境</v>
      </c>
      <c r="AA23" s="1575">
        <f t="shared" si="3"/>
        <v>1</v>
      </c>
      <c r="AB23" s="1575">
        <f t="shared" si="4"/>
        <v>0.98039215686274506</v>
      </c>
      <c r="AC23" s="1575">
        <f t="shared" si="5"/>
        <v>0.98039215686274506</v>
      </c>
    </row>
    <row r="24" spans="1:29" ht="15">
      <c r="A24" s="531"/>
      <c r="B24" s="594"/>
      <c r="C24" s="575" t="s">
        <v>3174</v>
      </c>
      <c r="D24" s="554"/>
      <c r="E24" s="575" t="s">
        <v>3174</v>
      </c>
      <c r="F24" s="556"/>
      <c r="G24" s="557" t="s">
        <v>3175</v>
      </c>
      <c r="H24" s="554"/>
      <c r="I24" s="555" t="s">
        <v>3175</v>
      </c>
      <c r="J24" s="554"/>
      <c r="K24" s="869"/>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c r="A25" s="531"/>
      <c r="B25" s="1895" t="s">
        <v>2259</v>
      </c>
      <c r="C25" s="573"/>
      <c r="D25" s="539">
        <v>100</v>
      </c>
      <c r="E25" s="873"/>
      <c r="F25" s="574">
        <f>SUMIF(86:86,E25,87:87)-SUMIF(86:86,C25,87:87)+100</f>
        <v>100</v>
      </c>
      <c r="G25" s="598"/>
      <c r="H25" s="539">
        <f>SUMIF(86:86,G25,87:87)-SUMIF(86:86,C25,87:87)+100</f>
        <v>100</v>
      </c>
      <c r="I25" s="873"/>
      <c r="J25" s="539">
        <f>SUMIF(86:86,I25,87:87)-SUMIF(86:86,C25,87:87)+100</f>
        <v>100</v>
      </c>
      <c r="K25" s="863">
        <v>1</v>
      </c>
      <c r="L25" s="2142"/>
      <c r="M25" s="2134"/>
      <c r="N25" s="2134"/>
      <c r="O25" s="2141"/>
      <c r="P25" s="3404"/>
      <c r="Q25" s="1571" t="str">
        <f t="shared" ref="Q25:Q46" si="11">B25</f>
        <v>楼层-1</v>
      </c>
      <c r="R25" s="1572" t="s">
        <v>11</v>
      </c>
      <c r="S25" s="1573">
        <f>F25</f>
        <v>100</v>
      </c>
      <c r="T25" s="1572" t="s">
        <v>11</v>
      </c>
      <c r="U25" s="1573">
        <f>H25</f>
        <v>100</v>
      </c>
      <c r="V25" s="1572" t="s">
        <v>11</v>
      </c>
      <c r="W25" s="1573">
        <f>J25</f>
        <v>100</v>
      </c>
      <c r="X25" s="1566"/>
      <c r="Y25" s="3404"/>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v>1</v>
      </c>
      <c r="L26" s="2142"/>
      <c r="M26" s="2134"/>
      <c r="N26" s="2134"/>
      <c r="O26" s="2141"/>
      <c r="P26" s="3404"/>
      <c r="Q26" s="1571" t="str">
        <f t="shared" si="11"/>
        <v>朝向</v>
      </c>
      <c r="R26" s="1572" t="s">
        <v>11</v>
      </c>
      <c r="S26" s="1573">
        <f>F26</f>
        <v>100</v>
      </c>
      <c r="T26" s="1572" t="s">
        <v>11</v>
      </c>
      <c r="U26" s="1573">
        <f>H26</f>
        <v>100</v>
      </c>
      <c r="V26" s="1572" t="s">
        <v>11</v>
      </c>
      <c r="W26" s="1573">
        <f>J26</f>
        <v>100</v>
      </c>
      <c r="X26" s="1566"/>
      <c r="Y26" s="3404"/>
      <c r="Z26" s="1574" t="str">
        <f>Q26</f>
        <v>朝向</v>
      </c>
      <c r="AA26" s="1575">
        <f t="shared" si="3"/>
        <v>1</v>
      </c>
      <c r="AB26" s="1575">
        <f t="shared" si="4"/>
        <v>1</v>
      </c>
      <c r="AC26" s="1575">
        <f t="shared" si="5"/>
        <v>1</v>
      </c>
    </row>
    <row r="27" spans="1:29" s="1218"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04"/>
      <c r="Q27" s="1149" t="str">
        <f t="shared" si="11"/>
        <v>道路级别</v>
      </c>
      <c r="R27" s="1567" t="s">
        <v>11</v>
      </c>
      <c r="S27" s="1568">
        <f>F27</f>
        <v>100</v>
      </c>
      <c r="T27" s="1567" t="s">
        <v>11</v>
      </c>
      <c r="U27" s="1568">
        <f>H27</f>
        <v>100</v>
      </c>
      <c r="V27" s="1567" t="s">
        <v>11</v>
      </c>
      <c r="W27" s="1568">
        <f>J27</f>
        <v>100</v>
      </c>
      <c r="X27" s="1569"/>
      <c r="Y27" s="3404"/>
      <c r="Z27" s="1148"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4"/>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4"/>
      <c r="Q29" s="1571">
        <f t="shared" si="11"/>
        <v>111</v>
      </c>
      <c r="R29" s="1572" t="s">
        <v>11</v>
      </c>
      <c r="S29" s="1573">
        <f t="shared" si="12"/>
        <v>100</v>
      </c>
      <c r="T29" s="1572" t="s">
        <v>11</v>
      </c>
      <c r="U29" s="1573">
        <f t="shared" si="13"/>
        <v>100</v>
      </c>
      <c r="V29" s="1572" t="s">
        <v>11</v>
      </c>
      <c r="W29" s="1573">
        <f t="shared" si="14"/>
        <v>100</v>
      </c>
      <c r="X29" s="1566"/>
      <c r="Y29" s="340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4"/>
      <c r="Q30" s="1571">
        <f t="shared" si="11"/>
        <v>111</v>
      </c>
      <c r="R30" s="1572" t="s">
        <v>11</v>
      </c>
      <c r="S30" s="1573">
        <f t="shared" si="12"/>
        <v>100</v>
      </c>
      <c r="T30" s="1572" t="s">
        <v>11</v>
      </c>
      <c r="U30" s="1573">
        <f t="shared" si="13"/>
        <v>100</v>
      </c>
      <c r="V30" s="1572" t="s">
        <v>11</v>
      </c>
      <c r="W30" s="1573">
        <f t="shared" si="14"/>
        <v>100</v>
      </c>
      <c r="X30" s="1566"/>
      <c r="Y30" s="3404"/>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4"/>
      <c r="Q31" s="1571">
        <f t="shared" si="11"/>
        <v>111</v>
      </c>
      <c r="R31" s="1572" t="s">
        <v>11</v>
      </c>
      <c r="S31" s="1573">
        <f t="shared" si="12"/>
        <v>100</v>
      </c>
      <c r="T31" s="1572" t="s">
        <v>11</v>
      </c>
      <c r="U31" s="1573">
        <f t="shared" si="13"/>
        <v>100</v>
      </c>
      <c r="V31" s="1572" t="s">
        <v>11</v>
      </c>
      <c r="W31" s="1573">
        <f t="shared" si="14"/>
        <v>100</v>
      </c>
      <c r="X31" s="1566"/>
      <c r="Y31" s="3404"/>
      <c r="Z31" s="1574">
        <f t="shared" si="15"/>
        <v>111</v>
      </c>
      <c r="AA31" s="1575">
        <f t="shared" si="3"/>
        <v>1</v>
      </c>
      <c r="AB31" s="1575">
        <f t="shared" si="4"/>
        <v>1</v>
      </c>
      <c r="AC31" s="1575">
        <f t="shared" si="5"/>
        <v>1</v>
      </c>
    </row>
    <row r="32" spans="1:29" ht="15">
      <c r="A32" s="2931" t="s">
        <v>2759</v>
      </c>
      <c r="B32" s="171" t="s">
        <v>725</v>
      </c>
      <c r="C32" s="877" t="s">
        <v>3199</v>
      </c>
      <c r="D32" s="596">
        <v>100</v>
      </c>
      <c r="E32" s="878" t="s">
        <v>3201</v>
      </c>
      <c r="F32" s="574">
        <f>SUMIF(100:100,E32,101:101)-SUMIF(100:100,C32,101:101)+100</f>
        <v>97</v>
      </c>
      <c r="G32" s="877" t="s">
        <v>3199</v>
      </c>
      <c r="H32" s="596">
        <f>SUMIF(100:100,G32,101:101)-SUMIF(100:100,C32,101:101)+100</f>
        <v>100</v>
      </c>
      <c r="I32" s="878" t="s">
        <v>3201</v>
      </c>
      <c r="J32" s="539">
        <f>SUMIF(100:100,I32,101:101)-SUMIF(100:100,C32,101:101)+100</f>
        <v>97</v>
      </c>
      <c r="K32" s="863">
        <v>3</v>
      </c>
      <c r="L32" s="2142"/>
      <c r="M32" s="2134"/>
      <c r="N32" s="2134"/>
      <c r="O32" s="2141"/>
      <c r="P32" s="3405" t="s">
        <v>550</v>
      </c>
      <c r="Q32" s="1571" t="str">
        <f t="shared" si="11"/>
        <v>建筑类型</v>
      </c>
      <c r="R32" s="1572" t="s">
        <v>11</v>
      </c>
      <c r="S32" s="1573">
        <f t="shared" si="12"/>
        <v>97</v>
      </c>
      <c r="T32" s="1572" t="s">
        <v>11</v>
      </c>
      <c r="U32" s="1573">
        <f t="shared" si="13"/>
        <v>100</v>
      </c>
      <c r="V32" s="1572" t="s">
        <v>11</v>
      </c>
      <c r="W32" s="1573">
        <f t="shared" si="14"/>
        <v>97</v>
      </c>
      <c r="X32" s="1566"/>
      <c r="Y32" s="3406" t="s">
        <v>550</v>
      </c>
      <c r="Z32" s="1574" t="str">
        <f t="shared" si="15"/>
        <v>建筑类型</v>
      </c>
      <c r="AA32" s="1575">
        <f t="shared" si="3"/>
        <v>1.0309278350515463</v>
      </c>
      <c r="AB32" s="1575">
        <f t="shared" si="4"/>
        <v>1</v>
      </c>
      <c r="AC32" s="1575">
        <f t="shared" si="5"/>
        <v>1.0309278350515463</v>
      </c>
    </row>
    <row r="33" spans="1:29" s="1337" customFormat="1" ht="15">
      <c r="A33" s="602"/>
      <c r="B33" s="526" t="s">
        <v>726</v>
      </c>
      <c r="C33" s="879">
        <v>52592.12</v>
      </c>
      <c r="D33" s="254">
        <v>100</v>
      </c>
      <c r="E33" s="533">
        <v>214551</v>
      </c>
      <c r="F33" s="862">
        <f>LOOKUP(E33,103:103,104:104)-LOOKUP(C33,103:103,104:104)+100</f>
        <v>102</v>
      </c>
      <c r="G33" s="532">
        <v>72000</v>
      </c>
      <c r="H33" s="254">
        <f>LOOKUP(G33,103:103,104:104)-LOOKUP(C33,103:103,104:104)+100</f>
        <v>100</v>
      </c>
      <c r="I33" s="533">
        <v>220000</v>
      </c>
      <c r="J33" s="254">
        <f>LOOKUP(I33,103:103,104:104)-LOOKUP(C33,103:103,104:104)+100</f>
        <v>102</v>
      </c>
      <c r="K33" s="864"/>
      <c r="L33" s="2140"/>
      <c r="M33" s="2171"/>
      <c r="N33" s="2171"/>
      <c r="O33" s="2143"/>
      <c r="P33" s="3406"/>
      <c r="Q33" s="1604" t="str">
        <f t="shared" si="11"/>
        <v>项目建筑规模</v>
      </c>
      <c r="R33" s="1576" t="s">
        <v>11</v>
      </c>
      <c r="S33" s="1577">
        <f t="shared" si="12"/>
        <v>102</v>
      </c>
      <c r="T33" s="1576" t="s">
        <v>11</v>
      </c>
      <c r="U33" s="1577">
        <f t="shared" si="13"/>
        <v>100</v>
      </c>
      <c r="V33" s="1576" t="s">
        <v>11</v>
      </c>
      <c r="W33" s="1577">
        <f t="shared" si="14"/>
        <v>102</v>
      </c>
      <c r="X33" s="1578"/>
      <c r="Y33" s="3406"/>
      <c r="Z33" s="1579" t="str">
        <f t="shared" si="15"/>
        <v>项目建筑规模</v>
      </c>
      <c r="AA33" s="1575">
        <f t="shared" si="3"/>
        <v>0.98039215686274506</v>
      </c>
      <c r="AB33" s="1575">
        <f t="shared" si="4"/>
        <v>1</v>
      </c>
      <c r="AC33" s="1575">
        <f t="shared" si="5"/>
        <v>0.98039215686274506</v>
      </c>
    </row>
    <row r="34" spans="1:29" ht="15">
      <c r="A34" s="593"/>
      <c r="B34" s="526" t="s">
        <v>727</v>
      </c>
      <c r="C34" s="880" t="s">
        <v>3192</v>
      </c>
      <c r="D34" s="539">
        <v>100</v>
      </c>
      <c r="E34" s="880" t="s">
        <v>3192</v>
      </c>
      <c r="F34" s="574">
        <f>SUMIF(105:105,E34,106:106)-SUMIF(105:105,C34,106:106)+100</f>
        <v>100</v>
      </c>
      <c r="G34" s="880" t="s">
        <v>3192</v>
      </c>
      <c r="H34" s="539">
        <f>SUMIF(105:105,G34,106:106)-SUMIF(105:105,C34,106:106)+100</f>
        <v>100</v>
      </c>
      <c r="I34" s="880" t="s">
        <v>3192</v>
      </c>
      <c r="J34" s="539">
        <f>SUMIF(105:105,I34,106:106)-SUMIF(105:105,C34,106:106)+100</f>
        <v>100</v>
      </c>
      <c r="K34" s="863">
        <v>1</v>
      </c>
      <c r="L34" s="2142"/>
      <c r="M34" s="2134"/>
      <c r="N34" s="2134"/>
      <c r="O34" s="2141"/>
      <c r="P34" s="3406"/>
      <c r="Q34" s="1571" t="str">
        <f t="shared" si="11"/>
        <v>建筑结构</v>
      </c>
      <c r="R34" s="1572" t="s">
        <v>11</v>
      </c>
      <c r="S34" s="1573">
        <f t="shared" si="12"/>
        <v>100</v>
      </c>
      <c r="T34" s="1572" t="s">
        <v>11</v>
      </c>
      <c r="U34" s="1573">
        <f t="shared" si="13"/>
        <v>100</v>
      </c>
      <c r="V34" s="1572" t="s">
        <v>11</v>
      </c>
      <c r="W34" s="1573">
        <f t="shared" si="14"/>
        <v>100</v>
      </c>
      <c r="X34" s="1566"/>
      <c r="Y34" s="3406"/>
      <c r="Z34" s="1574" t="str">
        <f t="shared" si="15"/>
        <v>建筑结构</v>
      </c>
      <c r="AA34" s="1575">
        <f t="shared" si="3"/>
        <v>1</v>
      </c>
      <c r="AB34" s="1575">
        <f t="shared" si="4"/>
        <v>1</v>
      </c>
      <c r="AC34" s="1575">
        <f t="shared" si="5"/>
        <v>1</v>
      </c>
    </row>
    <row r="35" spans="1:29" ht="15">
      <c r="A35" s="593"/>
      <c r="B35" s="526" t="s">
        <v>728</v>
      </c>
      <c r="C35" s="598" t="s">
        <v>3204</v>
      </c>
      <c r="D35" s="539">
        <v>100</v>
      </c>
      <c r="E35" s="598" t="s">
        <v>3204</v>
      </c>
      <c r="F35" s="574">
        <f>SUMIF(107:107,E35,108:108)-SUMIF(107:107,C35,108:108)+100</f>
        <v>100</v>
      </c>
      <c r="G35" s="598" t="s">
        <v>3204</v>
      </c>
      <c r="H35" s="539">
        <f>SUMIF(107:107,G35,108:108)-SUMIF(107:107,C35,108:108)+100</f>
        <v>100</v>
      </c>
      <c r="I35" s="598" t="s">
        <v>3204</v>
      </c>
      <c r="J35" s="539">
        <f>SUMIF(107:107,I35,108:108)-SUMIF(107:107,C35,108:108)+100</f>
        <v>100</v>
      </c>
      <c r="K35" s="863">
        <v>2</v>
      </c>
      <c r="L35" s="2142"/>
      <c r="M35" s="2134"/>
      <c r="N35" s="2134"/>
      <c r="O35" s="2141"/>
      <c r="P35" s="3406"/>
      <c r="Q35" s="1571" t="str">
        <f t="shared" si="11"/>
        <v>建筑品质</v>
      </c>
      <c r="R35" s="1572" t="s">
        <v>11</v>
      </c>
      <c r="S35" s="1573">
        <f t="shared" si="12"/>
        <v>100</v>
      </c>
      <c r="T35" s="1572" t="s">
        <v>11</v>
      </c>
      <c r="U35" s="1573">
        <f t="shared" si="13"/>
        <v>100</v>
      </c>
      <c r="V35" s="1572" t="s">
        <v>11</v>
      </c>
      <c r="W35" s="1573">
        <f t="shared" si="14"/>
        <v>100</v>
      </c>
      <c r="X35" s="1566"/>
      <c r="Y35" s="3406"/>
      <c r="Z35" s="1574" t="str">
        <f t="shared" si="15"/>
        <v>建筑品质</v>
      </c>
      <c r="AA35" s="1575">
        <f t="shared" si="3"/>
        <v>1</v>
      </c>
      <c r="AB35" s="1575">
        <f t="shared" si="4"/>
        <v>1</v>
      </c>
      <c r="AC35" s="1575">
        <f t="shared" si="5"/>
        <v>1</v>
      </c>
    </row>
    <row r="36" spans="1:29" ht="15">
      <c r="A36" s="593"/>
      <c r="B36" s="526" t="s">
        <v>729</v>
      </c>
      <c r="C36" s="598" t="s">
        <v>3207</v>
      </c>
      <c r="D36" s="539">
        <v>100</v>
      </c>
      <c r="E36" s="598" t="s">
        <v>3207</v>
      </c>
      <c r="F36" s="574">
        <f>SUMIF(109:109,E36,110:110)-SUMIF(109:109,C36,110:110)+100</f>
        <v>100</v>
      </c>
      <c r="G36" s="598" t="s">
        <v>3207</v>
      </c>
      <c r="H36" s="539">
        <f>SUMIF(109:109,G36,110:110)-SUMIF(109:109,C36,110:110)+100</f>
        <v>100</v>
      </c>
      <c r="I36" s="598" t="s">
        <v>3207</v>
      </c>
      <c r="J36" s="539">
        <f>SUMIF(109:109,I36,110:110)-SUMIF(109:109,C36,110:110)+100</f>
        <v>100</v>
      </c>
      <c r="K36" s="863">
        <v>2</v>
      </c>
      <c r="L36" s="2142"/>
      <c r="M36" s="2134"/>
      <c r="N36" s="2134"/>
      <c r="O36" s="2141"/>
      <c r="P36" s="3406"/>
      <c r="Q36" s="1571" t="str">
        <f t="shared" si="11"/>
        <v>公共部分装修</v>
      </c>
      <c r="R36" s="1572" t="s">
        <v>11</v>
      </c>
      <c r="S36" s="1573">
        <f t="shared" si="12"/>
        <v>100</v>
      </c>
      <c r="T36" s="1572" t="s">
        <v>11</v>
      </c>
      <c r="U36" s="1573">
        <f t="shared" si="13"/>
        <v>100</v>
      </c>
      <c r="V36" s="1572" t="s">
        <v>11</v>
      </c>
      <c r="W36" s="1573">
        <f t="shared" si="14"/>
        <v>100</v>
      </c>
      <c r="X36" s="1566"/>
      <c r="Y36" s="3406"/>
      <c r="Z36" s="1574" t="str">
        <f t="shared" si="15"/>
        <v>公共部分装修</v>
      </c>
      <c r="AA36" s="1575">
        <f t="shared" si="3"/>
        <v>1</v>
      </c>
      <c r="AB36" s="1575">
        <f t="shared" si="4"/>
        <v>1</v>
      </c>
      <c r="AC36" s="1575">
        <f t="shared" si="5"/>
        <v>1</v>
      </c>
    </row>
    <row r="37" spans="1:29" s="1218"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35"/>
      <c r="M37" s="2136"/>
      <c r="N37" s="2136"/>
      <c r="O37" s="2137"/>
      <c r="P37" s="3406"/>
      <c r="Q37" s="1149" t="str">
        <f t="shared" si="11"/>
        <v>成新度</v>
      </c>
      <c r="R37" s="1567" t="s">
        <v>11</v>
      </c>
      <c r="S37" s="1568">
        <f t="shared" si="12"/>
        <v>100</v>
      </c>
      <c r="T37" s="1567" t="s">
        <v>11</v>
      </c>
      <c r="U37" s="1568">
        <f t="shared" si="13"/>
        <v>100</v>
      </c>
      <c r="V37" s="1567" t="s">
        <v>11</v>
      </c>
      <c r="W37" s="1568">
        <f t="shared" si="14"/>
        <v>100</v>
      </c>
      <c r="X37" s="1569"/>
      <c r="Y37" s="3406"/>
      <c r="Z37" s="1148" t="str">
        <f t="shared" si="15"/>
        <v>成新度</v>
      </c>
      <c r="AA37" s="1570">
        <f t="shared" si="3"/>
        <v>1</v>
      </c>
      <c r="AB37" s="1570">
        <f t="shared" si="4"/>
        <v>1</v>
      </c>
      <c r="AC37" s="1570">
        <f t="shared" si="5"/>
        <v>1</v>
      </c>
    </row>
    <row r="38" spans="1:29" ht="15">
      <c r="A38" s="593"/>
      <c r="B38" s="526" t="s">
        <v>731</v>
      </c>
      <c r="C38" s="598" t="s">
        <v>3220</v>
      </c>
      <c r="D38" s="539">
        <v>100</v>
      </c>
      <c r="E38" s="598" t="s">
        <v>3220</v>
      </c>
      <c r="F38" s="574">
        <f>SUMIF(114:114,E38,115:115)-SUMIF(114:114,C38,115:115)+100</f>
        <v>100</v>
      </c>
      <c r="G38" s="598" t="s">
        <v>3220</v>
      </c>
      <c r="H38" s="539">
        <f>SUMIF(114:114,G38,115:115)-SUMIF(114:114,C38,115:115)+100</f>
        <v>100</v>
      </c>
      <c r="I38" s="598" t="s">
        <v>3220</v>
      </c>
      <c r="J38" s="539">
        <f>SUMIF(114:114,I38,115:115)-SUMIF(114:114,C38,115:115)+100</f>
        <v>100</v>
      </c>
      <c r="K38" s="863">
        <v>2</v>
      </c>
      <c r="L38" s="2142"/>
      <c r="M38" s="2134"/>
      <c r="N38" s="2134"/>
      <c r="O38" s="2141"/>
      <c r="P38" s="3406" t="s">
        <v>550</v>
      </c>
      <c r="Q38" s="1571" t="str">
        <f t="shared" si="11"/>
        <v>物业管理</v>
      </c>
      <c r="R38" s="1572" t="s">
        <v>11</v>
      </c>
      <c r="S38" s="1573">
        <f t="shared" si="12"/>
        <v>100</v>
      </c>
      <c r="T38" s="1572" t="s">
        <v>11</v>
      </c>
      <c r="U38" s="1573">
        <f t="shared" si="13"/>
        <v>100</v>
      </c>
      <c r="V38" s="1572" t="s">
        <v>11</v>
      </c>
      <c r="W38" s="1573">
        <f t="shared" si="14"/>
        <v>100</v>
      </c>
      <c r="X38" s="1566"/>
      <c r="Y38" s="3406" t="s">
        <v>550</v>
      </c>
      <c r="Z38" s="1574" t="str">
        <f t="shared" si="15"/>
        <v>物业管理</v>
      </c>
      <c r="AA38" s="1575">
        <f t="shared" si="3"/>
        <v>1</v>
      </c>
      <c r="AB38" s="1575">
        <f t="shared" si="4"/>
        <v>1</v>
      </c>
      <c r="AC38" s="1575">
        <f t="shared" si="5"/>
        <v>1</v>
      </c>
    </row>
    <row r="39" spans="1:29" ht="15">
      <c r="A39" s="593"/>
      <c r="B39" s="1895" t="s">
        <v>2568</v>
      </c>
      <c r="C39" s="598" t="s">
        <v>3214</v>
      </c>
      <c r="D39" s="539">
        <v>100</v>
      </c>
      <c r="E39" s="598" t="s">
        <v>3214</v>
      </c>
      <c r="F39" s="574">
        <f>SUMIF(116:116,E39,117:117)-SUMIF(116:116,C39,117:117)+100</f>
        <v>100</v>
      </c>
      <c r="G39" s="598" t="s">
        <v>3214</v>
      </c>
      <c r="H39" s="539">
        <f>SUMIF(116:116,G39,117:117)-SUMIF(116:116,C39,117:117)+100</f>
        <v>100</v>
      </c>
      <c r="I39" s="598" t="s">
        <v>3214</v>
      </c>
      <c r="J39" s="539">
        <f>SUMIF(116:116,I39,117:117)-SUMIF(116:116,C39,117:117)+100</f>
        <v>100</v>
      </c>
      <c r="K39" s="863">
        <v>2</v>
      </c>
      <c r="L39" s="2142"/>
      <c r="M39" s="2134"/>
      <c r="N39" s="2134"/>
      <c r="O39" s="2141"/>
      <c r="P39" s="3406"/>
      <c r="Q39" s="1571" t="str">
        <f t="shared" si="11"/>
        <v>市政基础设施</v>
      </c>
      <c r="R39" s="1572" t="s">
        <v>11</v>
      </c>
      <c r="S39" s="1573">
        <f t="shared" si="12"/>
        <v>100</v>
      </c>
      <c r="T39" s="1572" t="s">
        <v>11</v>
      </c>
      <c r="U39" s="1573">
        <f t="shared" si="13"/>
        <v>100</v>
      </c>
      <c r="V39" s="1572" t="s">
        <v>11</v>
      </c>
      <c r="W39" s="1573">
        <f t="shared" si="14"/>
        <v>100</v>
      </c>
      <c r="X39" s="1566"/>
      <c r="Y39" s="3406"/>
      <c r="Z39" s="1574" t="str">
        <f t="shared" si="15"/>
        <v>市政基础设施</v>
      </c>
      <c r="AA39" s="1575">
        <f t="shared" si="3"/>
        <v>1</v>
      </c>
      <c r="AB39" s="1575">
        <f t="shared" si="4"/>
        <v>1</v>
      </c>
      <c r="AC39" s="1575">
        <f t="shared" si="5"/>
        <v>1</v>
      </c>
    </row>
    <row r="40" spans="1:29" ht="15">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v>1</v>
      </c>
      <c r="L40" s="2142"/>
      <c r="M40" s="2134"/>
      <c r="N40" s="2134"/>
      <c r="O40" s="2141"/>
      <c r="P40" s="3406"/>
      <c r="Q40" s="1571" t="str">
        <f t="shared" si="11"/>
        <v>房型</v>
      </c>
      <c r="R40" s="1572" t="s">
        <v>11</v>
      </c>
      <c r="S40" s="1573">
        <f t="shared" si="12"/>
        <v>100</v>
      </c>
      <c r="T40" s="1572" t="s">
        <v>11</v>
      </c>
      <c r="U40" s="1573">
        <f t="shared" si="13"/>
        <v>100</v>
      </c>
      <c r="V40" s="1572" t="s">
        <v>11</v>
      </c>
      <c r="W40" s="1573">
        <f t="shared" si="14"/>
        <v>100</v>
      </c>
      <c r="X40" s="1566"/>
      <c r="Y40" s="3406"/>
      <c r="Z40" s="1574" t="str">
        <f t="shared" si="15"/>
        <v>房型</v>
      </c>
      <c r="AA40" s="1575">
        <f t="shared" si="3"/>
        <v>1</v>
      </c>
      <c r="AB40" s="1575">
        <f t="shared" si="4"/>
        <v>1</v>
      </c>
      <c r="AC40" s="1575">
        <f t="shared" si="5"/>
        <v>1</v>
      </c>
    </row>
    <row r="41" spans="1:29" s="1337" customFormat="1" ht="28.5">
      <c r="A41" s="602"/>
      <c r="B41" s="526" t="s">
        <v>733</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40"/>
      <c r="M41" s="2171"/>
      <c r="N41" s="2171"/>
      <c r="O41" s="2143"/>
      <c r="P41" s="3406"/>
      <c r="Q41" s="1604" t="str">
        <f t="shared" si="11"/>
        <v>单套/主力户型建筑面积</v>
      </c>
      <c r="R41" s="1576" t="s">
        <v>11</v>
      </c>
      <c r="S41" s="1577">
        <f t="shared" si="12"/>
        <v>100</v>
      </c>
      <c r="T41" s="1576" t="s">
        <v>11</v>
      </c>
      <c r="U41" s="1577">
        <f t="shared" si="13"/>
        <v>100</v>
      </c>
      <c r="V41" s="1576" t="s">
        <v>11</v>
      </c>
      <c r="W41" s="1577">
        <f t="shared" si="14"/>
        <v>100</v>
      </c>
      <c r="X41" s="1578"/>
      <c r="Y41" s="3406"/>
      <c r="Z41" s="1579" t="str">
        <f t="shared" si="15"/>
        <v>单套/主力户型建筑面积</v>
      </c>
      <c r="AA41" s="1575">
        <f t="shared" si="3"/>
        <v>1</v>
      </c>
      <c r="AB41" s="1575">
        <f t="shared" si="4"/>
        <v>1</v>
      </c>
      <c r="AC41" s="1575">
        <f t="shared" si="5"/>
        <v>1</v>
      </c>
    </row>
    <row r="42" spans="1:29" ht="15">
      <c r="A42" s="593"/>
      <c r="B42" s="526" t="s">
        <v>734</v>
      </c>
      <c r="C42" s="598" t="s">
        <v>3211</v>
      </c>
      <c r="D42" s="539">
        <v>100</v>
      </c>
      <c r="E42" s="598" t="s">
        <v>3211</v>
      </c>
      <c r="F42" s="574">
        <f>SUMIF(122:122,E42,123:123)-SUMIF(122:122,C42,123:123)+100</f>
        <v>100</v>
      </c>
      <c r="G42" s="598" t="s">
        <v>3211</v>
      </c>
      <c r="H42" s="539">
        <f>SUMIF(122:122,G42,123:123)-SUMIF(122:122,C42,123:123)+100</f>
        <v>100</v>
      </c>
      <c r="I42" s="598" t="s">
        <v>3211</v>
      </c>
      <c r="J42" s="539">
        <f>SUMIF(122:122,I42,123:123)-SUMIF(122:122,C42,123:123)+100</f>
        <v>100</v>
      </c>
      <c r="K42" s="863">
        <v>3</v>
      </c>
      <c r="L42" s="2142"/>
      <c r="M42" s="2134"/>
      <c r="N42" s="2134"/>
      <c r="O42" s="2141"/>
      <c r="P42" s="3406"/>
      <c r="Q42" s="1571" t="str">
        <f t="shared" si="11"/>
        <v>内部装修</v>
      </c>
      <c r="R42" s="1572" t="s">
        <v>11</v>
      </c>
      <c r="S42" s="1573">
        <f t="shared" si="12"/>
        <v>100</v>
      </c>
      <c r="T42" s="1572" t="s">
        <v>11</v>
      </c>
      <c r="U42" s="1573">
        <f t="shared" si="13"/>
        <v>100</v>
      </c>
      <c r="V42" s="1572" t="s">
        <v>11</v>
      </c>
      <c r="W42" s="1573">
        <f t="shared" si="14"/>
        <v>100</v>
      </c>
      <c r="X42" s="1566"/>
      <c r="Y42" s="3406"/>
      <c r="Z42" s="1574" t="str">
        <f t="shared" si="15"/>
        <v>内部装修</v>
      </c>
      <c r="AA42" s="1575">
        <f t="shared" si="3"/>
        <v>1</v>
      </c>
      <c r="AB42" s="1575">
        <f t="shared" si="4"/>
        <v>1</v>
      </c>
      <c r="AC42" s="1575">
        <f t="shared" si="5"/>
        <v>1</v>
      </c>
    </row>
    <row r="43" spans="1:29" ht="27">
      <c r="A43" s="593"/>
      <c r="B43" s="526" t="s">
        <v>735</v>
      </c>
      <c r="C43" s="598" t="s">
        <v>3175</v>
      </c>
      <c r="D43" s="539">
        <v>100</v>
      </c>
      <c r="E43" s="598" t="s">
        <v>3175</v>
      </c>
      <c r="F43" s="574">
        <f>SUMIF(124:124,E43,125:125)-SUMIF(124:124,C43,125:125)+100</f>
        <v>100</v>
      </c>
      <c r="G43" s="598" t="s">
        <v>3175</v>
      </c>
      <c r="H43" s="539">
        <f>SUMIF(124:124,G43,125:125)-SUMIF(124:124,C43,125:125)+100</f>
        <v>100</v>
      </c>
      <c r="I43" s="598" t="s">
        <v>3175</v>
      </c>
      <c r="J43" s="539">
        <f>SUMIF(124:124,I43,125:125)-SUMIF(124:124,C43,125:125)+100</f>
        <v>100</v>
      </c>
      <c r="K43" s="863">
        <v>2</v>
      </c>
      <c r="L43" s="2142"/>
      <c r="M43" s="2134"/>
      <c r="N43" s="2134"/>
      <c r="O43" s="2141"/>
      <c r="P43" s="3406"/>
      <c r="Q43" s="1571" t="str">
        <f t="shared" si="11"/>
        <v>内部装修维护情况</v>
      </c>
      <c r="R43" s="1572" t="s">
        <v>11</v>
      </c>
      <c r="S43" s="1573">
        <f t="shared" si="12"/>
        <v>100</v>
      </c>
      <c r="T43" s="1572" t="s">
        <v>11</v>
      </c>
      <c r="U43" s="1573">
        <f t="shared" si="13"/>
        <v>100</v>
      </c>
      <c r="V43" s="1572" t="s">
        <v>11</v>
      </c>
      <c r="W43" s="1573">
        <f t="shared" si="14"/>
        <v>100</v>
      </c>
      <c r="X43" s="1566"/>
      <c r="Y43" s="3406"/>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06"/>
      <c r="Q44" s="1149">
        <f t="shared" si="11"/>
        <v>111</v>
      </c>
      <c r="R44" s="1567" t="s">
        <v>11</v>
      </c>
      <c r="S44" s="1568">
        <f t="shared" si="12"/>
        <v>100</v>
      </c>
      <c r="T44" s="1567" t="s">
        <v>11</v>
      </c>
      <c r="U44" s="1568">
        <f t="shared" si="13"/>
        <v>100</v>
      </c>
      <c r="V44" s="1567" t="s">
        <v>11</v>
      </c>
      <c r="W44" s="1568">
        <f t="shared" si="14"/>
        <v>100</v>
      </c>
      <c r="X44" s="1569"/>
      <c r="Y44" s="3406"/>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6"/>
      <c r="Q45" s="1571">
        <f t="shared" si="11"/>
        <v>111</v>
      </c>
      <c r="R45" s="1572" t="s">
        <v>11</v>
      </c>
      <c r="S45" s="1573">
        <f t="shared" si="12"/>
        <v>100</v>
      </c>
      <c r="T45" s="1572" t="s">
        <v>11</v>
      </c>
      <c r="U45" s="1573">
        <f t="shared" si="13"/>
        <v>100</v>
      </c>
      <c r="V45" s="1572" t="s">
        <v>11</v>
      </c>
      <c r="W45" s="1573">
        <f t="shared" si="14"/>
        <v>100</v>
      </c>
      <c r="X45" s="1566"/>
      <c r="Y45" s="3406"/>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09"/>
      <c r="Q46" s="1571">
        <f t="shared" si="11"/>
        <v>111</v>
      </c>
      <c r="R46" s="1572" t="s">
        <v>10</v>
      </c>
      <c r="S46" s="1573">
        <f t="shared" si="12"/>
        <v>100</v>
      </c>
      <c r="T46" s="1572" t="s">
        <v>10</v>
      </c>
      <c r="U46" s="1573">
        <f t="shared" si="13"/>
        <v>100</v>
      </c>
      <c r="V46" s="1572" t="s">
        <v>10</v>
      </c>
      <c r="W46" s="1573">
        <f t="shared" si="14"/>
        <v>100</v>
      </c>
      <c r="X46" s="1566"/>
      <c r="Y46" s="3409"/>
      <c r="Z46" s="1574">
        <f t="shared" si="15"/>
        <v>111</v>
      </c>
      <c r="AA46" s="1575">
        <f t="shared" si="3"/>
        <v>1</v>
      </c>
      <c r="AB46" s="1575">
        <f t="shared" si="4"/>
        <v>1</v>
      </c>
      <c r="AC46" s="1575">
        <f t="shared" si="5"/>
        <v>1</v>
      </c>
    </row>
    <row r="47" spans="1:29" ht="15">
      <c r="A47" s="606" t="s">
        <v>736</v>
      </c>
      <c r="B47" s="886"/>
      <c r="C47" s="2651" t="s">
        <v>9</v>
      </c>
      <c r="D47" s="2652"/>
      <c r="E47" s="2653">
        <v>12800</v>
      </c>
      <c r="F47" s="2654"/>
      <c r="G47" s="2655">
        <v>13500</v>
      </c>
      <c r="H47" s="2656"/>
      <c r="I47" s="2653">
        <v>13800</v>
      </c>
      <c r="J47" s="2656"/>
      <c r="K47" s="1605"/>
      <c r="L47" s="2144"/>
      <c r="M47" s="2145"/>
      <c r="N47" s="2134"/>
      <c r="O47" s="2145"/>
      <c r="P47" s="3369" t="str">
        <f>A47</f>
        <v>成交单价（元/平方米）</v>
      </c>
      <c r="Q47" s="3369"/>
      <c r="R47" s="3408">
        <f>E47</f>
        <v>12800</v>
      </c>
      <c r="S47" s="3408"/>
      <c r="T47" s="3408">
        <f>G47</f>
        <v>13500</v>
      </c>
      <c r="U47" s="3408"/>
      <c r="V47" s="3408">
        <f>I47</f>
        <v>13800</v>
      </c>
      <c r="W47" s="3408"/>
      <c r="X47" s="1558"/>
      <c r="Y47" s="1580"/>
      <c r="Z47" s="1558"/>
      <c r="AA47" s="1558"/>
      <c r="AB47" s="1558"/>
      <c r="AC47" s="1558"/>
    </row>
    <row r="48" spans="1:29" ht="15.75" thickBot="1">
      <c r="A48" s="614" t="s">
        <v>2764</v>
      </c>
      <c r="B48" s="887"/>
      <c r="C48" s="2657">
        <f>R49</f>
        <v>14245</v>
      </c>
      <c r="D48" s="2658"/>
      <c r="E48" s="2659">
        <f>R48</f>
        <v>12937</v>
      </c>
      <c r="F48" s="2659"/>
      <c r="G48" s="2657">
        <f>T48</f>
        <v>14506</v>
      </c>
      <c r="H48" s="2658"/>
      <c r="I48" s="2659">
        <f>V48</f>
        <v>15293</v>
      </c>
      <c r="J48" s="2658"/>
      <c r="K48" s="1606"/>
      <c r="L48" s="2144"/>
      <c r="M48" s="2145"/>
      <c r="N48" s="2145"/>
      <c r="O48" s="2145"/>
      <c r="P48" s="3369" t="str">
        <f>A48</f>
        <v>比较价格（元/平方米）</v>
      </c>
      <c r="Q48" s="3369"/>
      <c r="R48" s="3408">
        <f>IF(F1="售价",ROUND(PRODUCT(R47,AA7:AA46),0),ROUND(PRODUCT(R47,AA7:AA46),1))</f>
        <v>12937</v>
      </c>
      <c r="S48" s="3408"/>
      <c r="T48" s="3408">
        <f>IF(F1="售价",ROUND(PRODUCT(T47,AB7:AB46),0),ROUND(PRODUCT(T47,AB7:AB46),1))</f>
        <v>14506</v>
      </c>
      <c r="U48" s="3408"/>
      <c r="V48" s="3408">
        <f>IF(F1="售价",ROUND(PRODUCT(V47,AC7:AC46),0),ROUND(PRODUCT(V47,AC7:AC46),1))</f>
        <v>15293</v>
      </c>
      <c r="W48" s="3408"/>
      <c r="X48" s="1558"/>
      <c r="Y48" s="1558"/>
      <c r="Z48" s="1558"/>
      <c r="AA48" s="1558"/>
      <c r="AB48" s="1558"/>
      <c r="AC48" s="1558"/>
    </row>
    <row r="49" spans="1:29" ht="15.75" thickBot="1">
      <c r="A49" s="620" t="s">
        <v>2936</v>
      </c>
      <c r="B49" s="621"/>
      <c r="C49" s="2660">
        <f>R49</f>
        <v>14245</v>
      </c>
      <c r="D49" s="2660"/>
      <c r="E49" s="2660"/>
      <c r="F49" s="2660"/>
      <c r="G49" s="2660"/>
      <c r="H49" s="2660"/>
      <c r="I49" s="2660"/>
      <c r="J49" s="2660"/>
      <c r="K49" s="1607"/>
      <c r="L49" s="2144"/>
      <c r="M49" s="2145"/>
      <c r="N49" s="2145"/>
      <c r="O49" s="2145"/>
      <c r="P49" s="3366" t="str">
        <f>A49</f>
        <v>估价对象XX用房的比较价格（楼面单价，元/平方米）</v>
      </c>
      <c r="Q49" s="3367"/>
      <c r="R49" s="3407">
        <f>IF(F1="售价",ROUND(AVERAGE(R48:V48),0),ROUND(AVERAGE(R48:V48),1))</f>
        <v>14245</v>
      </c>
      <c r="S49" s="3407"/>
      <c r="T49" s="3407"/>
      <c r="U49" s="3407"/>
      <c r="V49" s="3407"/>
      <c r="W49" s="340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1.0703125000000036E-2</v>
      </c>
      <c r="F52" s="626" t="str">
        <f>IF(OR(E52&gt;=0.3,E52&lt;=-0.3),"超过30%","")</f>
        <v/>
      </c>
      <c r="G52" s="625">
        <f>IF(G47&lt;G48,G48/G47-1,G47/G48-1)</f>
        <v>7.4518518518518428E-2</v>
      </c>
      <c r="H52" s="626" t="str">
        <f>IF(OR(G52&gt;=0.3,G52&lt;=-0.3),"超过30%","")</f>
        <v/>
      </c>
      <c r="I52" s="625">
        <f>IF(I47&lt;I48,I48/I47-1,I47/I48-1)</f>
        <v>0.10818840579710143</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0.12128004947051085</v>
      </c>
      <c r="F53" s="626" t="str">
        <f>IF(OR(E53&gt;=0.2,E53&lt;=-0.2),"超过20%","")</f>
        <v/>
      </c>
      <c r="G53" s="625">
        <f>IF(G48&lt;I48,I48/G48-1,G48/I48-1)</f>
        <v>5.425341238108361E-2</v>
      </c>
      <c r="H53" s="626" t="str">
        <f>IF(OR(G53&gt;=0.2,G53&lt;=-0.2),"超过20%","")</f>
        <v/>
      </c>
      <c r="I53" s="625">
        <f>IF(I48&lt;E48,E48/I48-1,I48/E48-1)</f>
        <v>0.1821133183891166</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f>IF(E47&lt;G47,G47/E47-1,E47/G47-1)</f>
        <v>5.46875E-2</v>
      </c>
      <c r="F54" s="626" t="str">
        <f>IF(OR(E54&gt;=0.3,E54&lt;=-0.3),"超过30%","")</f>
        <v/>
      </c>
      <c r="G54" s="625">
        <f>IF(G47&lt;I47,I47/G47-1,G47/I47-1)</f>
        <v>2.2222222222222143E-2</v>
      </c>
      <c r="H54" s="626" t="str">
        <f>IF(OR(G54&gt;=0.3,G54&lt;=-0.3),"超过30%","")</f>
        <v/>
      </c>
      <c r="I54" s="625">
        <f>IF(I47&lt;E47,E47/I47-1,I47/E47-1)</f>
        <v>7.8125E-2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98</v>
      </c>
      <c r="E83" s="678">
        <f>D83-$K21</f>
        <v>96</v>
      </c>
      <c r="F83" s="678">
        <f>E83-$K21</f>
        <v>94</v>
      </c>
      <c r="G83" s="678">
        <f>F83-$K21</f>
        <v>92</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2260</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87" t="s">
        <v>3197</v>
      </c>
      <c r="D100" s="3187" t="s">
        <v>3198</v>
      </c>
      <c r="E100" s="3187" t="s">
        <v>3200</v>
      </c>
      <c r="F100" s="3187" t="s">
        <v>3202</v>
      </c>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100000</v>
      </c>
      <c r="E103" s="729">
        <v>200000</v>
      </c>
      <c r="F103" s="729">
        <v>300000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1" t="s">
        <v>3203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2" t="s">
        <v>3205</v>
      </c>
      <c r="D107" s="3192" t="s">
        <v>3206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1" t="s">
        <v>3208</v>
      </c>
      <c r="D109" s="3191" t="s">
        <v>3209</v>
      </c>
      <c r="E109" s="3191" t="s">
        <v>3210</v>
      </c>
      <c r="F109" s="3192" t="s">
        <v>3212</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1" t="s">
        <v>3221</v>
      </c>
      <c r="D114" s="3191" t="s">
        <v>3206</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2560</v>
      </c>
      <c r="C116" s="3191" t="s">
        <v>3213</v>
      </c>
      <c r="D116" s="3191" t="s">
        <v>3215</v>
      </c>
      <c r="E116" s="3191" t="s">
        <v>3216</v>
      </c>
      <c r="F116" s="3191" t="s">
        <v>3217</v>
      </c>
      <c r="G116" s="3191" t="s">
        <v>3219</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1" t="s">
        <v>3208</v>
      </c>
      <c r="D122" s="3191" t="s">
        <v>3209</v>
      </c>
      <c r="E122" s="3191" t="s">
        <v>3210</v>
      </c>
      <c r="F122" s="3192" t="s">
        <v>3212</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48" sqref="G4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757</v>
      </c>
      <c r="C1" s="503" t="s">
        <v>720</v>
      </c>
      <c r="D1" s="2370" t="s">
        <v>3154</v>
      </c>
      <c r="E1" s="505"/>
      <c r="F1" s="2831" t="s">
        <v>3180</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f>ROUND(B3*D3/10000,0)</f>
        <v>1586</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519</v>
      </c>
      <c r="B3" s="509">
        <f>C49</f>
        <v>21009</v>
      </c>
      <c r="C3" s="851" t="s">
        <v>722</v>
      </c>
      <c r="D3" s="850">
        <f>SUMIF('数据-汇总表'!$C19:$C33,D1,'数据-汇总表'!$E19:$E33)</f>
        <v>754.88</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375" t="s">
        <v>522</v>
      </c>
      <c r="D4" s="3376"/>
      <c r="E4" s="3410" t="s">
        <v>523</v>
      </c>
      <c r="F4" s="3411"/>
      <c r="G4" s="3375" t="s">
        <v>524</v>
      </c>
      <c r="H4" s="3376"/>
      <c r="I4" s="3375" t="s">
        <v>525</v>
      </c>
      <c r="J4" s="3376"/>
      <c r="K4" s="513" t="s">
        <v>526</v>
      </c>
      <c r="L4" s="2133"/>
      <c r="M4" s="2134"/>
      <c r="N4" s="2134"/>
      <c r="O4" s="2134"/>
      <c r="P4" s="3377" t="s">
        <v>527</v>
      </c>
      <c r="Q4" s="3378"/>
      <c r="R4" s="3383" t="s">
        <v>523</v>
      </c>
      <c r="S4" s="3384"/>
      <c r="T4" s="3383" t="s">
        <v>524</v>
      </c>
      <c r="U4" s="3384"/>
      <c r="V4" s="3370" t="s">
        <v>525</v>
      </c>
      <c r="W4" s="3370"/>
      <c r="X4" s="1566"/>
      <c r="Y4" s="3383" t="s">
        <v>527</v>
      </c>
      <c r="Z4" s="3384"/>
      <c r="AA4" s="3372" t="s">
        <v>523</v>
      </c>
      <c r="AB4" s="3370" t="s">
        <v>524</v>
      </c>
      <c r="AC4" s="3372" t="s">
        <v>525</v>
      </c>
    </row>
    <row r="5" spans="1:29" ht="15">
      <c r="A5" s="514"/>
      <c r="B5" s="515"/>
      <c r="C5" s="3391" t="s">
        <v>2930</v>
      </c>
      <c r="D5" s="3392"/>
      <c r="E5" s="3415" t="s">
        <v>3193</v>
      </c>
      <c r="F5" s="3416"/>
      <c r="G5" s="3412" t="s">
        <v>3276</v>
      </c>
      <c r="H5" s="3392"/>
      <c r="I5" s="3412" t="s">
        <v>3196</v>
      </c>
      <c r="J5" s="3392"/>
      <c r="K5" s="513"/>
      <c r="L5" s="2133"/>
      <c r="M5" s="2134"/>
      <c r="N5" s="2134"/>
      <c r="O5" s="2134"/>
      <c r="P5" s="3379"/>
      <c r="Q5" s="3380"/>
      <c r="R5" s="3385"/>
      <c r="S5" s="3386"/>
      <c r="T5" s="3385"/>
      <c r="U5" s="3386"/>
      <c r="V5" s="3370"/>
      <c r="W5" s="3370"/>
      <c r="X5" s="1566"/>
      <c r="Y5" s="3385"/>
      <c r="Z5" s="3386"/>
      <c r="AA5" s="3373"/>
      <c r="AB5" s="3370"/>
      <c r="AC5" s="3373"/>
    </row>
    <row r="6" spans="1:29" ht="15.75" thickBot="1">
      <c r="A6" s="516"/>
      <c r="B6" s="517"/>
      <c r="C6" s="3389" t="s">
        <v>2934</v>
      </c>
      <c r="D6" s="3390"/>
      <c r="E6" s="3413" t="s">
        <v>2934</v>
      </c>
      <c r="F6" s="3414"/>
      <c r="G6" s="3389" t="s">
        <v>2934</v>
      </c>
      <c r="H6" s="3390"/>
      <c r="I6" s="3389" t="s">
        <v>2934</v>
      </c>
      <c r="J6" s="3390"/>
      <c r="K6" s="513" t="s">
        <v>528</v>
      </c>
      <c r="L6" s="2133"/>
      <c r="M6" s="2134"/>
      <c r="N6" s="2134"/>
      <c r="O6" s="2134"/>
      <c r="P6" s="3381"/>
      <c r="Q6" s="3382"/>
      <c r="R6" s="3385"/>
      <c r="S6" s="3386"/>
      <c r="T6" s="3387"/>
      <c r="U6" s="3388"/>
      <c r="V6" s="3370"/>
      <c r="W6" s="3370"/>
      <c r="X6" s="1566"/>
      <c r="Y6" s="3387"/>
      <c r="Z6" s="3388"/>
      <c r="AA6" s="3374"/>
      <c r="AB6" s="3370"/>
      <c r="AC6" s="3374"/>
    </row>
    <row r="7" spans="1:29" s="1218" customFormat="1" ht="15.75" thickBot="1">
      <c r="A7" s="2935"/>
      <c r="B7" s="2942" t="s">
        <v>529</v>
      </c>
      <c r="C7" s="518">
        <f>'数据-取费表'!B2</f>
        <v>43249</v>
      </c>
      <c r="D7" s="519">
        <v>100</v>
      </c>
      <c r="E7" s="520">
        <v>43249</v>
      </c>
      <c r="F7" s="521">
        <f>SUMIF(58:58,YEAR(E7)&amp;"-"&amp;MONTH(E7),59:59)</f>
        <v>100</v>
      </c>
      <c r="G7" s="520">
        <v>43249</v>
      </c>
      <c r="H7" s="519">
        <f>SUMIF(58:58,YEAR(G7)&amp;"-"&amp;MONTH(G7),59:59)</f>
        <v>100</v>
      </c>
      <c r="I7" s="520">
        <v>43249</v>
      </c>
      <c r="J7" s="519">
        <f>SUMIF(58:58,YEAR(I7)&amp;"-"&amp;MONTH(I7),59:59)</f>
        <v>100</v>
      </c>
      <c r="K7" s="523"/>
      <c r="L7" s="2135"/>
      <c r="M7" s="2136"/>
      <c r="N7" s="2136"/>
      <c r="O7" s="2136"/>
      <c r="P7" s="3400" t="s">
        <v>530</v>
      </c>
      <c r="Q7" s="3402"/>
      <c r="R7" s="1567" t="s">
        <v>8</v>
      </c>
      <c r="S7" s="1568">
        <f t="shared" ref="S7:S15" si="0">F7</f>
        <v>100</v>
      </c>
      <c r="T7" s="1567" t="s">
        <v>8</v>
      </c>
      <c r="U7" s="1568">
        <f t="shared" ref="U7:U15" si="1">H7</f>
        <v>100</v>
      </c>
      <c r="V7" s="1567" t="s">
        <v>8</v>
      </c>
      <c r="W7" s="1568">
        <f t="shared" ref="W7:W15" si="2">J7</f>
        <v>100</v>
      </c>
      <c r="X7" s="1569"/>
      <c r="Y7" s="3400" t="s">
        <v>530</v>
      </c>
      <c r="Z7" s="3401"/>
      <c r="AA7" s="1570">
        <f>D7/F7</f>
        <v>1</v>
      </c>
      <c r="AB7" s="1570">
        <f>D7/H7</f>
        <v>1</v>
      </c>
      <c r="AC7" s="1570">
        <f>D7/J7</f>
        <v>1</v>
      </c>
    </row>
    <row r="8" spans="1:29" s="1218" customFormat="1" ht="15.75" thickBot="1">
      <c r="A8" s="2936"/>
      <c r="B8" s="2943" t="s">
        <v>531</v>
      </c>
      <c r="C8" s="524" t="s">
        <v>576</v>
      </c>
      <c r="D8" s="519">
        <v>100</v>
      </c>
      <c r="E8" s="524" t="s">
        <v>3144</v>
      </c>
      <c r="F8" s="521">
        <f>SUMIF(61:61,E8,62:62)-SUMIF(61:61,C8,62:62)+100</f>
        <v>100</v>
      </c>
      <c r="G8" s="524" t="s">
        <v>3144</v>
      </c>
      <c r="H8" s="519">
        <f>SUMIF(61:61,G8,62:62)-SUMIF(61:61,C8,62:62)+100</f>
        <v>100</v>
      </c>
      <c r="I8" s="524" t="s">
        <v>3144</v>
      </c>
      <c r="J8" s="519">
        <f>SUMIF(61:61,I8,62:62)-SUMIF(61:61,C8,62:62)+100</f>
        <v>100</v>
      </c>
      <c r="K8" s="523"/>
      <c r="L8" s="2135"/>
      <c r="M8" s="2136"/>
      <c r="N8" s="2136"/>
      <c r="O8" s="2136"/>
      <c r="P8" s="3400" t="s">
        <v>533</v>
      </c>
      <c r="Q8" s="3401"/>
      <c r="R8" s="1567" t="s">
        <v>8</v>
      </c>
      <c r="S8" s="1568">
        <f t="shared" si="0"/>
        <v>100</v>
      </c>
      <c r="T8" s="1567" t="s">
        <v>8</v>
      </c>
      <c r="U8" s="1568">
        <f t="shared" si="1"/>
        <v>100</v>
      </c>
      <c r="V8" s="1567" t="s">
        <v>8</v>
      </c>
      <c r="W8" s="1568">
        <f t="shared" si="2"/>
        <v>100</v>
      </c>
      <c r="X8" s="1569"/>
      <c r="Y8" s="3400" t="s">
        <v>533</v>
      </c>
      <c r="Z8" s="3401"/>
      <c r="AA8" s="1570">
        <f t="shared" ref="AA8:AA46" si="3">D8/F8</f>
        <v>1</v>
      </c>
      <c r="AB8" s="1570">
        <f t="shared" ref="AB8:AB46" si="4">D8/H8</f>
        <v>1</v>
      </c>
      <c r="AC8" s="1570">
        <f t="shared" ref="AC8:AC46" si="5">D8/J8</f>
        <v>1</v>
      </c>
    </row>
    <row r="9" spans="1:29" s="1218" customFormat="1" ht="15">
      <c r="A9" s="2937"/>
      <c r="B9" s="2944" t="s">
        <v>2760</v>
      </c>
      <c r="C9" s="3188" t="s">
        <v>3247</v>
      </c>
      <c r="D9" s="253">
        <v>100</v>
      </c>
      <c r="E9" s="859" t="s">
        <v>3154</v>
      </c>
      <c r="F9" s="253">
        <f>SUMIF(63:63,E9,64:64)-SUMIF(63:63,C9,64:64)+100</f>
        <v>100</v>
      </c>
      <c r="G9" s="857" t="s">
        <v>3154</v>
      </c>
      <c r="H9" s="253">
        <f>SUMIF(63:63,G9,64:64)-SUMIF(63:63,C9,64:64)+100</f>
        <v>100</v>
      </c>
      <c r="I9" s="857" t="s">
        <v>3154</v>
      </c>
      <c r="J9" s="253">
        <f>SUMIF(63:63,I9,64:64)-SUMIF(63:63,C9,64:64)+100</f>
        <v>100</v>
      </c>
      <c r="K9" s="523"/>
      <c r="L9" s="2135"/>
      <c r="M9" s="2136"/>
      <c r="N9" s="2136"/>
      <c r="O9" s="2137"/>
      <c r="P9" s="3369" t="s">
        <v>535</v>
      </c>
      <c r="Q9" s="1149" t="str">
        <f t="shared" ref="Q9:Q15" si="6">B9</f>
        <v>用途</v>
      </c>
      <c r="R9" s="1567" t="s">
        <v>8</v>
      </c>
      <c r="S9" s="1568">
        <f t="shared" si="0"/>
        <v>100</v>
      </c>
      <c r="T9" s="1567" t="s">
        <v>8</v>
      </c>
      <c r="U9" s="1568">
        <f t="shared" si="1"/>
        <v>100</v>
      </c>
      <c r="V9" s="1567" t="s">
        <v>8</v>
      </c>
      <c r="W9" s="1568">
        <f t="shared" si="2"/>
        <v>100</v>
      </c>
      <c r="X9" s="1569"/>
      <c r="Y9" s="3315" t="s">
        <v>536</v>
      </c>
      <c r="Z9" s="1148" t="str">
        <f t="shared" ref="Z9:Z15" si="7">Q9</f>
        <v>用途</v>
      </c>
      <c r="AA9" s="1570">
        <f t="shared" si="3"/>
        <v>1</v>
      </c>
      <c r="AB9" s="1570">
        <f t="shared" si="4"/>
        <v>1</v>
      </c>
      <c r="AC9" s="1570">
        <f t="shared" si="5"/>
        <v>1</v>
      </c>
    </row>
    <row r="10" spans="1:29" s="1336" customFormat="1" ht="27">
      <c r="A10" s="2938"/>
      <c r="B10" s="2943" t="s">
        <v>2761</v>
      </c>
      <c r="C10" s="860" t="s">
        <v>3248</v>
      </c>
      <c r="D10" s="254">
        <v>100</v>
      </c>
      <c r="E10" s="860" t="s">
        <v>3248</v>
      </c>
      <c r="F10" s="254">
        <f>SUMIF(65:65,E10,66:66)-SUMIF(65:65,C10,66:66)+100</f>
        <v>100</v>
      </c>
      <c r="G10" s="861" t="s">
        <v>3248</v>
      </c>
      <c r="H10" s="254">
        <f>SUMIF(65:65,G10,66:66)-SUMIF(65:65,C10,66:66)+100</f>
        <v>100</v>
      </c>
      <c r="I10" s="860" t="s">
        <v>3248</v>
      </c>
      <c r="J10" s="254">
        <f>SUMIF(65:65,I10,66:66)-SUMIF(65:65,C10,66:66)+100</f>
        <v>100</v>
      </c>
      <c r="K10" s="583">
        <v>1</v>
      </c>
      <c r="L10" s="2138"/>
      <c r="M10" s="2178"/>
      <c r="N10" s="2178"/>
      <c r="O10" s="2139"/>
      <c r="P10" s="3369"/>
      <c r="Q10" s="1149" t="str">
        <f t="shared" si="6"/>
        <v>土地使用年限（年）</v>
      </c>
      <c r="R10" s="1567" t="s">
        <v>8</v>
      </c>
      <c r="S10" s="1568">
        <f t="shared" si="0"/>
        <v>100</v>
      </c>
      <c r="T10" s="1567" t="s">
        <v>8</v>
      </c>
      <c r="U10" s="1568">
        <f t="shared" si="1"/>
        <v>100</v>
      </c>
      <c r="V10" s="1567" t="s">
        <v>8</v>
      </c>
      <c r="W10" s="1568">
        <f t="shared" si="2"/>
        <v>100</v>
      </c>
      <c r="X10" s="1569"/>
      <c r="Y10" s="3315"/>
      <c r="Z10" s="1148" t="str">
        <f t="shared" si="7"/>
        <v>土地使用年限（年）</v>
      </c>
      <c r="AA10" s="1570">
        <f t="shared" si="3"/>
        <v>1</v>
      </c>
      <c r="AB10" s="1570">
        <f t="shared" si="4"/>
        <v>1</v>
      </c>
      <c r="AC10" s="1570">
        <f t="shared" si="5"/>
        <v>1</v>
      </c>
    </row>
    <row r="11" spans="1:29" ht="15">
      <c r="A11" s="2939"/>
      <c r="B11" s="2943" t="s">
        <v>2762</v>
      </c>
      <c r="C11" s="532">
        <v>1.6</v>
      </c>
      <c r="D11" s="254">
        <v>100</v>
      </c>
      <c r="E11" s="532">
        <v>1.62</v>
      </c>
      <c r="F11" s="254">
        <f>LOOKUP(E11,68:68,69:69)-LOOKUP(C11,68:68,69:69)+100</f>
        <v>100</v>
      </c>
      <c r="G11" s="533">
        <v>1.6</v>
      </c>
      <c r="H11" s="254">
        <f>LOOKUP(G11,68:68,69:69)-LOOKUP(C11,68:68,69:69)+100</f>
        <v>100</v>
      </c>
      <c r="I11" s="532">
        <v>2</v>
      </c>
      <c r="J11" s="254">
        <f>LOOKUP(I11,68:68,69:69)-LOOKUP(C11,68:68,69:69)+100</f>
        <v>98</v>
      </c>
      <c r="K11" s="583">
        <v>2</v>
      </c>
      <c r="L11" s="2140"/>
      <c r="M11" s="2134"/>
      <c r="N11" s="2134"/>
      <c r="O11" s="2141"/>
      <c r="P11" s="3369"/>
      <c r="Q11" s="1149" t="str">
        <f t="shared" si="6"/>
        <v>容积率</v>
      </c>
      <c r="R11" s="1567" t="s">
        <v>8</v>
      </c>
      <c r="S11" s="1568">
        <f t="shared" si="0"/>
        <v>100</v>
      </c>
      <c r="T11" s="1567" t="s">
        <v>8</v>
      </c>
      <c r="U11" s="1568">
        <f t="shared" si="1"/>
        <v>100</v>
      </c>
      <c r="V11" s="1567" t="s">
        <v>8</v>
      </c>
      <c r="W11" s="1568">
        <f t="shared" si="2"/>
        <v>98</v>
      </c>
      <c r="X11" s="1569"/>
      <c r="Y11" s="3315"/>
      <c r="Z11" s="1148" t="str">
        <f t="shared" si="7"/>
        <v>容积率</v>
      </c>
      <c r="AA11" s="1570">
        <f t="shared" si="3"/>
        <v>1</v>
      </c>
      <c r="AB11" s="1570">
        <f t="shared" si="4"/>
        <v>1</v>
      </c>
      <c r="AC11" s="1570">
        <f t="shared" si="5"/>
        <v>1.0204081632653061</v>
      </c>
    </row>
    <row r="12" spans="1:29" s="1218" customFormat="1" ht="15">
      <c r="A12" s="2940"/>
      <c r="B12" s="2946">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369"/>
      <c r="Q12" s="1149">
        <f t="shared" si="6"/>
        <v>111</v>
      </c>
      <c r="R12" s="1567" t="s">
        <v>8</v>
      </c>
      <c r="S12" s="1568">
        <f t="shared" si="0"/>
        <v>100</v>
      </c>
      <c r="T12" s="1567" t="s">
        <v>8</v>
      </c>
      <c r="U12" s="1568">
        <f t="shared" si="1"/>
        <v>100</v>
      </c>
      <c r="V12" s="1567" t="s">
        <v>8</v>
      </c>
      <c r="W12" s="1568">
        <f t="shared" si="2"/>
        <v>100</v>
      </c>
      <c r="X12" s="1569"/>
      <c r="Y12" s="3315"/>
      <c r="Z12" s="1148">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369"/>
      <c r="Q13" s="1149">
        <f t="shared" si="6"/>
        <v>111</v>
      </c>
      <c r="R13" s="1567" t="s">
        <v>8</v>
      </c>
      <c r="S13" s="1568">
        <f t="shared" si="0"/>
        <v>100</v>
      </c>
      <c r="T13" s="1567" t="s">
        <v>8</v>
      </c>
      <c r="U13" s="1568">
        <f t="shared" si="1"/>
        <v>100</v>
      </c>
      <c r="V13" s="1567" t="s">
        <v>8</v>
      </c>
      <c r="W13" s="1568">
        <f t="shared" si="2"/>
        <v>100</v>
      </c>
      <c r="X13" s="1569"/>
      <c r="Y13" s="3315"/>
      <c r="Z13" s="1148">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369"/>
      <c r="Q14" s="1149">
        <f t="shared" si="6"/>
        <v>111</v>
      </c>
      <c r="R14" s="1567" t="s">
        <v>8</v>
      </c>
      <c r="S14" s="1568">
        <f t="shared" si="0"/>
        <v>100</v>
      </c>
      <c r="T14" s="1567" t="s">
        <v>8</v>
      </c>
      <c r="U14" s="1568">
        <f t="shared" si="1"/>
        <v>100</v>
      </c>
      <c r="V14" s="1567" t="s">
        <v>8</v>
      </c>
      <c r="W14" s="1568">
        <f t="shared" si="2"/>
        <v>100</v>
      </c>
      <c r="X14" s="1569"/>
      <c r="Y14" s="3315"/>
      <c r="Z14" s="1148">
        <f t="shared" si="7"/>
        <v>111</v>
      </c>
      <c r="AA14" s="1570">
        <f t="shared" si="3"/>
        <v>1</v>
      </c>
      <c r="AB14" s="1570">
        <f t="shared" si="4"/>
        <v>1</v>
      </c>
      <c r="AC14" s="1570">
        <f t="shared" si="5"/>
        <v>1</v>
      </c>
    </row>
    <row r="15" spans="1:29" ht="57">
      <c r="A15" s="2933" t="s">
        <v>2758</v>
      </c>
      <c r="B15" s="165" t="s">
        <v>541</v>
      </c>
      <c r="C15" s="866" t="str">
        <f>估价对象房地状况!C4</f>
        <v>估价对象周边商业氛围较成熟，人流量较大，商业繁华度较好</v>
      </c>
      <c r="D15" s="548">
        <v>100</v>
      </c>
      <c r="E15" s="549"/>
      <c r="F15" s="550">
        <f>SUMIF(76:76,E16,77:77)-SUMIF(76:76,C16,77:77)+100</f>
        <v>100</v>
      </c>
      <c r="G15" s="551"/>
      <c r="H15" s="548">
        <f>SUMIF(76:76,G16,77:77)-SUMIF(76:76,C16,77:77)+100</f>
        <v>98</v>
      </c>
      <c r="I15" s="549"/>
      <c r="J15" s="548">
        <f>SUMIF(76:76,I16,77:77)-SUMIF(76:76,C16,77:77)+100</f>
        <v>98</v>
      </c>
      <c r="K15" s="897">
        <v>2</v>
      </c>
      <c r="L15" s="2142"/>
      <c r="M15" s="2134"/>
      <c r="N15" s="2134"/>
      <c r="O15" s="2141"/>
      <c r="P15" s="3403" t="s">
        <v>540</v>
      </c>
      <c r="Q15" s="1571" t="str">
        <f t="shared" si="6"/>
        <v>商业繁华度</v>
      </c>
      <c r="R15" s="1572" t="s">
        <v>8</v>
      </c>
      <c r="S15" s="1573">
        <f t="shared" si="0"/>
        <v>100</v>
      </c>
      <c r="T15" s="1572" t="s">
        <v>8</v>
      </c>
      <c r="U15" s="1573">
        <f t="shared" si="1"/>
        <v>98</v>
      </c>
      <c r="V15" s="1572" t="s">
        <v>8</v>
      </c>
      <c r="W15" s="1573">
        <f t="shared" si="2"/>
        <v>98</v>
      </c>
      <c r="X15" s="1566"/>
      <c r="Y15" s="3403" t="s">
        <v>540</v>
      </c>
      <c r="Z15" s="1574" t="str">
        <f t="shared" si="7"/>
        <v>商业繁华度</v>
      </c>
      <c r="AA15" s="1575">
        <f t="shared" si="3"/>
        <v>1</v>
      </c>
      <c r="AB15" s="1575">
        <f t="shared" si="4"/>
        <v>1.0204081632653061</v>
      </c>
      <c r="AC15" s="1575">
        <f t="shared" si="5"/>
        <v>1.0204081632653061</v>
      </c>
    </row>
    <row r="16" spans="1:29" ht="15">
      <c r="A16" s="531"/>
      <c r="B16" s="868"/>
      <c r="C16" s="575" t="s">
        <v>3174</v>
      </c>
      <c r="D16" s="554"/>
      <c r="E16" s="575" t="s">
        <v>3174</v>
      </c>
      <c r="F16" s="556"/>
      <c r="G16" s="575" t="s">
        <v>3246</v>
      </c>
      <c r="H16" s="558"/>
      <c r="I16" s="578" t="s">
        <v>3246</v>
      </c>
      <c r="J16" s="554"/>
      <c r="K16" s="898"/>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98</v>
      </c>
      <c r="I17" s="561"/>
      <c r="J17" s="564">
        <f>SUMIF(78:78,I18,79:79)-SUMIF(78:78,C18,79:79)+100</f>
        <v>98</v>
      </c>
      <c r="K17" s="897">
        <v>2</v>
      </c>
      <c r="L17" s="2142"/>
      <c r="M17" s="2134"/>
      <c r="N17" s="2134"/>
      <c r="O17" s="2141"/>
      <c r="P17" s="3404"/>
      <c r="Q17" s="1571" t="str">
        <f>B17</f>
        <v>交通便捷度</v>
      </c>
      <c r="R17" s="1572" t="s">
        <v>8</v>
      </c>
      <c r="S17" s="1573">
        <f>F17</f>
        <v>100</v>
      </c>
      <c r="T17" s="1572" t="s">
        <v>8</v>
      </c>
      <c r="U17" s="1573">
        <f>H17</f>
        <v>98</v>
      </c>
      <c r="V17" s="1572" t="s">
        <v>8</v>
      </c>
      <c r="W17" s="1573">
        <f>J17</f>
        <v>98</v>
      </c>
      <c r="X17" s="1566"/>
      <c r="Y17" s="3404"/>
      <c r="Z17" s="1574" t="str">
        <f>Q17</f>
        <v>交通便捷度</v>
      </c>
      <c r="AA17" s="1575">
        <f t="shared" si="3"/>
        <v>1</v>
      </c>
      <c r="AB17" s="1575">
        <f t="shared" si="4"/>
        <v>1.0204081632653061</v>
      </c>
      <c r="AC17" s="1575">
        <f t="shared" si="5"/>
        <v>1.0204081632653061</v>
      </c>
    </row>
    <row r="18" spans="1:29" ht="15">
      <c r="A18" s="531"/>
      <c r="B18" s="594"/>
      <c r="C18" s="575" t="s">
        <v>3174</v>
      </c>
      <c r="D18" s="558"/>
      <c r="E18" s="575" t="s">
        <v>3174</v>
      </c>
      <c r="F18" s="562"/>
      <c r="G18" s="568" t="s">
        <v>3246</v>
      </c>
      <c r="H18" s="554"/>
      <c r="I18" s="578" t="s">
        <v>3246</v>
      </c>
      <c r="J18" s="554"/>
      <c r="K18" s="898"/>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1"/>
      <c r="B19" s="2624" t="s">
        <v>2550</v>
      </c>
      <c r="C19" s="871" t="str">
        <f>估价对象房地状况!C7</f>
        <v>估价对象所在区域公共配套设施齐备</v>
      </c>
      <c r="D19" s="564">
        <v>100</v>
      </c>
      <c r="E19" s="569"/>
      <c r="F19" s="570">
        <f>SUMIF(80:80,E20,81:81)-SUMIF(80:80,C20,81:81)+100</f>
        <v>100</v>
      </c>
      <c r="G19" s="571"/>
      <c r="H19" s="558">
        <f>SUMIF(80:80,G20,81:81)-SUMIF(80:80,C20,81:81)+100</f>
        <v>98</v>
      </c>
      <c r="I19" s="569"/>
      <c r="J19" s="558">
        <f>SUMIF(80:80,I20,81:81)-SUMIF(80:80,C20,81:81)+100</f>
        <v>98</v>
      </c>
      <c r="K19" s="897">
        <v>2</v>
      </c>
      <c r="L19" s="2142"/>
      <c r="M19" s="2134"/>
      <c r="N19" s="2134"/>
      <c r="O19" s="2141"/>
      <c r="P19" s="3404"/>
      <c r="Q19" s="1571" t="str">
        <f>B19</f>
        <v>公共配套设施</v>
      </c>
      <c r="R19" s="1572" t="s">
        <v>8</v>
      </c>
      <c r="S19" s="1573">
        <f>F19</f>
        <v>100</v>
      </c>
      <c r="T19" s="1572" t="s">
        <v>8</v>
      </c>
      <c r="U19" s="1573">
        <f>H19</f>
        <v>98</v>
      </c>
      <c r="V19" s="1572" t="s">
        <v>8</v>
      </c>
      <c r="W19" s="1573">
        <f>J19</f>
        <v>98</v>
      </c>
      <c r="X19" s="1566"/>
      <c r="Y19" s="3404"/>
      <c r="Z19" s="1574" t="str">
        <f>Q19</f>
        <v>公共配套设施</v>
      </c>
      <c r="AA19" s="1575">
        <f t="shared" si="3"/>
        <v>1</v>
      </c>
      <c r="AB19" s="1575">
        <f t="shared" si="4"/>
        <v>1.0204081632653061</v>
      </c>
      <c r="AC19" s="1575">
        <f t="shared" si="5"/>
        <v>1.0204081632653061</v>
      </c>
    </row>
    <row r="20" spans="1:29" ht="15">
      <c r="A20" s="531"/>
      <c r="B20" s="594"/>
      <c r="C20" s="575" t="s">
        <v>3174</v>
      </c>
      <c r="D20" s="554"/>
      <c r="E20" s="575" t="s">
        <v>3174</v>
      </c>
      <c r="F20" s="556"/>
      <c r="G20" s="557" t="s">
        <v>3246</v>
      </c>
      <c r="H20" s="554"/>
      <c r="I20" s="578" t="s">
        <v>3246</v>
      </c>
      <c r="J20" s="554"/>
      <c r="K20" s="898"/>
      <c r="L20" s="2142"/>
      <c r="M20" s="2134"/>
      <c r="N20" s="2134"/>
      <c r="O20" s="2141"/>
      <c r="P20" s="3404"/>
      <c r="Q20" s="1571"/>
      <c r="R20" s="1572"/>
      <c r="S20" s="1573"/>
      <c r="T20" s="1572"/>
      <c r="U20" s="1573"/>
      <c r="V20" s="1572"/>
      <c r="W20" s="1573"/>
      <c r="X20" s="1566"/>
      <c r="Y20" s="3404"/>
      <c r="Z20" s="1574"/>
      <c r="AA20" s="1575">
        <v>1</v>
      </c>
      <c r="AB20" s="1575">
        <v>1</v>
      </c>
      <c r="AC20" s="1575">
        <v>1</v>
      </c>
    </row>
    <row r="21" spans="1:29" ht="42.75">
      <c r="A21" s="531"/>
      <c r="B21" s="2617" t="s">
        <v>2562</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7">
        <v>2</v>
      </c>
      <c r="L21" s="2142"/>
      <c r="M21" s="2134"/>
      <c r="N21" s="2134"/>
      <c r="O21" s="2141"/>
      <c r="P21" s="3404"/>
      <c r="Q21" s="2603" t="str">
        <f>B21</f>
        <v>基础设施水平</v>
      </c>
      <c r="R21" s="1572" t="s">
        <v>8</v>
      </c>
      <c r="S21" s="1573">
        <f>F21</f>
        <v>100</v>
      </c>
      <c r="T21" s="1572" t="s">
        <v>8</v>
      </c>
      <c r="U21" s="1573">
        <f>H21</f>
        <v>100</v>
      </c>
      <c r="V21" s="1572" t="s">
        <v>8</v>
      </c>
      <c r="W21" s="1573">
        <f>J21</f>
        <v>100</v>
      </c>
      <c r="X21" s="2605"/>
      <c r="Y21" s="3404"/>
      <c r="Z21" s="2604" t="str">
        <f>Q21</f>
        <v>基础设施水平</v>
      </c>
      <c r="AA21" s="1575">
        <f t="shared" ref="AA21" si="8">D21/F21</f>
        <v>1</v>
      </c>
      <c r="AB21" s="1575">
        <f t="shared" ref="AB21" si="9">D21/H21</f>
        <v>1</v>
      </c>
      <c r="AC21" s="1575">
        <f t="shared" ref="AC21" si="10">D21/J21</f>
        <v>1</v>
      </c>
    </row>
    <row r="22" spans="1:29" ht="15">
      <c r="A22" s="531"/>
      <c r="B22" s="920"/>
      <c r="C22" s="872" t="s">
        <v>3214</v>
      </c>
      <c r="D22" s="554"/>
      <c r="E22" s="575" t="s">
        <v>3214</v>
      </c>
      <c r="F22" s="556"/>
      <c r="G22" s="575" t="s">
        <v>3214</v>
      </c>
      <c r="H22" s="554"/>
      <c r="I22" s="575" t="s">
        <v>3214</v>
      </c>
      <c r="J22" s="554"/>
      <c r="K22" s="2626"/>
      <c r="L22" s="2142"/>
      <c r="M22" s="2134"/>
      <c r="N22" s="2134"/>
      <c r="O22" s="2141"/>
      <c r="P22" s="3404"/>
      <c r="Q22" s="2603"/>
      <c r="R22" s="1572"/>
      <c r="S22" s="1573"/>
      <c r="T22" s="1572"/>
      <c r="U22" s="1573"/>
      <c r="V22" s="1572"/>
      <c r="W22" s="1573"/>
      <c r="X22" s="2605"/>
      <c r="Y22" s="3404"/>
      <c r="Z22" s="2604"/>
      <c r="AA22" s="1575">
        <v>1</v>
      </c>
      <c r="AB22" s="1575">
        <v>1</v>
      </c>
      <c r="AC22" s="1575">
        <v>1</v>
      </c>
    </row>
    <row r="23" spans="1:29" ht="57">
      <c r="A23" s="531"/>
      <c r="B23" s="870" t="s">
        <v>297</v>
      </c>
      <c r="C23" s="899" t="str">
        <f>估价对象房地状况!C9</f>
        <v>区域自然环境较好；人文环境一般；综合评价环境状况较好</v>
      </c>
      <c r="D23" s="558">
        <v>100</v>
      </c>
      <c r="E23" s="561"/>
      <c r="F23" s="562">
        <f>SUMIF(84:84,E24,85:85)-SUMIF(84:84,C24,85:85)+100</f>
        <v>100</v>
      </c>
      <c r="G23" s="563"/>
      <c r="H23" s="558">
        <f>SUMIF(84:84,G24,85:85)-SUMIF(84:84,C24,85:85)+100</f>
        <v>100</v>
      </c>
      <c r="I23" s="561"/>
      <c r="J23" s="558">
        <f>SUMIF(84:84,I24,85:85)-SUMIF(84:84,C24,85:85)+100</f>
        <v>102</v>
      </c>
      <c r="K23" s="897">
        <v>2</v>
      </c>
      <c r="L23" s="2142"/>
      <c r="M23" s="2134"/>
      <c r="N23" s="2134"/>
      <c r="O23" s="2141"/>
      <c r="P23" s="3404"/>
      <c r="Q23" s="1571" t="str">
        <f>B23</f>
        <v>自然及人文环境</v>
      </c>
      <c r="R23" s="1572" t="s">
        <v>8</v>
      </c>
      <c r="S23" s="1573">
        <f>F23</f>
        <v>100</v>
      </c>
      <c r="T23" s="1572" t="s">
        <v>8</v>
      </c>
      <c r="U23" s="1573">
        <f>H23</f>
        <v>100</v>
      </c>
      <c r="V23" s="1572" t="s">
        <v>8</v>
      </c>
      <c r="W23" s="1573">
        <f>J23</f>
        <v>102</v>
      </c>
      <c r="X23" s="1566"/>
      <c r="Y23" s="3404"/>
      <c r="Z23" s="1574" t="str">
        <f>Q23</f>
        <v>自然及人文环境</v>
      </c>
      <c r="AA23" s="1575">
        <f t="shared" si="3"/>
        <v>1</v>
      </c>
      <c r="AB23" s="1575">
        <f t="shared" si="4"/>
        <v>1</v>
      </c>
      <c r="AC23" s="1575">
        <f t="shared" si="5"/>
        <v>0.98039215686274506</v>
      </c>
    </row>
    <row r="24" spans="1:29" ht="15">
      <c r="A24" s="531"/>
      <c r="B24" s="594"/>
      <c r="C24" s="575" t="s">
        <v>3174</v>
      </c>
      <c r="D24" s="554"/>
      <c r="E24" s="575" t="s">
        <v>3174</v>
      </c>
      <c r="F24" s="556"/>
      <c r="G24" s="557" t="s">
        <v>3174</v>
      </c>
      <c r="H24" s="554"/>
      <c r="I24" s="555" t="s">
        <v>3175</v>
      </c>
      <c r="J24" s="554"/>
      <c r="K24" s="898"/>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c r="A25" s="531"/>
      <c r="B25" s="526" t="s">
        <v>547</v>
      </c>
      <c r="C25" s="582" t="s">
        <v>3251</v>
      </c>
      <c r="D25" s="539">
        <v>100</v>
      </c>
      <c r="E25" s="582" t="s">
        <v>3251</v>
      </c>
      <c r="F25" s="574">
        <f>SUMIF(86:86,E25,87:87)-SUMIF(86:86,C25,87:87)+100</f>
        <v>100</v>
      </c>
      <c r="G25" s="582" t="s">
        <v>3251</v>
      </c>
      <c r="H25" s="539">
        <f>SUMIF(86:86,G25,87:87)-SUMIF(86:86,C25,87:87)+100</f>
        <v>100</v>
      </c>
      <c r="I25" s="582" t="s">
        <v>3251</v>
      </c>
      <c r="J25" s="539">
        <f>SUMIF(86:86,I25,87:87)-SUMIF(86:86,C25,87:87)+100</f>
        <v>100</v>
      </c>
      <c r="K25" s="583">
        <v>1</v>
      </c>
      <c r="L25" s="2142"/>
      <c r="M25" s="2134"/>
      <c r="N25" s="2134"/>
      <c r="O25" s="2141"/>
      <c r="P25" s="3404"/>
      <c r="Q25" s="1571" t="str">
        <f t="shared" ref="Q25:Q46" si="11">B25</f>
        <v>临街状况</v>
      </c>
      <c r="R25" s="1572" t="s">
        <v>8</v>
      </c>
      <c r="S25" s="1573">
        <f>F25</f>
        <v>100</v>
      </c>
      <c r="T25" s="1572" t="s">
        <v>8</v>
      </c>
      <c r="U25" s="1573">
        <f>H25</f>
        <v>100</v>
      </c>
      <c r="V25" s="1572" t="s">
        <v>8</v>
      </c>
      <c r="W25" s="1573">
        <f>J25</f>
        <v>100</v>
      </c>
      <c r="X25" s="1566"/>
      <c r="Y25" s="3404"/>
      <c r="Z25" s="1574" t="str">
        <f>Q25</f>
        <v>临街状况</v>
      </c>
      <c r="AA25" s="1575">
        <f t="shared" si="3"/>
        <v>1</v>
      </c>
      <c r="AB25" s="1575">
        <f t="shared" si="4"/>
        <v>1</v>
      </c>
      <c r="AC25" s="1575">
        <f t="shared" si="5"/>
        <v>1</v>
      </c>
    </row>
    <row r="26" spans="1:29" ht="15">
      <c r="A26" s="531"/>
      <c r="B26" s="876" t="s">
        <v>758</v>
      </c>
      <c r="C26" s="575" t="s">
        <v>3174</v>
      </c>
      <c r="D26" s="539">
        <v>100</v>
      </c>
      <c r="E26" s="575" t="s">
        <v>3174</v>
      </c>
      <c r="F26" s="574">
        <f>SUMIF(88:88,E26,89:89)-SUMIF(88:88,C26,89:89)+100</f>
        <v>100</v>
      </c>
      <c r="G26" s="575" t="s">
        <v>3174</v>
      </c>
      <c r="H26" s="539">
        <f>SUMIF(88:88,G26,89:89)-SUMIF(88:88,C26,89:89)+100</f>
        <v>100</v>
      </c>
      <c r="I26" s="575" t="s">
        <v>3174</v>
      </c>
      <c r="J26" s="539">
        <f>SUMIF(88:88,I26,89:89)-SUMIF(88:88,C26,89:89)+100</f>
        <v>100</v>
      </c>
      <c r="K26" s="580"/>
      <c r="L26" s="2142"/>
      <c r="M26" s="2134"/>
      <c r="N26" s="2134"/>
      <c r="O26" s="2141"/>
      <c r="P26" s="3404"/>
      <c r="Q26" s="1571" t="str">
        <f t="shared" si="11"/>
        <v>平面位置/可视性</v>
      </c>
      <c r="R26" s="1572" t="s">
        <v>8</v>
      </c>
      <c r="S26" s="1573">
        <f>F26</f>
        <v>100</v>
      </c>
      <c r="T26" s="1572" t="s">
        <v>8</v>
      </c>
      <c r="U26" s="1573">
        <f>H26</f>
        <v>100</v>
      </c>
      <c r="V26" s="1572" t="s">
        <v>8</v>
      </c>
      <c r="W26" s="1573">
        <f>J26</f>
        <v>100</v>
      </c>
      <c r="X26" s="1566"/>
      <c r="Y26" s="3404"/>
      <c r="Z26" s="1574" t="str">
        <f>Q26</f>
        <v>平面位置/可视性</v>
      </c>
      <c r="AA26" s="1575">
        <f t="shared" si="3"/>
        <v>1</v>
      </c>
      <c r="AB26" s="1575">
        <f t="shared" si="4"/>
        <v>1</v>
      </c>
      <c r="AC26" s="1575">
        <f t="shared" si="5"/>
        <v>1</v>
      </c>
    </row>
    <row r="27" spans="1:29" s="1218" customFormat="1" ht="15">
      <c r="A27" s="535"/>
      <c r="B27" s="870" t="s">
        <v>759</v>
      </c>
      <c r="C27" s="900" t="s">
        <v>3256</v>
      </c>
      <c r="D27" s="874">
        <v>100</v>
      </c>
      <c r="E27" s="900" t="s">
        <v>3256</v>
      </c>
      <c r="F27" s="875">
        <f>SUMIF(90:90,E27,91:91)-SUMIF(90:90,C27,91:91)+100</f>
        <v>100</v>
      </c>
      <c r="G27" s="900" t="s">
        <v>3246</v>
      </c>
      <c r="H27" s="874">
        <f>SUMIF(90:90,G27,91:91)-SUMIF(90:90,C27,91:91)+100</f>
        <v>97</v>
      </c>
      <c r="I27" s="900" t="s">
        <v>3246</v>
      </c>
      <c r="J27" s="874">
        <f>SUMIF(90:90,I27,91:91)-SUMIF(90:90,C27,91:91)+100</f>
        <v>97</v>
      </c>
      <c r="K27" s="583">
        <v>3</v>
      </c>
      <c r="L27" s="2135"/>
      <c r="M27" s="2136"/>
      <c r="N27" s="2136"/>
      <c r="O27" s="2137"/>
      <c r="P27" s="3404"/>
      <c r="Q27" s="1149" t="str">
        <f t="shared" si="11"/>
        <v>人流量</v>
      </c>
      <c r="R27" s="1567" t="s">
        <v>8</v>
      </c>
      <c r="S27" s="1568">
        <f>F27</f>
        <v>100</v>
      </c>
      <c r="T27" s="1567" t="s">
        <v>8</v>
      </c>
      <c r="U27" s="1568">
        <f>H27</f>
        <v>97</v>
      </c>
      <c r="V27" s="1567" t="s">
        <v>8</v>
      </c>
      <c r="W27" s="1568">
        <f>J27</f>
        <v>97</v>
      </c>
      <c r="X27" s="1569"/>
      <c r="Y27" s="3404"/>
      <c r="Z27" s="1148" t="str">
        <f>Q27</f>
        <v>人流量</v>
      </c>
      <c r="AA27" s="1575">
        <f>D27/F27</f>
        <v>1</v>
      </c>
      <c r="AB27" s="1575">
        <f>D27/H27</f>
        <v>1.0309278350515463</v>
      </c>
      <c r="AC27" s="1575">
        <f>D27/J27</f>
        <v>1.0309278350515463</v>
      </c>
    </row>
    <row r="28" spans="1:29" ht="15">
      <c r="A28" s="531"/>
      <c r="B28" s="526" t="s">
        <v>761</v>
      </c>
      <c r="C28" s="582" t="s">
        <v>3274</v>
      </c>
      <c r="D28" s="539">
        <v>100</v>
      </c>
      <c r="E28" s="582" t="s">
        <v>3274</v>
      </c>
      <c r="F28" s="574">
        <f>SUMIF(92:92,E28,93:93)-SUMIF(92:92,C28,93:93)+100</f>
        <v>100</v>
      </c>
      <c r="G28" s="582" t="s">
        <v>3274</v>
      </c>
      <c r="H28" s="539">
        <f>SUMIF(92:92,G28,93:93)-SUMIF(92:92,C28,93:93)+100</f>
        <v>100</v>
      </c>
      <c r="I28" s="582" t="s">
        <v>3274</v>
      </c>
      <c r="J28" s="539">
        <f>SUMIF(92:92,I28,93:93)-SUMIF(92:92,C28,93:93)+100</f>
        <v>100</v>
      </c>
      <c r="K28" s="580"/>
      <c r="L28" s="2142"/>
      <c r="M28" s="2134"/>
      <c r="N28" s="2134"/>
      <c r="O28" s="2141"/>
      <c r="P28" s="340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4"/>
      <c r="Q29" s="1571">
        <f t="shared" si="11"/>
        <v>111</v>
      </c>
      <c r="R29" s="1572" t="s">
        <v>8</v>
      </c>
      <c r="S29" s="1573">
        <f t="shared" si="12"/>
        <v>100</v>
      </c>
      <c r="T29" s="1572" t="s">
        <v>8</v>
      </c>
      <c r="U29" s="1573">
        <f t="shared" si="13"/>
        <v>100</v>
      </c>
      <c r="V29" s="1572" t="s">
        <v>8</v>
      </c>
      <c r="W29" s="1573">
        <f t="shared" si="14"/>
        <v>100</v>
      </c>
      <c r="X29" s="1566"/>
      <c r="Y29" s="340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
      <c r="A32" s="2931" t="s">
        <v>2759</v>
      </c>
      <c r="B32" s="171" t="s">
        <v>762</v>
      </c>
      <c r="C32" s="877" t="s">
        <v>3265</v>
      </c>
      <c r="D32" s="596">
        <v>100</v>
      </c>
      <c r="E32" s="877" t="s">
        <v>3265</v>
      </c>
      <c r="F32" s="574">
        <f>SUMIF(100:100,E32,101:101)-SUMIF(100:100,C32,101:101)+100</f>
        <v>100</v>
      </c>
      <c r="G32" s="877" t="s">
        <v>3265</v>
      </c>
      <c r="H32" s="539">
        <f>SUMIF(100:100,G32,101:101)-SUMIF(100:100,C32,101:101)+100</f>
        <v>100</v>
      </c>
      <c r="I32" s="877" t="s">
        <v>3265</v>
      </c>
      <c r="J32" s="596">
        <f>SUMIF(100:100,I32,101:101)-SUMIF(100:100,C32,101:101)+100</f>
        <v>100</v>
      </c>
      <c r="K32" s="583">
        <v>3</v>
      </c>
      <c r="L32" s="2142"/>
      <c r="M32" s="2134"/>
      <c r="N32" s="2134"/>
      <c r="O32" s="2141"/>
      <c r="P32" s="3405" t="s">
        <v>550</v>
      </c>
      <c r="Q32" s="1571" t="str">
        <f t="shared" si="11"/>
        <v>商业类型</v>
      </c>
      <c r="R32" s="1572" t="s">
        <v>8</v>
      </c>
      <c r="S32" s="1573">
        <f t="shared" si="12"/>
        <v>100</v>
      </c>
      <c r="T32" s="1572" t="s">
        <v>8</v>
      </c>
      <c r="U32" s="1573">
        <f t="shared" si="13"/>
        <v>100</v>
      </c>
      <c r="V32" s="1572" t="s">
        <v>8</v>
      </c>
      <c r="W32" s="1573">
        <f t="shared" si="14"/>
        <v>100</v>
      </c>
      <c r="X32" s="1566"/>
      <c r="Y32" s="3406" t="s">
        <v>550</v>
      </c>
      <c r="Z32" s="1574" t="str">
        <f t="shared" si="15"/>
        <v>商业类型</v>
      </c>
      <c r="AA32" s="1575">
        <f t="shared" si="3"/>
        <v>1</v>
      </c>
      <c r="AB32" s="1575">
        <f t="shared" si="4"/>
        <v>1</v>
      </c>
      <c r="AC32" s="1575">
        <f t="shared" si="5"/>
        <v>1</v>
      </c>
    </row>
    <row r="33" spans="1:29" s="1337" customFormat="1" ht="15">
      <c r="A33" s="602"/>
      <c r="B33" s="526" t="s">
        <v>726</v>
      </c>
      <c r="C33" s="879">
        <f>'数据-汇总表'!E31</f>
        <v>53350.36</v>
      </c>
      <c r="D33" s="254">
        <v>100</v>
      </c>
      <c r="E33" s="533">
        <v>214551</v>
      </c>
      <c r="F33" s="862">
        <f>LOOKUP(E33,103:103,104:104)-LOOKUP(C33,103:103,104:104)+100</f>
        <v>103</v>
      </c>
      <c r="G33" s="532">
        <v>135000</v>
      </c>
      <c r="H33" s="254">
        <f>LOOKUP(G33,103:103,104:104)-LOOKUP(C33,103:103,104:104)+100</f>
        <v>103</v>
      </c>
      <c r="I33" s="533">
        <v>220000</v>
      </c>
      <c r="J33" s="254">
        <f>LOOKUP(I33,103:103,104:104)-LOOKUP(C33,103:103,104:104)+100</f>
        <v>103</v>
      </c>
      <c r="K33" s="580"/>
      <c r="L33" s="2140"/>
      <c r="M33" s="2171"/>
      <c r="N33" s="2171"/>
      <c r="O33" s="2143"/>
      <c r="P33" s="3406"/>
      <c r="Q33" s="1604" t="str">
        <f t="shared" si="11"/>
        <v>项目建筑规模</v>
      </c>
      <c r="R33" s="1576" t="s">
        <v>8</v>
      </c>
      <c r="S33" s="1577">
        <f t="shared" si="12"/>
        <v>103</v>
      </c>
      <c r="T33" s="1576" t="s">
        <v>8</v>
      </c>
      <c r="U33" s="1577">
        <f t="shared" si="13"/>
        <v>103</v>
      </c>
      <c r="V33" s="1576" t="s">
        <v>8</v>
      </c>
      <c r="W33" s="1577">
        <f t="shared" si="14"/>
        <v>103</v>
      </c>
      <c r="X33" s="1578"/>
      <c r="Y33" s="3406"/>
      <c r="Z33" s="1579" t="str">
        <f t="shared" si="15"/>
        <v>项目建筑规模</v>
      </c>
      <c r="AA33" s="1575">
        <f t="shared" si="3"/>
        <v>0.970873786407767</v>
      </c>
      <c r="AB33" s="1575">
        <f t="shared" si="4"/>
        <v>0.970873786407767</v>
      </c>
      <c r="AC33" s="1575">
        <f t="shared" si="5"/>
        <v>0.970873786407767</v>
      </c>
    </row>
    <row r="34" spans="1:29" ht="15">
      <c r="A34" s="593"/>
      <c r="B34" s="526" t="s">
        <v>727</v>
      </c>
      <c r="C34" s="880" t="s">
        <v>3192</v>
      </c>
      <c r="D34" s="539">
        <v>100</v>
      </c>
      <c r="E34" s="881" t="s">
        <v>3192</v>
      </c>
      <c r="F34" s="574">
        <f>SUMIF(105:105,E34,106:106)-SUMIF(105:105,C34,106:106)+100</f>
        <v>100</v>
      </c>
      <c r="G34" s="880" t="s">
        <v>3192</v>
      </c>
      <c r="H34" s="539">
        <f>SUMIF(105:105,G34,106:106)-SUMIF(105:105,C34,106:106)+100</f>
        <v>100</v>
      </c>
      <c r="I34" s="880" t="s">
        <v>3192</v>
      </c>
      <c r="J34" s="539">
        <f>SUMIF(105:105,I34,106:106)-SUMIF(105:105,C34,106:106)+100</f>
        <v>100</v>
      </c>
      <c r="K34" s="583">
        <v>1</v>
      </c>
      <c r="L34" s="2142"/>
      <c r="M34" s="2134"/>
      <c r="N34" s="2134"/>
      <c r="O34" s="2141"/>
      <c r="P34" s="3406"/>
      <c r="Q34" s="1571" t="str">
        <f t="shared" si="11"/>
        <v>建筑结构</v>
      </c>
      <c r="R34" s="1572" t="s">
        <v>8</v>
      </c>
      <c r="S34" s="1573">
        <f t="shared" si="12"/>
        <v>100</v>
      </c>
      <c r="T34" s="1572" t="s">
        <v>8</v>
      </c>
      <c r="U34" s="1573">
        <f t="shared" si="13"/>
        <v>100</v>
      </c>
      <c r="V34" s="1572" t="s">
        <v>8</v>
      </c>
      <c r="W34" s="1573">
        <f t="shared" si="14"/>
        <v>100</v>
      </c>
      <c r="X34" s="1566"/>
      <c r="Y34" s="3406"/>
      <c r="Z34" s="1574" t="str">
        <f t="shared" si="15"/>
        <v>建筑结构</v>
      </c>
      <c r="AA34" s="1575">
        <f t="shared" si="3"/>
        <v>1</v>
      </c>
      <c r="AB34" s="1575">
        <f t="shared" si="4"/>
        <v>1</v>
      </c>
      <c r="AC34" s="1575">
        <f t="shared" si="5"/>
        <v>1</v>
      </c>
    </row>
    <row r="35" spans="1:29" ht="15">
      <c r="A35" s="593"/>
      <c r="B35" s="526" t="s">
        <v>763</v>
      </c>
      <c r="C35" s="598" t="s">
        <v>3207</v>
      </c>
      <c r="D35" s="539">
        <v>100</v>
      </c>
      <c r="E35" s="598" t="s">
        <v>3207</v>
      </c>
      <c r="F35" s="574">
        <f>SUMIF(107:107,E35,108:108)-SUMIF(107:107,C35,108:108)+100</f>
        <v>100</v>
      </c>
      <c r="G35" s="598" t="s">
        <v>3207</v>
      </c>
      <c r="H35" s="539">
        <f>SUMIF(107:107,G35,108:108)-SUMIF(107:107,C35,108:108)+100</f>
        <v>100</v>
      </c>
      <c r="I35" s="598" t="s">
        <v>3207</v>
      </c>
      <c r="J35" s="539">
        <f>SUMIF(107:107,I35,108:108)-SUMIF(107:107,C35,108:108)+100</f>
        <v>100</v>
      </c>
      <c r="K35" s="583">
        <v>1</v>
      </c>
      <c r="L35" s="2142"/>
      <c r="M35" s="2134"/>
      <c r="N35" s="2134"/>
      <c r="O35" s="2141"/>
      <c r="P35" s="3406"/>
      <c r="Q35" s="1571" t="str">
        <f t="shared" si="11"/>
        <v>公共部分装修</v>
      </c>
      <c r="R35" s="1572" t="s">
        <v>8</v>
      </c>
      <c r="S35" s="1573">
        <f t="shared" si="12"/>
        <v>100</v>
      </c>
      <c r="T35" s="1572" t="s">
        <v>8</v>
      </c>
      <c r="U35" s="1573">
        <f t="shared" si="13"/>
        <v>100</v>
      </c>
      <c r="V35" s="1572" t="s">
        <v>8</v>
      </c>
      <c r="W35" s="1573">
        <f t="shared" si="14"/>
        <v>100</v>
      </c>
      <c r="X35" s="1566"/>
      <c r="Y35" s="3406"/>
      <c r="Z35" s="1574" t="str">
        <f t="shared" si="15"/>
        <v>公共部分装修</v>
      </c>
      <c r="AA35" s="1575">
        <f t="shared" si="3"/>
        <v>1</v>
      </c>
      <c r="AB35" s="1575">
        <f t="shared" si="4"/>
        <v>1</v>
      </c>
      <c r="AC35" s="1575">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42"/>
      <c r="M36" s="2134"/>
      <c r="N36" s="2134"/>
      <c r="O36" s="2141"/>
      <c r="P36" s="3406"/>
      <c r="Q36" s="1571" t="str">
        <f t="shared" si="11"/>
        <v>成新度</v>
      </c>
      <c r="R36" s="1572" t="s">
        <v>8</v>
      </c>
      <c r="S36" s="1573">
        <f t="shared" si="12"/>
        <v>100</v>
      </c>
      <c r="T36" s="1572" t="s">
        <v>8</v>
      </c>
      <c r="U36" s="1573">
        <f t="shared" si="13"/>
        <v>100</v>
      </c>
      <c r="V36" s="1572" t="s">
        <v>8</v>
      </c>
      <c r="W36" s="1573">
        <f t="shared" si="14"/>
        <v>100</v>
      </c>
      <c r="X36" s="1566"/>
      <c r="Y36" s="3406"/>
      <c r="Z36" s="1574" t="str">
        <f t="shared" si="15"/>
        <v>成新度</v>
      </c>
      <c r="AA36" s="1575">
        <f t="shared" si="3"/>
        <v>1</v>
      </c>
      <c r="AB36" s="1575">
        <f t="shared" si="4"/>
        <v>1</v>
      </c>
      <c r="AC36" s="1575">
        <f t="shared" si="5"/>
        <v>1</v>
      </c>
    </row>
    <row r="37" spans="1:29" s="1218" customFormat="1" ht="15">
      <c r="A37" s="599"/>
      <c r="B37" s="1895" t="s">
        <v>2569</v>
      </c>
      <c r="C37" s="598" t="s">
        <v>3214</v>
      </c>
      <c r="D37" s="254">
        <v>100</v>
      </c>
      <c r="E37" s="598" t="s">
        <v>3214</v>
      </c>
      <c r="F37" s="574">
        <f>SUMIF(112:112,E37,113:113)-SUMIF(112:112,C37,113:113)+100</f>
        <v>100</v>
      </c>
      <c r="G37" s="598" t="s">
        <v>3214</v>
      </c>
      <c r="H37" s="539">
        <f>SUMIF(112:112,G37,113:113)-SUMIF(112:112,C37,113:113)+100</f>
        <v>100</v>
      </c>
      <c r="I37" s="598" t="s">
        <v>3214</v>
      </c>
      <c r="J37" s="539">
        <f>SUMIF(112:112,I37,113:113)-SUMIF(112:112,C37,113:113)+100</f>
        <v>100</v>
      </c>
      <c r="K37" s="583">
        <v>1</v>
      </c>
      <c r="L37" s="2135"/>
      <c r="M37" s="2136"/>
      <c r="N37" s="2136"/>
      <c r="O37" s="2137"/>
      <c r="P37" s="3406"/>
      <c r="Q37" s="1149" t="str">
        <f t="shared" si="11"/>
        <v>市政基础设施</v>
      </c>
      <c r="R37" s="1567" t="s">
        <v>8</v>
      </c>
      <c r="S37" s="1568">
        <f t="shared" si="12"/>
        <v>100</v>
      </c>
      <c r="T37" s="1567" t="s">
        <v>8</v>
      </c>
      <c r="U37" s="1568">
        <f t="shared" si="13"/>
        <v>100</v>
      </c>
      <c r="V37" s="1567" t="s">
        <v>8</v>
      </c>
      <c r="W37" s="1568">
        <f t="shared" si="14"/>
        <v>100</v>
      </c>
      <c r="X37" s="1569"/>
      <c r="Y37" s="3406"/>
      <c r="Z37" s="1148" t="str">
        <f t="shared" si="15"/>
        <v>市政基础设施</v>
      </c>
      <c r="AA37" s="1570">
        <f t="shared" si="3"/>
        <v>1</v>
      </c>
      <c r="AB37" s="1570">
        <f t="shared" si="4"/>
        <v>1</v>
      </c>
      <c r="AC37" s="1570">
        <f t="shared" si="5"/>
        <v>1</v>
      </c>
    </row>
    <row r="38" spans="1:29" ht="15">
      <c r="A38" s="593"/>
      <c r="B38" s="526" t="s">
        <v>765</v>
      </c>
      <c r="C38" s="598" t="s">
        <v>3269</v>
      </c>
      <c r="D38" s="539">
        <v>100</v>
      </c>
      <c r="E38" s="598" t="s">
        <v>3269</v>
      </c>
      <c r="F38" s="574">
        <f>SUMIF(114:114,E38,115:115)-SUMIF(114:114,C38,115:115)+100</f>
        <v>100</v>
      </c>
      <c r="G38" s="598" t="s">
        <v>3269</v>
      </c>
      <c r="H38" s="539">
        <f>SUMIF(114:114,G38,115:115)-SUMIF(114:114,C38,115:115)+100</f>
        <v>100</v>
      </c>
      <c r="I38" s="598" t="s">
        <v>3269</v>
      </c>
      <c r="J38" s="539">
        <f>SUMIF(114:114,I38,115:115)-SUMIF(114:114,C38,115:115)+100</f>
        <v>100</v>
      </c>
      <c r="K38" s="583">
        <v>3</v>
      </c>
      <c r="L38" s="2142"/>
      <c r="M38" s="2134"/>
      <c r="N38" s="2134"/>
      <c r="O38" s="2141"/>
      <c r="P38" s="3406" t="s">
        <v>766</v>
      </c>
      <c r="Q38" s="1571" t="str">
        <f t="shared" si="11"/>
        <v>业态</v>
      </c>
      <c r="R38" s="1572" t="s">
        <v>8</v>
      </c>
      <c r="S38" s="1573">
        <f t="shared" si="12"/>
        <v>100</v>
      </c>
      <c r="T38" s="1572" t="s">
        <v>8</v>
      </c>
      <c r="U38" s="1573">
        <f t="shared" si="13"/>
        <v>100</v>
      </c>
      <c r="V38" s="1572" t="s">
        <v>8</v>
      </c>
      <c r="W38" s="1573">
        <f t="shared" si="14"/>
        <v>100</v>
      </c>
      <c r="X38" s="1566"/>
      <c r="Y38" s="3406" t="s">
        <v>766</v>
      </c>
      <c r="Z38" s="1574" t="str">
        <f t="shared" si="15"/>
        <v>业态</v>
      </c>
      <c r="AA38" s="1575">
        <f t="shared" si="3"/>
        <v>1</v>
      </c>
      <c r="AB38" s="1575">
        <f t="shared" si="4"/>
        <v>1</v>
      </c>
      <c r="AC38" s="1575">
        <f t="shared" si="5"/>
        <v>1</v>
      </c>
    </row>
    <row r="39" spans="1:29" ht="15">
      <c r="A39" s="593"/>
      <c r="B39" s="526" t="s">
        <v>767</v>
      </c>
      <c r="C39" s="598" t="s">
        <v>3272</v>
      </c>
      <c r="D39" s="539">
        <v>100</v>
      </c>
      <c r="E39" s="598" t="s">
        <v>3272</v>
      </c>
      <c r="F39" s="574">
        <f>SUMIF(116:116,E39,117:117)-SUMIF(116:116,C39,117:117)+100</f>
        <v>100</v>
      </c>
      <c r="G39" s="598" t="s">
        <v>3272</v>
      </c>
      <c r="H39" s="539">
        <f>SUMIF(116:116,G39,117:117)-SUMIF(116:116,C39,117:117)+100</f>
        <v>100</v>
      </c>
      <c r="I39" s="598" t="s">
        <v>3272</v>
      </c>
      <c r="J39" s="539">
        <f>SUMIF(116:116,I39,117:117)-SUMIF(116:116,C39,117:117)+100</f>
        <v>100</v>
      </c>
      <c r="K39" s="583">
        <v>3</v>
      </c>
      <c r="L39" s="2142"/>
      <c r="M39" s="2134"/>
      <c r="N39" s="2134"/>
      <c r="O39" s="2141"/>
      <c r="P39" s="3406"/>
      <c r="Q39" s="1571" t="str">
        <f t="shared" si="11"/>
        <v>层高</v>
      </c>
      <c r="R39" s="1572" t="s">
        <v>8</v>
      </c>
      <c r="S39" s="1573">
        <f t="shared" si="12"/>
        <v>100</v>
      </c>
      <c r="T39" s="1572" t="s">
        <v>8</v>
      </c>
      <c r="U39" s="1573">
        <f t="shared" si="13"/>
        <v>100</v>
      </c>
      <c r="V39" s="1572" t="s">
        <v>8</v>
      </c>
      <c r="W39" s="1573">
        <f t="shared" si="14"/>
        <v>100</v>
      </c>
      <c r="X39" s="1566"/>
      <c r="Y39" s="3406"/>
      <c r="Z39" s="1574" t="str">
        <f t="shared" si="15"/>
        <v>层高</v>
      </c>
      <c r="AA39" s="1575">
        <f t="shared" si="3"/>
        <v>1</v>
      </c>
      <c r="AB39" s="1575">
        <f t="shared" si="4"/>
        <v>1</v>
      </c>
      <c r="AC39" s="1575">
        <f t="shared" si="5"/>
        <v>1</v>
      </c>
    </row>
    <row r="40" spans="1:29" ht="15">
      <c r="A40" s="593"/>
      <c r="B40" s="526" t="s">
        <v>768</v>
      </c>
      <c r="C40" s="901"/>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06"/>
      <c r="Q40" s="1571" t="str">
        <f t="shared" si="11"/>
        <v>单套建筑面积</v>
      </c>
      <c r="R40" s="1572" t="s">
        <v>8</v>
      </c>
      <c r="S40" s="1573">
        <f t="shared" si="12"/>
        <v>100</v>
      </c>
      <c r="T40" s="1572" t="s">
        <v>8</v>
      </c>
      <c r="U40" s="1573">
        <f t="shared" si="13"/>
        <v>100</v>
      </c>
      <c r="V40" s="1572" t="s">
        <v>8</v>
      </c>
      <c r="W40" s="1573">
        <f t="shared" si="14"/>
        <v>100</v>
      </c>
      <c r="X40" s="1566"/>
      <c r="Y40" s="3406"/>
      <c r="Z40" s="1574" t="str">
        <f t="shared" si="15"/>
        <v>单套建筑面积</v>
      </c>
      <c r="AA40" s="1575">
        <f t="shared" si="3"/>
        <v>1</v>
      </c>
      <c r="AB40" s="1575">
        <f t="shared" si="4"/>
        <v>1</v>
      </c>
      <c r="AC40" s="1575">
        <f t="shared" si="5"/>
        <v>1</v>
      </c>
    </row>
    <row r="41" spans="1:29" s="1337" customFormat="1" ht="15">
      <c r="A41" s="602"/>
      <c r="B41" s="902" t="s">
        <v>769</v>
      </c>
      <c r="C41" s="582" t="s">
        <v>3242</v>
      </c>
      <c r="D41" s="539">
        <v>100</v>
      </c>
      <c r="E41" s="582" t="s">
        <v>3242</v>
      </c>
      <c r="F41" s="574">
        <f>SUMIF(120:120,E41,121:121)-SUMIF(120:120,C41,121:121)+100</f>
        <v>100</v>
      </c>
      <c r="G41" s="582" t="s">
        <v>3242</v>
      </c>
      <c r="H41" s="539">
        <f>SUMIF(120:120,G41,121:121)-SUMIF(120:120,C41,121:121)+100</f>
        <v>100</v>
      </c>
      <c r="I41" s="582" t="s">
        <v>3242</v>
      </c>
      <c r="J41" s="539">
        <f>SUMIF(120:120,I41,121:121)-SUMIF(120:120,C41,121:121)+100</f>
        <v>100</v>
      </c>
      <c r="K41" s="583">
        <v>3</v>
      </c>
      <c r="L41" s="2140"/>
      <c r="M41" s="2171"/>
      <c r="N41" s="2171"/>
      <c r="O41" s="2143"/>
      <c r="P41" s="3406"/>
      <c r="Q41" s="1604" t="str">
        <f t="shared" si="11"/>
        <v>进深比</v>
      </c>
      <c r="R41" s="1576" t="s">
        <v>8</v>
      </c>
      <c r="S41" s="1577">
        <f t="shared" si="12"/>
        <v>100</v>
      </c>
      <c r="T41" s="1576" t="s">
        <v>8</v>
      </c>
      <c r="U41" s="1577">
        <f t="shared" si="13"/>
        <v>100</v>
      </c>
      <c r="V41" s="1576" t="s">
        <v>8</v>
      </c>
      <c r="W41" s="1577">
        <f t="shared" si="14"/>
        <v>100</v>
      </c>
      <c r="X41" s="1578"/>
      <c r="Y41" s="3406"/>
      <c r="Z41" s="1579" t="str">
        <f t="shared" si="15"/>
        <v>进深比</v>
      </c>
      <c r="AA41" s="1575">
        <f t="shared" si="3"/>
        <v>1</v>
      </c>
      <c r="AB41" s="1575">
        <f t="shared" si="4"/>
        <v>1</v>
      </c>
      <c r="AC41" s="1575">
        <f t="shared" si="5"/>
        <v>1</v>
      </c>
    </row>
    <row r="42" spans="1:29" ht="15">
      <c r="A42" s="593"/>
      <c r="B42" s="526" t="s">
        <v>770</v>
      </c>
      <c r="C42" s="598" t="s">
        <v>3211</v>
      </c>
      <c r="D42" s="539">
        <v>100</v>
      </c>
      <c r="E42" s="598" t="s">
        <v>3211</v>
      </c>
      <c r="F42" s="574">
        <f>SUMIF(122:122,E42,123:123)-SUMIF(122:122,C42,123:123)+100</f>
        <v>100</v>
      </c>
      <c r="G42" s="598" t="s">
        <v>3211</v>
      </c>
      <c r="H42" s="539">
        <f>SUMIF(122:122,G42,123:123)-SUMIF(122:122,C42,123:123)+100</f>
        <v>100</v>
      </c>
      <c r="I42" s="598" t="s">
        <v>3211</v>
      </c>
      <c r="J42" s="539">
        <f>SUMIF(122:122,I42,123:123)-SUMIF(122:122,C42,123:123)+100</f>
        <v>100</v>
      </c>
      <c r="K42" s="583">
        <v>2</v>
      </c>
      <c r="L42" s="2142"/>
      <c r="M42" s="2134"/>
      <c r="N42" s="2134"/>
      <c r="O42" s="2141"/>
      <c r="P42" s="3406"/>
      <c r="Q42" s="1571" t="str">
        <f t="shared" si="11"/>
        <v>内部装修</v>
      </c>
      <c r="R42" s="1572" t="s">
        <v>8</v>
      </c>
      <c r="S42" s="1573">
        <f t="shared" si="12"/>
        <v>100</v>
      </c>
      <c r="T42" s="1572" t="s">
        <v>8</v>
      </c>
      <c r="U42" s="1573">
        <f t="shared" si="13"/>
        <v>100</v>
      </c>
      <c r="V42" s="1572" t="s">
        <v>8</v>
      </c>
      <c r="W42" s="1573">
        <f t="shared" si="14"/>
        <v>100</v>
      </c>
      <c r="X42" s="1566"/>
      <c r="Y42" s="3406"/>
      <c r="Z42" s="1574" t="str">
        <f t="shared" si="15"/>
        <v>内部装修</v>
      </c>
      <c r="AA42" s="1575">
        <f t="shared" si="3"/>
        <v>1</v>
      </c>
      <c r="AB42" s="1575">
        <f t="shared" si="4"/>
        <v>1</v>
      </c>
      <c r="AC42" s="1575">
        <f t="shared" si="5"/>
        <v>1</v>
      </c>
    </row>
    <row r="43" spans="1:29" ht="27">
      <c r="A43" s="593"/>
      <c r="B43" s="526" t="s">
        <v>735</v>
      </c>
      <c r="C43" s="598" t="s">
        <v>3175</v>
      </c>
      <c r="D43" s="539">
        <v>100</v>
      </c>
      <c r="E43" s="598" t="s">
        <v>3175</v>
      </c>
      <c r="F43" s="574">
        <f>SUMIF(124:124,E43,125:125)-SUMIF(124:124,C43,125:125)+100</f>
        <v>100</v>
      </c>
      <c r="G43" s="598" t="s">
        <v>3175</v>
      </c>
      <c r="H43" s="539">
        <f>SUMIF(124:124,G43,125:125)-SUMIF(124:124,C43,125:125)+100</f>
        <v>100</v>
      </c>
      <c r="I43" s="598" t="s">
        <v>3175</v>
      </c>
      <c r="J43" s="539">
        <f>SUMIF(124:124,I43,125:125)-SUMIF(124:124,C43,125:125)+100</f>
        <v>100</v>
      </c>
      <c r="K43" s="583">
        <v>2</v>
      </c>
      <c r="L43" s="2142"/>
      <c r="M43" s="2134"/>
      <c r="N43" s="2134"/>
      <c r="O43" s="2141"/>
      <c r="P43" s="3406"/>
      <c r="Q43" s="1571" t="str">
        <f t="shared" si="11"/>
        <v>内部装修维护情况</v>
      </c>
      <c r="R43" s="1572" t="s">
        <v>8</v>
      </c>
      <c r="S43" s="1573">
        <f t="shared" si="12"/>
        <v>100</v>
      </c>
      <c r="T43" s="1572" t="s">
        <v>8</v>
      </c>
      <c r="U43" s="1573">
        <f t="shared" si="13"/>
        <v>100</v>
      </c>
      <c r="V43" s="1572" t="s">
        <v>8</v>
      </c>
      <c r="W43" s="1573">
        <f t="shared" si="14"/>
        <v>100</v>
      </c>
      <c r="X43" s="1566"/>
      <c r="Y43" s="3406"/>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6"/>
      <c r="Q44" s="1149">
        <f t="shared" si="11"/>
        <v>111</v>
      </c>
      <c r="R44" s="1567" t="s">
        <v>8</v>
      </c>
      <c r="S44" s="1568">
        <f t="shared" si="12"/>
        <v>100</v>
      </c>
      <c r="T44" s="1567" t="s">
        <v>8</v>
      </c>
      <c r="U44" s="1568">
        <f t="shared" si="13"/>
        <v>100</v>
      </c>
      <c r="V44" s="1567" t="s">
        <v>8</v>
      </c>
      <c r="W44" s="1568">
        <f t="shared" si="14"/>
        <v>100</v>
      </c>
      <c r="X44" s="1569"/>
      <c r="Y44" s="3406"/>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6"/>
      <c r="Q45" s="1571">
        <f t="shared" si="11"/>
        <v>111</v>
      </c>
      <c r="R45" s="1572" t="s">
        <v>8</v>
      </c>
      <c r="S45" s="1573">
        <f t="shared" si="12"/>
        <v>100</v>
      </c>
      <c r="T45" s="1572" t="s">
        <v>8</v>
      </c>
      <c r="U45" s="1573">
        <f t="shared" si="13"/>
        <v>100</v>
      </c>
      <c r="V45" s="1572" t="s">
        <v>8</v>
      </c>
      <c r="W45" s="1573">
        <f t="shared" si="14"/>
        <v>100</v>
      </c>
      <c r="X45" s="1566"/>
      <c r="Y45" s="3406"/>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09"/>
      <c r="Q46" s="1571">
        <f t="shared" si="11"/>
        <v>111</v>
      </c>
      <c r="R46" s="1572" t="s">
        <v>8</v>
      </c>
      <c r="S46" s="1573">
        <f t="shared" si="12"/>
        <v>100</v>
      </c>
      <c r="T46" s="1572" t="s">
        <v>8</v>
      </c>
      <c r="U46" s="1573">
        <f t="shared" si="13"/>
        <v>100</v>
      </c>
      <c r="V46" s="1572" t="s">
        <v>8</v>
      </c>
      <c r="W46" s="1573">
        <f t="shared" si="14"/>
        <v>100</v>
      </c>
      <c r="X46" s="1566"/>
      <c r="Y46" s="3409"/>
      <c r="Z46" s="1574">
        <f t="shared" si="15"/>
        <v>111</v>
      </c>
      <c r="AA46" s="1575">
        <f t="shared" si="3"/>
        <v>1</v>
      </c>
      <c r="AB46" s="1575">
        <f t="shared" si="4"/>
        <v>1</v>
      </c>
      <c r="AC46" s="1575">
        <f t="shared" si="5"/>
        <v>1</v>
      </c>
    </row>
    <row r="47" spans="1:29" ht="15">
      <c r="A47" s="606" t="s">
        <v>736</v>
      </c>
      <c r="B47" s="886"/>
      <c r="C47" s="2651" t="s">
        <v>1</v>
      </c>
      <c r="D47" s="2652"/>
      <c r="E47" s="2653">
        <v>20000</v>
      </c>
      <c r="F47" s="2654"/>
      <c r="G47" s="2655">
        <v>20000</v>
      </c>
      <c r="H47" s="2656"/>
      <c r="I47" s="2653">
        <v>21000</v>
      </c>
      <c r="J47" s="2656"/>
      <c r="K47" s="1610"/>
      <c r="L47" s="2144"/>
      <c r="M47" s="2145"/>
      <c r="N47" s="2134"/>
      <c r="O47" s="2145"/>
      <c r="P47" s="3369" t="str">
        <f>A47</f>
        <v>成交单价（元/平方米）</v>
      </c>
      <c r="Q47" s="3369"/>
      <c r="R47" s="3408">
        <f>E47</f>
        <v>20000</v>
      </c>
      <c r="S47" s="3408"/>
      <c r="T47" s="3408">
        <f>G47</f>
        <v>20000</v>
      </c>
      <c r="U47" s="3408"/>
      <c r="V47" s="3408">
        <f>I47</f>
        <v>21000</v>
      </c>
      <c r="W47" s="3408"/>
      <c r="X47" s="1558"/>
      <c r="Y47" s="1580"/>
      <c r="Z47" s="1558"/>
      <c r="AA47" s="1558"/>
      <c r="AB47" s="1558"/>
      <c r="AC47" s="1558"/>
    </row>
    <row r="48" spans="1:29" ht="15.75" thickBot="1">
      <c r="A48" s="614" t="s">
        <v>2764</v>
      </c>
      <c r="B48" s="887"/>
      <c r="C48" s="2657">
        <f>R49</f>
        <v>21009</v>
      </c>
      <c r="D48" s="2658"/>
      <c r="E48" s="2659">
        <f>R48</f>
        <v>19417</v>
      </c>
      <c r="F48" s="2659"/>
      <c r="G48" s="2657">
        <f>T48</f>
        <v>21269</v>
      </c>
      <c r="H48" s="2658"/>
      <c r="I48" s="2659">
        <f>V48</f>
        <v>22341</v>
      </c>
      <c r="J48" s="2658"/>
      <c r="K48" s="1611"/>
      <c r="L48" s="2144"/>
      <c r="M48" s="2145"/>
      <c r="N48" s="2134"/>
      <c r="O48" s="2145"/>
      <c r="P48" s="3369" t="str">
        <f>A48</f>
        <v>比较价格（元/平方米）</v>
      </c>
      <c r="Q48" s="3369"/>
      <c r="R48" s="3408">
        <f>IF(F1="售价",ROUND(PRODUCT(R47,AA7:AA46),0),ROUND(PRODUCT(R47,AA7:AA46),1))</f>
        <v>19417</v>
      </c>
      <c r="S48" s="3408"/>
      <c r="T48" s="3408">
        <f>IF(F1="售价",ROUND(PRODUCT(T47,AB7:AB46),0),ROUND(PRODUCT(T47,AB7:AB46),1))</f>
        <v>21269</v>
      </c>
      <c r="U48" s="3408"/>
      <c r="V48" s="3408">
        <f>IF(F1="售价",ROUND(PRODUCT(V47,AC7:AC46),0),ROUND(PRODUCT(V47,AC7:AC46),1))</f>
        <v>22341</v>
      </c>
      <c r="W48" s="3408"/>
      <c r="X48" s="1558"/>
      <c r="Y48" s="1558"/>
      <c r="Z48" s="1558"/>
      <c r="AA48" s="1558"/>
      <c r="AB48" s="1558"/>
      <c r="AC48" s="1558"/>
    </row>
    <row r="49" spans="1:29" ht="15.75" thickBot="1">
      <c r="A49" s="620" t="s">
        <v>2936</v>
      </c>
      <c r="B49" s="621"/>
      <c r="C49" s="2660">
        <f>R49</f>
        <v>21009</v>
      </c>
      <c r="D49" s="2660"/>
      <c r="E49" s="2660"/>
      <c r="F49" s="2660"/>
      <c r="G49" s="2660"/>
      <c r="H49" s="2660"/>
      <c r="I49" s="2660"/>
      <c r="J49" s="2660"/>
      <c r="K49" s="1612"/>
      <c r="L49" s="2144"/>
      <c r="M49" s="2145"/>
      <c r="N49" s="2134"/>
      <c r="O49" s="2145"/>
      <c r="P49" s="3366" t="str">
        <f>A49</f>
        <v>估价对象XX用房的比较价格（楼面单价，元/平方米）</v>
      </c>
      <c r="Q49" s="3367"/>
      <c r="R49" s="3407">
        <f>IF(F1="售价",ROUND(AVERAGE(R48:V48),0),ROUND(AVERAGE(R48:V48),1))</f>
        <v>21009</v>
      </c>
      <c r="S49" s="3407"/>
      <c r="T49" s="3407"/>
      <c r="U49" s="3407"/>
      <c r="V49" s="3407"/>
      <c r="W49" s="340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3.0025235618272639E-2</v>
      </c>
      <c r="F52" s="626" t="str">
        <f>IF(OR(E52&gt;=0.3,E52&lt;=-0.3),"超过30%","")</f>
        <v/>
      </c>
      <c r="G52" s="625">
        <f>IF(G47&lt;G48,G48/G47-1,G47/G48-1)</f>
        <v>6.3450000000000006E-2</v>
      </c>
      <c r="H52" s="626" t="str">
        <f>IF(OR(G52&gt;=0.3,G52&lt;=-0.3),"超过30%","")</f>
        <v/>
      </c>
      <c r="I52" s="625">
        <f>IF(I47&lt;I48,I48/I47-1,I47/I48-1)</f>
        <v>6.3857142857142835E-2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9.5380336818251976E-2</v>
      </c>
      <c r="F53" s="626" t="str">
        <f>IF(OR(E53&gt;=0.2,E53&lt;=-0.2),"超过20%","")</f>
        <v/>
      </c>
      <c r="G53" s="625">
        <f>IF(G48&lt;I48,I48/G48-1,G48/I48-1)</f>
        <v>5.0401993511683729E-2</v>
      </c>
      <c r="H53" s="626" t="str">
        <f>IF(OR(G53&gt;=0.2,G53&lt;=-0.2),"超过20%","")</f>
        <v/>
      </c>
      <c r="I53" s="625">
        <f>IF(I48&lt;E48,E48/I48-1,I48/E48-1)</f>
        <v>0.15058968944739148</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f>IF(E47&lt;G47,G47/E47-1,E47/G47-1)</f>
        <v>0</v>
      </c>
      <c r="F54" s="626" t="str">
        <f>IF(OR(E54&gt;=0.3,E54&lt;=-0.3),"超过30%","")</f>
        <v/>
      </c>
      <c r="G54" s="625">
        <f>IF(G47&lt;I47,I47/G47-1,G47/I47-1)</f>
        <v>5.0000000000000044E-2</v>
      </c>
      <c r="H54" s="626" t="str">
        <f>IF(OR(G54&gt;=0.3,G54&lt;=-0.3),"超过30%","")</f>
        <v/>
      </c>
      <c r="I54" s="625">
        <f>IF(I47&lt;E47,E47/I47-1,I47/E47-1)</f>
        <v>5.0000000000000044E-2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577</v>
      </c>
      <c r="B63" s="664" t="s">
        <v>534</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99</v>
      </c>
      <c r="H66" s="678">
        <f>G66-$K10</f>
        <v>98</v>
      </c>
      <c r="I66" s="678">
        <f>H66-$K10</f>
        <v>97</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2561</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2562</v>
      </c>
      <c r="C82" s="2622" t="s">
        <v>2563</v>
      </c>
      <c r="D82" s="2622" t="s">
        <v>2564</v>
      </c>
      <c r="E82" s="2622" t="s">
        <v>2565</v>
      </c>
      <c r="F82" s="2622" t="s">
        <v>2566</v>
      </c>
      <c r="G82" s="2622" t="s">
        <v>2567</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98</v>
      </c>
      <c r="E83" s="678">
        <f>D83-$K21</f>
        <v>96</v>
      </c>
      <c r="F83" s="678">
        <f>E83-$K21</f>
        <v>94</v>
      </c>
      <c r="G83" s="678">
        <f>F83-$K21</f>
        <v>92</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771</v>
      </c>
      <c r="C86" s="3191" t="s">
        <v>3249</v>
      </c>
      <c r="D86" s="3191" t="s">
        <v>3250</v>
      </c>
      <c r="E86" s="3191" t="s">
        <v>3252</v>
      </c>
      <c r="F86" s="3191" t="s">
        <v>3253</v>
      </c>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99</v>
      </c>
      <c r="E87" s="678">
        <f t="shared" si="19"/>
        <v>98</v>
      </c>
      <c r="F87" s="678">
        <f t="shared" si="19"/>
        <v>97</v>
      </c>
      <c r="G87" s="678">
        <f t="shared" si="19"/>
        <v>96</v>
      </c>
      <c r="H87" s="678">
        <f t="shared" si="19"/>
        <v>95</v>
      </c>
      <c r="I87" s="678">
        <f t="shared" si="19"/>
        <v>94</v>
      </c>
      <c r="J87" s="678">
        <f t="shared" si="19"/>
        <v>93</v>
      </c>
      <c r="K87" s="678">
        <f t="shared" si="19"/>
        <v>92</v>
      </c>
      <c r="L87" s="678">
        <f t="shared" si="19"/>
        <v>91</v>
      </c>
      <c r="M87" s="678">
        <f t="shared" si="19"/>
        <v>90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t="s">
        <v>3254</v>
      </c>
      <c r="D88" s="3191" t="s">
        <v>3245</v>
      </c>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v>100</v>
      </c>
      <c r="D89" s="670">
        <v>97</v>
      </c>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3191" t="s">
        <v>3255</v>
      </c>
      <c r="D90" s="3191" t="s">
        <v>3257</v>
      </c>
      <c r="E90" s="3191" t="s">
        <v>3258</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t="s">
        <v>3259</v>
      </c>
      <c r="D92" s="687" t="s">
        <v>3260</v>
      </c>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v>100</v>
      </c>
      <c r="D93" s="670">
        <v>80</v>
      </c>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3187" t="s">
        <v>3261</v>
      </c>
      <c r="D100" s="3187" t="s">
        <v>3262</v>
      </c>
      <c r="E100" s="3187" t="s">
        <v>3263</v>
      </c>
      <c r="F100" s="3187" t="s">
        <v>3264</v>
      </c>
      <c r="G100" s="3187" t="s">
        <v>3266</v>
      </c>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97</v>
      </c>
      <c r="E101" s="678">
        <f t="shared" si="21"/>
        <v>94</v>
      </c>
      <c r="F101" s="678">
        <f t="shared" si="21"/>
        <v>91</v>
      </c>
      <c r="G101" s="678">
        <f t="shared" si="21"/>
        <v>88</v>
      </c>
      <c r="H101" s="678">
        <f t="shared" si="21"/>
        <v>85</v>
      </c>
      <c r="I101" s="678">
        <f t="shared" si="21"/>
        <v>82</v>
      </c>
      <c r="J101" s="678">
        <f t="shared" si="21"/>
        <v>79</v>
      </c>
      <c r="K101" s="678">
        <f t="shared" si="21"/>
        <v>76</v>
      </c>
      <c r="L101" s="678">
        <f t="shared" si="21"/>
        <v>73</v>
      </c>
      <c r="M101" s="679">
        <f t="shared" si="21"/>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v>
      </c>
      <c r="D102" s="707" t="str">
        <f t="shared" ref="D102:L102" si="22">D103&amp;"(含)"&amp;"-"&amp;E103</f>
        <v>100000(含)-200000</v>
      </c>
      <c r="E102" s="707" t="str">
        <f t="shared" si="22"/>
        <v>200000(含)-30000</v>
      </c>
      <c r="F102" s="707" t="str">
        <f t="shared" si="22"/>
        <v>30000(含)-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100000</v>
      </c>
      <c r="E103" s="729">
        <v>200000</v>
      </c>
      <c r="F103" s="729">
        <v>30000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1" t="s">
        <v>3267</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99</v>
      </c>
      <c r="E106" s="678">
        <f t="shared" si="23"/>
        <v>98</v>
      </c>
      <c r="F106" s="678">
        <f t="shared" si="23"/>
        <v>97</v>
      </c>
      <c r="G106" s="678">
        <f t="shared" si="23"/>
        <v>96</v>
      </c>
      <c r="H106" s="678">
        <f t="shared" si="23"/>
        <v>95</v>
      </c>
      <c r="I106" s="678">
        <f t="shared" si="23"/>
        <v>94</v>
      </c>
      <c r="J106" s="678">
        <f t="shared" si="23"/>
        <v>93</v>
      </c>
      <c r="K106" s="678">
        <f t="shared" si="23"/>
        <v>92</v>
      </c>
      <c r="L106" s="678">
        <f t="shared" si="23"/>
        <v>91</v>
      </c>
      <c r="M106" s="679">
        <f t="shared" si="23"/>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3191" t="s">
        <v>3208</v>
      </c>
      <c r="D107" s="3191" t="s">
        <v>3209</v>
      </c>
      <c r="E107" s="3191" t="s">
        <v>3210</v>
      </c>
      <c r="F107" s="3192" t="s">
        <v>3212</v>
      </c>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99</v>
      </c>
      <c r="E108" s="678">
        <f t="shared" si="24"/>
        <v>98</v>
      </c>
      <c r="F108" s="678">
        <f t="shared" si="24"/>
        <v>97</v>
      </c>
      <c r="G108" s="678">
        <f t="shared" si="24"/>
        <v>96</v>
      </c>
      <c r="H108" s="678">
        <f t="shared" si="24"/>
        <v>95</v>
      </c>
      <c r="I108" s="678">
        <f t="shared" si="24"/>
        <v>94</v>
      </c>
      <c r="J108" s="678">
        <f t="shared" si="24"/>
        <v>93</v>
      </c>
      <c r="K108" s="678">
        <f t="shared" si="24"/>
        <v>92</v>
      </c>
      <c r="L108" s="678">
        <f t="shared" si="24"/>
        <v>91</v>
      </c>
      <c r="M108" s="679">
        <f t="shared" si="24"/>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2560</v>
      </c>
      <c r="C112" s="3191" t="s">
        <v>3213</v>
      </c>
      <c r="D112" s="3191" t="s">
        <v>3215</v>
      </c>
      <c r="E112" s="3191" t="s">
        <v>3216</v>
      </c>
      <c r="F112" s="3191" t="s">
        <v>3217</v>
      </c>
      <c r="G112" s="3191" t="s">
        <v>3219</v>
      </c>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99</v>
      </c>
      <c r="E113" s="678">
        <f t="shared" ref="E113:M113" si="26">D113-$K37</f>
        <v>98</v>
      </c>
      <c r="F113" s="678">
        <f t="shared" si="26"/>
        <v>97</v>
      </c>
      <c r="G113" s="678">
        <f t="shared" si="26"/>
        <v>96</v>
      </c>
      <c r="H113" s="678">
        <f t="shared" si="26"/>
        <v>95</v>
      </c>
      <c r="I113" s="678">
        <f t="shared" si="26"/>
        <v>94</v>
      </c>
      <c r="J113" s="678">
        <f t="shared" si="26"/>
        <v>93</v>
      </c>
      <c r="K113" s="678">
        <f t="shared" si="26"/>
        <v>92</v>
      </c>
      <c r="L113" s="678">
        <f t="shared" si="26"/>
        <v>91</v>
      </c>
      <c r="M113" s="678">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3191" t="s">
        <v>3268</v>
      </c>
      <c r="D114" s="3191" t="s">
        <v>3270</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3191" t="s">
        <v>3271</v>
      </c>
      <c r="D116" s="3191" t="s">
        <v>3273</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97</v>
      </c>
      <c r="E117" s="678">
        <f>D117-$K39</f>
        <v>94</v>
      </c>
      <c r="F117" s="678">
        <f>E117-$K39</f>
        <v>91</v>
      </c>
      <c r="G117" s="678">
        <f>F117-$K39</f>
        <v>88</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776</v>
      </c>
      <c r="C120" s="3192" t="s">
        <v>3243</v>
      </c>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97</v>
      </c>
      <c r="E121" s="678">
        <f t="shared" ref="E121:M121" si="28">D121-$K41</f>
        <v>94</v>
      </c>
      <c r="F121" s="678">
        <f t="shared" si="28"/>
        <v>91</v>
      </c>
      <c r="G121" s="678">
        <f t="shared" si="28"/>
        <v>88</v>
      </c>
      <c r="H121" s="678">
        <f t="shared" si="28"/>
        <v>85</v>
      </c>
      <c r="I121" s="678">
        <f t="shared" si="28"/>
        <v>82</v>
      </c>
      <c r="J121" s="678">
        <f t="shared" si="28"/>
        <v>79</v>
      </c>
      <c r="K121" s="678">
        <f t="shared" si="28"/>
        <v>76</v>
      </c>
      <c r="L121" s="678">
        <f t="shared" si="28"/>
        <v>73</v>
      </c>
      <c r="M121" s="679">
        <f t="shared" si="28"/>
        <v>70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1" t="s">
        <v>3208</v>
      </c>
      <c r="D122" s="3191" t="s">
        <v>3209</v>
      </c>
      <c r="E122" s="3191" t="s">
        <v>3210</v>
      </c>
      <c r="F122" s="3192" t="s">
        <v>3212</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D33" sqref="D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1726</v>
      </c>
      <c r="B1" s="737"/>
      <c r="C1" s="772" t="s">
        <v>3167</v>
      </c>
      <c r="D1" s="3153" t="s">
        <v>952</v>
      </c>
      <c r="E1" s="2411" t="s">
        <v>2378</v>
      </c>
      <c r="F1" s="2412">
        <f ca="1">J53</f>
        <v>50</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1727</v>
      </c>
      <c r="B2" s="774">
        <f ca="1">C40+J29+L46</f>
        <v>3109</v>
      </c>
      <c r="C2" s="2057"/>
      <c r="D2" s="2055"/>
      <c r="E2" s="2056"/>
      <c r="F2" s="2056"/>
      <c r="G2" s="1589"/>
      <c r="H2" s="2057"/>
      <c r="I2" s="2057"/>
      <c r="J2" s="2057"/>
      <c r="K2" s="2058"/>
      <c r="L2" s="2057"/>
      <c r="M2" s="2057"/>
    </row>
    <row r="3" spans="1:33" ht="18" customHeight="1" thickBot="1">
      <c r="A3" s="832" t="s">
        <v>1728</v>
      </c>
      <c r="B3" s="833">
        <f ca="1">IF(ISERROR(B2*10000/F43),0,ROUND(B2*10000/F43,0))</f>
        <v>2586</v>
      </c>
      <c r="C3" s="2057"/>
      <c r="D3" s="2055"/>
      <c r="E3" s="2056"/>
      <c r="F3" s="2056"/>
      <c r="G3" s="1589"/>
      <c r="H3" s="775" t="s">
        <v>695</v>
      </c>
      <c r="I3" s="1361"/>
      <c r="J3" s="1361"/>
      <c r="K3" s="1590"/>
      <c r="L3" s="1361"/>
      <c r="M3" s="1361"/>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2462</v>
      </c>
      <c r="C5" s="55">
        <f ca="1">C6+C10+C12</f>
        <v>208</v>
      </c>
      <c r="D5" s="2520" t="s">
        <v>2465</v>
      </c>
      <c r="E5" s="2514"/>
      <c r="F5" s="2515"/>
      <c r="G5" s="1591"/>
      <c r="H5" s="780">
        <v>1</v>
      </c>
      <c r="I5" s="781" t="s">
        <v>2462</v>
      </c>
      <c r="J5" s="55">
        <f ca="1">J6+J10+J12</f>
        <v>0</v>
      </c>
      <c r="K5" s="2520" t="s">
        <v>2465</v>
      </c>
      <c r="L5" s="2514"/>
      <c r="M5" s="2515"/>
    </row>
    <row r="6" spans="1:33" ht="18" customHeight="1">
      <c r="A6" s="1830" t="s">
        <v>1825</v>
      </c>
      <c r="B6" s="3419" t="s">
        <v>2467</v>
      </c>
      <c r="C6" s="782">
        <f ca="1">ROUND(F6*F8*F7*(1-F9)/10000,0)</f>
        <v>208</v>
      </c>
      <c r="D6" s="2521" t="s">
        <v>2466</v>
      </c>
      <c r="E6" s="783" t="s">
        <v>1739</v>
      </c>
      <c r="F6" s="784">
        <f ca="1">INDIRECT("'数据-取费表'!u"&amp;$G$1)</f>
        <v>0.5</v>
      </c>
      <c r="G6" s="1591"/>
      <c r="H6" s="2528" t="s">
        <v>2472</v>
      </c>
      <c r="I6" s="3419" t="s">
        <v>2467</v>
      </c>
      <c r="J6" s="782">
        <f ca="1">ROUND(M6*M8*M7*(1-M9)/10000,0)</f>
        <v>0</v>
      </c>
      <c r="K6" s="340" t="s">
        <v>1738</v>
      </c>
      <c r="L6" s="783" t="s">
        <v>1739</v>
      </c>
      <c r="M6" s="784">
        <f ca="1">INDIRECT("'数据-取费表'!z"&amp;$G$1)</f>
        <v>0</v>
      </c>
    </row>
    <row r="7" spans="1:33" ht="18" customHeight="1">
      <c r="A7" s="2524"/>
      <c r="B7" s="3420"/>
      <c r="C7" s="787"/>
      <c r="D7" s="788"/>
      <c r="E7" s="783" t="s">
        <v>1740</v>
      </c>
      <c r="F7" s="784">
        <f ca="1">IF(INDIRECT("'数据-取费表'!ah"&amp;$G$1)="",INDIRECT("'数据-取费表'!k"&amp;$G$1),INDIRECT("'数据-取费表'!ah"&amp;$G$1))</f>
        <v>12024.36</v>
      </c>
      <c r="G7" s="1591"/>
      <c r="H7" s="2513"/>
      <c r="I7" s="3420"/>
      <c r="J7" s="787"/>
      <c r="K7" s="788"/>
      <c r="L7" s="783" t="s">
        <v>1740</v>
      </c>
      <c r="M7" s="784">
        <f ca="1">F7</f>
        <v>12024.36</v>
      </c>
    </row>
    <row r="8" spans="1:33" ht="18" customHeight="1">
      <c r="A8" s="2517"/>
      <c r="B8" s="3421"/>
      <c r="C8" s="787"/>
      <c r="D8" s="788"/>
      <c r="E8" s="783" t="s">
        <v>1741</v>
      </c>
      <c r="F8" s="784">
        <f ca="1">INDIRECT("'数据-取费表'!ai"&amp;$G$1)</f>
        <v>365</v>
      </c>
      <c r="G8" s="1591"/>
      <c r="H8" s="2513"/>
      <c r="I8" s="3421"/>
      <c r="J8" s="787"/>
      <c r="K8" s="788"/>
      <c r="L8" s="783" t="s">
        <v>1741</v>
      </c>
      <c r="M8" s="784">
        <f ca="1">INDIRECT("'数据-取费表'!ai"&amp;$G$1)</f>
        <v>365</v>
      </c>
    </row>
    <row r="9" spans="1:33" ht="18" customHeight="1">
      <c r="A9" s="785"/>
      <c r="B9" s="3422"/>
      <c r="C9" s="787"/>
      <c r="D9" s="788"/>
      <c r="E9" s="783" t="s">
        <v>1742</v>
      </c>
      <c r="F9" s="793">
        <f ca="1">INDIRECT("'数据-取费表'!w"&amp;$G$1)</f>
        <v>0.05</v>
      </c>
      <c r="G9" s="1591"/>
      <c r="H9" s="2529"/>
      <c r="I9" s="3421"/>
      <c r="J9" s="787"/>
      <c r="K9" s="788"/>
      <c r="L9" s="794" t="s">
        <v>1742</v>
      </c>
      <c r="M9" s="795">
        <f ca="1">INDIRECT("'数据-取费表'!ab"&amp;$G$1)</f>
        <v>0</v>
      </c>
    </row>
    <row r="10" spans="1:33" ht="18" customHeight="1">
      <c r="A10" s="1830" t="s">
        <v>2470</v>
      </c>
      <c r="B10" s="2518" t="s">
        <v>2463</v>
      </c>
      <c r="C10" s="798">
        <f ca="1">ROUND(IF(F10="押一",C6/12*F11,IF(F10="押二",C6/12*2*F11,IF(F10="押三",C6/12*3*F11,C11*F11))),0)</f>
        <v>0</v>
      </c>
      <c r="D10" s="2525" t="s">
        <v>2977</v>
      </c>
      <c r="E10" s="2522" t="s">
        <v>2468</v>
      </c>
      <c r="F10" s="2645" t="s">
        <v>3191</v>
      </c>
      <c r="G10" s="1591"/>
      <c r="H10" s="2585" t="s">
        <v>2473</v>
      </c>
      <c r="I10" s="2590" t="s">
        <v>2463</v>
      </c>
      <c r="J10" s="782">
        <f ca="1">ROUND(IF(M10="押一",J6/12*M11,IF(M10="押二",J6/12*2*M11,IF(M10="押三",J6/12*3*M11,J11*M11))),0)</f>
        <v>0</v>
      </c>
      <c r="K10" s="2525" t="s">
        <v>2977</v>
      </c>
      <c r="L10" s="2522" t="s">
        <v>2468</v>
      </c>
      <c r="M10" s="2645"/>
    </row>
    <row r="11" spans="1:33" ht="18" customHeight="1">
      <c r="A11" s="789"/>
      <c r="B11" s="2519" t="s">
        <v>2577</v>
      </c>
      <c r="C11" s="2523"/>
      <c r="D11" s="788"/>
      <c r="E11" s="2522" t="s">
        <v>2469</v>
      </c>
      <c r="F11" s="795">
        <f ca="1">'数据-取费表'!B39</f>
        <v>1.4999999999999999E-2</v>
      </c>
      <c r="G11" s="1591"/>
      <c r="H11" s="2586"/>
      <c r="I11" s="2519" t="s">
        <v>2577</v>
      </c>
      <c r="J11" s="2523"/>
      <c r="K11" s="2587"/>
      <c r="L11" s="2522" t="s">
        <v>2469</v>
      </c>
      <c r="M11" s="2516">
        <f ca="1">'数据-取费表'!B39</f>
        <v>1.4999999999999999E-2</v>
      </c>
    </row>
    <row r="12" spans="1:33" ht="18" customHeight="1" thickBot="1">
      <c r="A12" s="2561" t="s">
        <v>2471</v>
      </c>
      <c r="B12" s="2562" t="s">
        <v>2464</v>
      </c>
      <c r="C12" s="2563"/>
      <c r="D12" s="2564"/>
      <c r="E12" s="2565"/>
      <c r="F12" s="2566"/>
      <c r="G12" s="1591"/>
      <c r="H12" s="2575" t="s">
        <v>2474</v>
      </c>
      <c r="I12" s="2588" t="s">
        <v>2464</v>
      </c>
      <c r="J12" s="2589"/>
      <c r="K12" s="2564"/>
      <c r="L12" s="2565"/>
      <c r="M12" s="2578"/>
    </row>
    <row r="13" spans="1:33" ht="18" customHeight="1" thickTop="1">
      <c r="A13" s="1829">
        <v>2</v>
      </c>
      <c r="B13" s="1827" t="s">
        <v>1743</v>
      </c>
      <c r="C13" s="791">
        <f ca="1">ROUND(C29*F13,0)</f>
        <v>3279</v>
      </c>
      <c r="D13" s="1834" t="s">
        <v>2300</v>
      </c>
      <c r="E13" s="1834" t="s">
        <v>1745</v>
      </c>
      <c r="F13" s="2560">
        <f ca="1">INDIRECT("'数据-取费表'!y"&amp;$G$1)</f>
        <v>1</v>
      </c>
      <c r="G13" s="1591"/>
      <c r="H13" s="1829">
        <v>2</v>
      </c>
      <c r="I13" s="1827" t="s">
        <v>1743</v>
      </c>
      <c r="J13" s="1819">
        <f ca="1">ROUND(J14*J15,0)</f>
        <v>0</v>
      </c>
      <c r="K13" s="1821" t="s">
        <v>1744</v>
      </c>
      <c r="L13" s="2576"/>
      <c r="M13" s="2577"/>
    </row>
    <row r="14" spans="1:33" ht="18" customHeight="1">
      <c r="A14" s="1647" t="s">
        <v>1885</v>
      </c>
      <c r="B14" s="783" t="s">
        <v>645</v>
      </c>
      <c r="C14" s="803">
        <f ca="1">INDIRECT("'数据-取费表'!m"&amp;$G$1)+INDIRECT("'数据-取费表'!t"&amp;$G$1)</f>
        <v>2421</v>
      </c>
      <c r="D14" s="1979" t="s">
        <v>1746</v>
      </c>
      <c r="E14" s="1980"/>
      <c r="F14" s="804"/>
      <c r="G14" s="1591"/>
      <c r="H14" s="1648" t="s">
        <v>1831</v>
      </c>
      <c r="I14" s="2231" t="s">
        <v>2830</v>
      </c>
      <c r="J14" s="53">
        <f ca="1">C29</f>
        <v>3279</v>
      </c>
      <c r="K14" s="26"/>
      <c r="L14" s="800"/>
      <c r="M14" s="801"/>
    </row>
    <row r="15" spans="1:33" s="2064" customFormat="1" ht="18" customHeight="1" thickBot="1">
      <c r="A15" s="1647" t="s">
        <v>1886</v>
      </c>
      <c r="B15" s="783" t="s">
        <v>647</v>
      </c>
      <c r="C15" s="53">
        <f ca="1">ROUND(C14*F15,0)</f>
        <v>73</v>
      </c>
      <c r="D15" s="805" t="s">
        <v>1747</v>
      </c>
      <c r="E15" s="805" t="s">
        <v>1748</v>
      </c>
      <c r="F15" s="806">
        <f>'数据-取费表'!B33</f>
        <v>0.03</v>
      </c>
      <c r="G15" s="1592"/>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829" t="s">
        <v>1749</v>
      </c>
      <c r="I16" s="1827" t="s">
        <v>1750</v>
      </c>
      <c r="J16" s="791">
        <f ca="1">ROUND(J17+J22+J23+J24,0)</f>
        <v>328</v>
      </c>
      <c r="K16" s="1821" t="s">
        <v>1751</v>
      </c>
      <c r="L16" s="2510"/>
      <c r="M16" s="2515"/>
    </row>
    <row r="17" spans="1:33" s="2064" customFormat="1" ht="18" customHeight="1">
      <c r="A17" s="1647" t="s">
        <v>1888</v>
      </c>
      <c r="B17" s="783" t="s">
        <v>653</v>
      </c>
      <c r="C17" s="53">
        <f ca="1">ROUND(F17*(F43+INDIRECT("'数据-取费表'!S"&amp;$G$1))/10000,0)</f>
        <v>182</v>
      </c>
      <c r="D17" s="783" t="s">
        <v>1752</v>
      </c>
      <c r="E17" s="783" t="s">
        <v>1753</v>
      </c>
      <c r="F17" s="56">
        <f>'数据-取费表'!B35</f>
        <v>150</v>
      </c>
      <c r="G17" s="1592"/>
      <c r="H17" s="1648" t="s">
        <v>1831</v>
      </c>
      <c r="I17" s="783" t="s">
        <v>656</v>
      </c>
      <c r="J17" s="53">
        <f ca="1">ROUND(IF(项目基本情况!B11="自然人",J5*M17,J18+J19+J20),0)</f>
        <v>279</v>
      </c>
      <c r="K17" s="2509" t="s">
        <v>1754</v>
      </c>
      <c r="L17" s="2508" t="s">
        <v>1755</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3" t="s">
        <v>659</v>
      </c>
      <c r="C18" s="53">
        <f ca="1">ROUND(C14*F18,0)</f>
        <v>36</v>
      </c>
      <c r="D18" s="783" t="s">
        <v>1747</v>
      </c>
      <c r="E18" s="783" t="s">
        <v>1748</v>
      </c>
      <c r="F18" s="808">
        <f>'数据-取费表'!B36</f>
        <v>1.4999999999999999E-2</v>
      </c>
      <c r="G18" s="1592"/>
      <c r="H18" s="1647" t="s">
        <v>1885</v>
      </c>
      <c r="I18" s="783" t="s">
        <v>1756</v>
      </c>
      <c r="J18" s="53">
        <f ca="1">ROUND(J5*M18/1.05,1)</f>
        <v>0</v>
      </c>
      <c r="K18" s="2508" t="s">
        <v>1757</v>
      </c>
      <c r="L18" s="783" t="s">
        <v>1748</v>
      </c>
      <c r="M18" s="808">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3" t="s">
        <v>662</v>
      </c>
      <c r="C19" s="53">
        <f ca="1">SUM(C14:C18)</f>
        <v>2712</v>
      </c>
      <c r="D19" s="260" t="s">
        <v>1758</v>
      </c>
      <c r="E19" s="1982"/>
      <c r="F19" s="56"/>
      <c r="G19" s="1591"/>
      <c r="H19" s="1647" t="s">
        <v>1886</v>
      </c>
      <c r="I19" s="783" t="s">
        <v>1759</v>
      </c>
      <c r="J19" s="53">
        <f ca="1">IF(K19="按租金收入计税",ROUND(J5*M19,1),ROUND(C29*F33*0.7,1))</f>
        <v>275.39999999999998</v>
      </c>
      <c r="K19" s="810" t="s">
        <v>665</v>
      </c>
      <c r="L19" s="783" t="s">
        <v>1748</v>
      </c>
      <c r="M19" s="808">
        <f>IF(K19="按租金收入计税",'数据-取费表'!B51,'数据-取费表'!B50)</f>
        <v>1.2E-2</v>
      </c>
    </row>
    <row r="20" spans="1:33" s="2064" customFormat="1" ht="18" customHeight="1">
      <c r="A20" s="1648" t="s">
        <v>1890</v>
      </c>
      <c r="B20" s="783" t="s">
        <v>666</v>
      </c>
      <c r="C20" s="53">
        <f ca="1">ROUND(C19*F20,0)</f>
        <v>54</v>
      </c>
      <c r="D20" s="811" t="s">
        <v>1760</v>
      </c>
      <c r="E20" s="783" t="s">
        <v>1748</v>
      </c>
      <c r="F20" s="808">
        <f>'数据-取费表'!B37</f>
        <v>0.02</v>
      </c>
      <c r="G20" s="1592"/>
      <c r="H20" s="1650" t="s">
        <v>1881</v>
      </c>
      <c r="I20" s="340" t="s">
        <v>1761</v>
      </c>
      <c r="J20" s="54">
        <f ca="1">ROUND(M20*M21/10000,0)</f>
        <v>4</v>
      </c>
      <c r="K20" s="813" t="s">
        <v>1762</v>
      </c>
      <c r="L20" s="783" t="s">
        <v>1763</v>
      </c>
      <c r="M20" s="639">
        <f>'数据-取费表'!B52</f>
        <v>6</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3" t="s">
        <v>1764</v>
      </c>
      <c r="C21" s="53" t="s">
        <v>1765</v>
      </c>
      <c r="D21" s="811" t="s">
        <v>2301</v>
      </c>
      <c r="E21" s="783" t="s">
        <v>1766</v>
      </c>
      <c r="F21" s="808">
        <f>'数据-取费表'!B38</f>
        <v>0.02</v>
      </c>
      <c r="G21" s="1592"/>
      <c r="H21" s="2530"/>
      <c r="I21" s="792"/>
      <c r="J21" s="69"/>
      <c r="K21" s="815"/>
      <c r="L21" s="783" t="s">
        <v>1767</v>
      </c>
      <c r="M21" s="784">
        <f ca="1">INDIRECT("'数据-取费表'!r"&amp;$G$1)</f>
        <v>5859.35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3" t="s">
        <v>1768</v>
      </c>
      <c r="C22" s="53"/>
      <c r="D22" s="2596" t="str">
        <f>IF(F23&lt;=1,"单利计息。","复利计息。")&amp;"建造成本、管理费用、销售费用产生的利息。"</f>
        <v>复利计息。建造成本、管理费用、销售费用产生的利息。</v>
      </c>
      <c r="E22" s="1982"/>
      <c r="F22" s="56"/>
      <c r="G22" s="1591"/>
      <c r="H22" s="1648" t="s">
        <v>1890</v>
      </c>
      <c r="I22" s="783" t="s">
        <v>1769</v>
      </c>
      <c r="J22" s="53">
        <f ca="1">ROUND(J14*M22,0)</f>
        <v>49</v>
      </c>
      <c r="K22" s="2508" t="s">
        <v>1770</v>
      </c>
      <c r="L22" s="783" t="s">
        <v>1748</v>
      </c>
      <c r="M22" s="816">
        <f ca="1">INDIRECT("'数据-取费表'!Ak"&amp;$G$1)</f>
        <v>1.4999999999999999E-2</v>
      </c>
    </row>
    <row r="23" spans="1:33" s="2064" customFormat="1" ht="18" customHeight="1">
      <c r="A23" s="1647" t="s">
        <v>1832</v>
      </c>
      <c r="B23" s="783" t="s">
        <v>2539</v>
      </c>
      <c r="C23" s="53">
        <f ca="1">ROUND(IF('数据-取费表'!B22&lt;=1,(C19+C20)*F24*F23/2,(C19+C20)*(POWER((1+F24),F23/2)-1)),0)</f>
        <v>131</v>
      </c>
      <c r="D23" s="2595"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508" t="s">
        <v>1772</v>
      </c>
      <c r="L23" s="783" t="s">
        <v>1748</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3" t="s">
        <v>1773</v>
      </c>
      <c r="C24" s="53">
        <f ca="1">ROUND(IF('数据-取费表'!B22&lt;=1,F21*F24*F23/2,F21*(POWER((1+F24),F23/2)-1)),4)</f>
        <v>1E-3</v>
      </c>
      <c r="D24" s="2595" t="str">
        <f>IF(F23&lt;=1,"销售费用×利率×(建设周期÷2)","销售费用×((1+利率)^(建设周期÷2)-1)")</f>
        <v>销售费用×((1+利率)^(建设周期÷2)-1)</v>
      </c>
      <c r="E24" s="783" t="s">
        <v>1774</v>
      </c>
      <c r="F24" s="818">
        <f ca="1">'数据-取费表'!B40</f>
        <v>4.7500000000000001E-2</v>
      </c>
      <c r="G24" s="1592"/>
      <c r="H24" s="2575" t="s">
        <v>1892</v>
      </c>
      <c r="I24" s="2570" t="s">
        <v>666</v>
      </c>
      <c r="J24" s="2568">
        <f ca="1">ROUND(J5*M24,0)</f>
        <v>0</v>
      </c>
      <c r="K24" s="2569" t="s">
        <v>1775</v>
      </c>
      <c r="L24" s="2570" t="s">
        <v>1748</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3" t="s">
        <v>684</v>
      </c>
      <c r="C25" s="53"/>
      <c r="D25" s="260" t="s">
        <v>1776</v>
      </c>
      <c r="E25" s="1982"/>
      <c r="F25" s="56"/>
      <c r="G25" s="1591"/>
      <c r="H25" s="1829" t="s">
        <v>1777</v>
      </c>
      <c r="I25" s="3033" t="s">
        <v>2826</v>
      </c>
      <c r="J25" s="791">
        <f ca="1">J5-J16</f>
        <v>-328</v>
      </c>
      <c r="K25" s="2572" t="s">
        <v>1778</v>
      </c>
      <c r="L25" s="2573"/>
      <c r="M25" s="2574"/>
    </row>
    <row r="26" spans="1:33" ht="18" customHeight="1">
      <c r="A26" s="1647" t="s">
        <v>1832</v>
      </c>
      <c r="B26" s="783" t="s">
        <v>2442</v>
      </c>
      <c r="C26" s="53">
        <f ca="1">ROUND((C19+C20)*F26,0)</f>
        <v>138</v>
      </c>
      <c r="D26" s="811" t="s">
        <v>1779</v>
      </c>
      <c r="E26" s="794" t="s">
        <v>1780</v>
      </c>
      <c r="F26" s="793">
        <f ca="1">INDIRECT("'数据-取费表'!q"&amp;$G$1)</f>
        <v>0.05</v>
      </c>
      <c r="G26" s="1591"/>
      <c r="H26" s="2526" t="s">
        <v>1781</v>
      </c>
      <c r="I26" s="2232" t="s">
        <v>2831</v>
      </c>
      <c r="J26" s="782">
        <f ca="1">IF(J5&lt;&gt;0,ROUND(J25*(1-((1+M28)/(1+M26))^M27)/(M26-M28),0),0)</f>
        <v>0</v>
      </c>
      <c r="K26" s="813" t="s">
        <v>1782</v>
      </c>
      <c r="L26" s="783" t="s">
        <v>2423</v>
      </c>
      <c r="M26" s="793">
        <f ca="1">INDIRECT("'数据-取费表'!I"&amp;$G$1)</f>
        <v>0.05</v>
      </c>
    </row>
    <row r="27" spans="1:33" ht="18" customHeight="1">
      <c r="A27" s="1647" t="s">
        <v>1833</v>
      </c>
      <c r="B27" s="783" t="s">
        <v>686</v>
      </c>
      <c r="C27" s="53">
        <f ca="1">ROUND(F21*F26,4)</f>
        <v>1E-3</v>
      </c>
      <c r="D27" s="811" t="s">
        <v>1783</v>
      </c>
      <c r="E27" s="805"/>
      <c r="F27" s="806"/>
      <c r="G27" s="1591"/>
      <c r="H27" s="2527"/>
      <c r="I27" s="786"/>
      <c r="J27" s="787"/>
      <c r="K27" s="820" t="s">
        <v>1784</v>
      </c>
      <c r="L27" s="783" t="s">
        <v>1785</v>
      </c>
      <c r="M27" s="821">
        <f ca="1">INDIRECT("'数据-取费表'!ag"&amp;$G$1)</f>
        <v>0</v>
      </c>
    </row>
    <row r="28" spans="1:33" s="2064" customFormat="1" ht="18" customHeight="1">
      <c r="A28" s="1649" t="s">
        <v>1842</v>
      </c>
      <c r="B28" s="783" t="s">
        <v>687</v>
      </c>
      <c r="C28" s="53">
        <f>ROUND(F28/(1+'数据-取费表'!C42),4)</f>
        <v>5.2400000000000002E-2</v>
      </c>
      <c r="D28" s="811" t="s">
        <v>2302</v>
      </c>
      <c r="E28" s="783" t="s">
        <v>1786</v>
      </c>
      <c r="F28" s="808">
        <f>'数据-取费表'!B41</f>
        <v>5.5000000000000007E-2</v>
      </c>
      <c r="G28" s="1592"/>
      <c r="H28" s="1829"/>
      <c r="I28" s="790"/>
      <c r="J28" s="791"/>
      <c r="K28" s="815"/>
      <c r="L28" s="783" t="s">
        <v>1787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2303</v>
      </c>
      <c r="C29" s="2568">
        <f ca="1">ROUND((C19+C20+C23+C26)/(1-F21-C24-C27-C28),0)</f>
        <v>3279</v>
      </c>
      <c r="D29" s="2569"/>
      <c r="E29" s="2570"/>
      <c r="F29" s="2571"/>
      <c r="G29" s="1592"/>
      <c r="H29" s="822" t="s">
        <v>1788</v>
      </c>
      <c r="I29" s="823" t="s">
        <v>1789</v>
      </c>
      <c r="J29" s="824">
        <f ca="1">ROUND(J26/(1+F40)^F41,0)</f>
        <v>0</v>
      </c>
      <c r="K29" s="825" t="s">
        <v>1790</v>
      </c>
      <c r="L29" s="826"/>
      <c r="M29" s="827">
        <f ca="1">INDIRECT("'数据-取费表'!k"&amp;$G$1)</f>
        <v>12024.36</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1">
        <f ca="1">ROUND(C31+C36+C37+C38,0)</f>
        <v>97</v>
      </c>
      <c r="D30" s="1821" t="s">
        <v>1792</v>
      </c>
      <c r="E30" s="2510"/>
      <c r="F30" s="2515"/>
      <c r="G30" s="2062"/>
      <c r="H30" s="2065"/>
      <c r="I30" s="2066"/>
      <c r="J30" s="2067"/>
      <c r="K30" s="2068"/>
      <c r="L30" s="2069"/>
      <c r="M30" s="2070"/>
    </row>
    <row r="31" spans="1:33" ht="18" customHeight="1">
      <c r="A31" s="1648" t="s">
        <v>1831</v>
      </c>
      <c r="B31" s="783" t="s">
        <v>656</v>
      </c>
      <c r="C31" s="53">
        <f ca="1">ROUND(IF(项目基本情况!B11="自然人",C5*F31,C32+C33+C34),1)</f>
        <v>39.4</v>
      </c>
      <c r="D31" s="1979" t="s">
        <v>1793</v>
      </c>
      <c r="E31" s="1977" t="s">
        <v>1794</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3" t="s">
        <v>1795</v>
      </c>
      <c r="C32" s="53">
        <f ca="1">ROUND(C5*F32/1.05,1)</f>
        <v>10.9</v>
      </c>
      <c r="D32" s="1977" t="s">
        <v>1796</v>
      </c>
      <c r="E32" s="783" t="s">
        <v>1797</v>
      </c>
      <c r="F32" s="808">
        <f>'数据-取费表'!B41</f>
        <v>5.5000000000000007E-2</v>
      </c>
      <c r="G32" s="2062"/>
      <c r="H32" s="2071"/>
      <c r="I32" s="2072"/>
      <c r="J32" s="2073"/>
      <c r="K32" s="2074"/>
      <c r="L32" s="2075"/>
      <c r="M32" s="2076"/>
    </row>
    <row r="33" spans="1:18" ht="18" customHeight="1">
      <c r="A33" s="1647" t="s">
        <v>1833</v>
      </c>
      <c r="B33" s="783" t="s">
        <v>1798</v>
      </c>
      <c r="C33" s="53">
        <f ca="1">IF(D33="按租金收入计税",ROUND(C5*F33,1),IF(D33="按房产原值计税",ROUND(C29*F33*0.7,1),INDIRECT("'数据-取费表'!Aj"&amp;$G$1)))</f>
        <v>25</v>
      </c>
      <c r="D33" s="810" t="s">
        <v>3278</v>
      </c>
      <c r="E33" s="783" t="s">
        <v>1797</v>
      </c>
      <c r="F33" s="808">
        <f>IF(D33="按租金收入计税",'数据-取费表'!B51,'数据-取费表'!B50)</f>
        <v>0.12</v>
      </c>
      <c r="G33" s="2062"/>
      <c r="H33" s="2077"/>
      <c r="I33" s="2077"/>
      <c r="J33" s="2077"/>
      <c r="K33" s="2078"/>
      <c r="L33" s="2077"/>
      <c r="M33" s="2077"/>
    </row>
    <row r="34" spans="1:18" ht="18" customHeight="1">
      <c r="A34" s="1650" t="s">
        <v>1834</v>
      </c>
      <c r="B34" s="340" t="s">
        <v>1799</v>
      </c>
      <c r="C34" s="54">
        <f ca="1">ROUND(F34*F35/10000,1)</f>
        <v>3.5</v>
      </c>
      <c r="D34" s="813" t="s">
        <v>1800</v>
      </c>
      <c r="E34" s="783" t="s">
        <v>1801</v>
      </c>
      <c r="F34" s="639">
        <f>'数据-取费表'!B52</f>
        <v>6</v>
      </c>
      <c r="G34" s="2062"/>
      <c r="H34" s="2065"/>
      <c r="I34" s="834" t="s">
        <v>1814</v>
      </c>
      <c r="J34" s="835"/>
      <c r="K34" s="2080"/>
      <c r="L34" s="2079"/>
      <c r="M34" s="2079"/>
    </row>
    <row r="35" spans="1:18" ht="18" customHeight="1">
      <c r="A35" s="814"/>
      <c r="B35" s="792"/>
      <c r="C35" s="69"/>
      <c r="D35" s="815"/>
      <c r="E35" s="783" t="s">
        <v>1802</v>
      </c>
      <c r="F35" s="784">
        <f ca="1">INDIRECT("'数据-取费表'!r"&amp;$G$1)</f>
        <v>5859.35</v>
      </c>
      <c r="G35" s="2062"/>
      <c r="H35" s="2065"/>
      <c r="I35" s="836" t="s">
        <v>1815</v>
      </c>
      <c r="J35" s="837">
        <f ca="1">ROUND(C13*J36,0)</f>
        <v>295</v>
      </c>
      <c r="K35" s="2078"/>
      <c r="L35" s="2077"/>
      <c r="M35" s="2077"/>
    </row>
    <row r="36" spans="1:18" ht="18" customHeight="1">
      <c r="A36" s="1648" t="s">
        <v>1890</v>
      </c>
      <c r="B36" s="783" t="s">
        <v>1803</v>
      </c>
      <c r="C36" s="53">
        <f ca="1">ROUND(C29*F36,1)</f>
        <v>49.2</v>
      </c>
      <c r="D36" s="1977" t="s">
        <v>1804</v>
      </c>
      <c r="E36" s="783" t="s">
        <v>1797</v>
      </c>
      <c r="F36" s="816">
        <f ca="1">INDIRECT("'数据-取费表'!Ak"&amp;$G$1)</f>
        <v>1.4999999999999999E-2</v>
      </c>
      <c r="G36" s="2062"/>
      <c r="H36" s="2077"/>
      <c r="I36" s="838" t="s">
        <v>1816</v>
      </c>
      <c r="J36" s="839">
        <f ca="1">INDIRECT("'数据-取费表'!j"&amp;$G$1)</f>
        <v>0.09</v>
      </c>
      <c r="K36" s="2082"/>
      <c r="L36" s="2077"/>
      <c r="M36" s="2077"/>
    </row>
    <row r="37" spans="1:18" ht="18" customHeight="1">
      <c r="A37" s="1648" t="s">
        <v>1891</v>
      </c>
      <c r="B37" s="783" t="s">
        <v>679</v>
      </c>
      <c r="C37" s="53">
        <f ca="1">ROUND(C13*F37,1)</f>
        <v>4.9000000000000004</v>
      </c>
      <c r="D37" s="1977" t="s">
        <v>1805</v>
      </c>
      <c r="E37" s="783" t="s">
        <v>1797</v>
      </c>
      <c r="F37" s="817">
        <f ca="1">INDIRECT("'数据-取费表'!Al"&amp;$G$1)</f>
        <v>1.5E-3</v>
      </c>
      <c r="G37" s="2062"/>
      <c r="H37" s="2077"/>
      <c r="I37" s="840" t="s">
        <v>1817</v>
      </c>
      <c r="J37" s="841"/>
      <c r="K37" s="2082"/>
      <c r="L37" s="2077"/>
      <c r="M37" s="2077"/>
    </row>
    <row r="38" spans="1:18" ht="18" customHeight="1" thickBot="1">
      <c r="A38" s="2575" t="s">
        <v>1892</v>
      </c>
      <c r="B38" s="2570" t="s">
        <v>666</v>
      </c>
      <c r="C38" s="2568">
        <f ca="1">ROUND(C5*F38,1)</f>
        <v>3.1</v>
      </c>
      <c r="D38" s="2569" t="s">
        <v>1806</v>
      </c>
      <c r="E38" s="2570" t="s">
        <v>1797</v>
      </c>
      <c r="F38" s="2566">
        <f ca="1">INDIRECT("'数据-取费表'!Am"&amp;$G$1)</f>
        <v>1.4999999999999999E-2</v>
      </c>
      <c r="G38" s="2062"/>
      <c r="H38" s="2077"/>
      <c r="I38" s="842" t="s">
        <v>1818</v>
      </c>
      <c r="J38" s="843"/>
      <c r="K38" s="2083"/>
      <c r="L38" s="2077"/>
      <c r="M38" s="2077"/>
    </row>
    <row r="39" spans="1:18" ht="24.6" customHeight="1" thickTop="1">
      <c r="A39" s="1829" t="s">
        <v>1895</v>
      </c>
      <c r="B39" s="3033" t="s">
        <v>2826</v>
      </c>
      <c r="C39" s="791">
        <f ca="1">C5-C30</f>
        <v>111</v>
      </c>
      <c r="D39" s="2572" t="s">
        <v>1807</v>
      </c>
      <c r="E39" s="2573"/>
      <c r="F39" s="2574"/>
      <c r="G39" s="2062"/>
      <c r="H39" s="2077"/>
      <c r="I39" s="836" t="s">
        <v>1819</v>
      </c>
      <c r="J39" s="844">
        <f ca="1">ROUND(J35/C39,3)</f>
        <v>2.6579999999999999</v>
      </c>
      <c r="K39" s="2083"/>
      <c r="L39" s="2077"/>
      <c r="M39" s="2077"/>
    </row>
    <row r="40" spans="1:18" ht="18" customHeight="1">
      <c r="A40" s="780" t="s">
        <v>1896</v>
      </c>
      <c r="B40" s="2232" t="s">
        <v>2304</v>
      </c>
      <c r="C40" s="782">
        <f ca="1">ROUND(C39*(1-((1+F42)/(1+F40))^F41)/(F40-F42),0)</f>
        <v>3109</v>
      </c>
      <c r="D40" s="813" t="s">
        <v>1808</v>
      </c>
      <c r="E40" s="783" t="s">
        <v>2423</v>
      </c>
      <c r="F40" s="793">
        <f ca="1">INDIRECT("'数据-取费表'!I"&amp;$G$1)</f>
        <v>0.05</v>
      </c>
      <c r="G40" s="2062"/>
      <c r="H40" s="2062"/>
      <c r="I40" s="836" t="s">
        <v>1820</v>
      </c>
      <c r="J40" s="844">
        <f ca="1">1-J39</f>
        <v>-1.6579999999999999</v>
      </c>
      <c r="K40" s="2083"/>
      <c r="L40" s="2062"/>
      <c r="M40" s="2062"/>
    </row>
    <row r="41" spans="1:18" ht="18" customHeight="1">
      <c r="A41" s="785"/>
      <c r="B41" s="786"/>
      <c r="C41" s="787"/>
      <c r="D41" s="820" t="s">
        <v>1809</v>
      </c>
      <c r="E41" s="783" t="s">
        <v>2967</v>
      </c>
      <c r="F41" s="821">
        <f ca="1">IF(INDIRECT("'数据-取费表'!af"&amp;$G$1)=0,INDIRECT("'数据-取费表'!ae"&amp;$G$1),INDIRECT("'数据-取费表'!af"&amp;$G$1))</f>
        <v>50</v>
      </c>
      <c r="G41" s="2062"/>
      <c r="H41" s="1988"/>
      <c r="I41" s="842" t="s">
        <v>1821</v>
      </c>
      <c r="J41" s="845"/>
      <c r="K41" s="2082"/>
      <c r="L41" s="1988"/>
      <c r="M41" s="1988"/>
    </row>
    <row r="42" spans="1:18" ht="18" customHeight="1">
      <c r="A42" s="789"/>
      <c r="B42" s="790"/>
      <c r="C42" s="791"/>
      <c r="D42" s="815"/>
      <c r="E42" s="783" t="s">
        <v>1810</v>
      </c>
      <c r="F42" s="793">
        <f ca="1">INDIRECT("'数据-取费表'!v"&amp;$G$1)</f>
        <v>2.5000000000000001E-2</v>
      </c>
      <c r="G42" s="2062"/>
      <c r="H42" s="1988"/>
      <c r="I42" s="846" t="s">
        <v>1822</v>
      </c>
      <c r="J42" s="844">
        <f ca="1">ROUND(C13/C40,3)</f>
        <v>1.0549999999999999</v>
      </c>
      <c r="K42" s="2082"/>
      <c r="L42" s="1988"/>
      <c r="M42" s="1988"/>
    </row>
    <row r="43" spans="1:18" ht="18" customHeight="1" thickBot="1">
      <c r="A43" s="822" t="s">
        <v>1788</v>
      </c>
      <c r="B43" s="823" t="s">
        <v>1811</v>
      </c>
      <c r="C43" s="824">
        <f ca="1">ROUND(C40*10000/F43,0)</f>
        <v>2586</v>
      </c>
      <c r="D43" s="825" t="s">
        <v>1812</v>
      </c>
      <c r="E43" s="826" t="s">
        <v>1813</v>
      </c>
      <c r="F43" s="827">
        <f ca="1">INDIRECT("'数据-取费表'!k"&amp;$G$1)</f>
        <v>12024.36</v>
      </c>
      <c r="G43" s="2062"/>
      <c r="H43" s="1988"/>
      <c r="I43" s="846" t="s">
        <v>1823</v>
      </c>
      <c r="J43" s="847">
        <f ca="1">1-J42</f>
        <v>-5.4999999999999938E-2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-4168</v>
      </c>
      <c r="D46" s="2085"/>
      <c r="E46" s="2085"/>
      <c r="F46" s="2085"/>
      <c r="I46" s="2378" t="s">
        <v>2346</v>
      </c>
      <c r="J46" s="2379"/>
      <c r="K46" s="2380"/>
      <c r="L46" s="2381" t="str">
        <f ca="1">IF(OR(M47="住宅",D1="土地（套用方法）"),0,IF(L48&gt;J51,L60,J60))</f>
        <v>0</v>
      </c>
      <c r="O46" s="2418" t="s">
        <v>2414</v>
      </c>
      <c r="P46" s="1591"/>
      <c r="Q46" s="1603"/>
      <c r="R46" s="1591"/>
    </row>
    <row r="47" spans="1:18" s="2059" customFormat="1" ht="18" customHeight="1" thickBot="1">
      <c r="A47" s="2372">
        <v>1</v>
      </c>
      <c r="B47" s="2373" t="s">
        <v>635</v>
      </c>
      <c r="C47" s="2598">
        <f ca="1">C48+C52+C54</f>
        <v>0</v>
      </c>
      <c r="D47" s="2085"/>
      <c r="E47" s="2085"/>
      <c r="F47" s="2085"/>
      <c r="I47" s="2382" t="s">
        <v>2347</v>
      </c>
      <c r="J47" s="2387" t="s">
        <v>3192</v>
      </c>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6" t="s">
        <v>2541</v>
      </c>
      <c r="B48" s="2667" t="s">
        <v>2542</v>
      </c>
      <c r="C48" s="2374">
        <f ca="1">ROUND(F48*F50*F49*(1-F51)/10000,0)</f>
        <v>0</v>
      </c>
      <c r="D48" s="2375" t="s">
        <v>636</v>
      </c>
      <c r="E48" s="2376" t="s">
        <v>2299</v>
      </c>
      <c r="F48" s="2377"/>
      <c r="G48" s="2090"/>
      <c r="I48" s="2383" t="s">
        <v>2348</v>
      </c>
      <c r="J48" s="2390" t="s">
        <v>2354</v>
      </c>
      <c r="K48" s="2391" t="s">
        <v>2355</v>
      </c>
      <c r="L48" s="2392">
        <f ca="1">INDIRECT("'数据-取费表'!f"&amp;$G$1)</f>
        <v>50</v>
      </c>
      <c r="O48" s="2422" t="s">
        <v>2383</v>
      </c>
      <c r="P48" s="2423" t="s">
        <v>2409</v>
      </c>
      <c r="Q48" s="2424">
        <f ca="1">C40+J29</f>
        <v>3109</v>
      </c>
      <c r="R48" s="2423" t="s">
        <v>2384</v>
      </c>
    </row>
    <row r="49" spans="1:18" s="2059" customFormat="1" ht="18" customHeight="1" thickBot="1">
      <c r="A49" s="785"/>
      <c r="B49" s="786"/>
      <c r="C49" s="787"/>
      <c r="D49" s="788"/>
      <c r="E49" s="783" t="s">
        <v>1740</v>
      </c>
      <c r="F49" s="784">
        <f ca="1">F7</f>
        <v>12024.36</v>
      </c>
      <c r="G49" s="2090"/>
      <c r="H49" s="2093"/>
      <c r="I49" s="2383" t="s">
        <v>2349</v>
      </c>
      <c r="J49" s="2393">
        <v>2020</v>
      </c>
      <c r="K49" s="2394" t="s">
        <v>2356</v>
      </c>
      <c r="L49" s="2395"/>
      <c r="O49" s="2422" t="s">
        <v>2385</v>
      </c>
      <c r="P49" s="2423" t="s">
        <v>2410</v>
      </c>
      <c r="Q49" s="2424" t="str">
        <f ca="1">J60</f>
        <v>0</v>
      </c>
      <c r="R49" s="2423" t="s">
        <v>2386</v>
      </c>
    </row>
    <row r="50" spans="1:18" s="2059" customFormat="1" ht="18" customHeight="1" thickBot="1">
      <c r="A50" s="785"/>
      <c r="B50" s="786"/>
      <c r="C50" s="787"/>
      <c r="D50" s="788"/>
      <c r="E50" s="783" t="s">
        <v>1741</v>
      </c>
      <c r="F50" s="784">
        <f ca="1">F8</f>
        <v>365</v>
      </c>
      <c r="G50" s="2095"/>
      <c r="H50" s="2093"/>
      <c r="I50" s="2383" t="s">
        <v>2350</v>
      </c>
      <c r="J50" s="2396">
        <f>SUMPRODUCT((I63:I65=J47)*(J62:L62=J48)*(J63:L65))</f>
        <v>60</v>
      </c>
      <c r="K50" s="2394" t="s">
        <v>2357</v>
      </c>
      <c r="L50" s="2395"/>
      <c r="O50" s="2425" t="s">
        <v>2387</v>
      </c>
      <c r="P50" s="2423" t="s">
        <v>2411</v>
      </c>
      <c r="Q50" s="2424">
        <f ca="1">C29</f>
        <v>3279</v>
      </c>
      <c r="R50" s="2423" t="s">
        <v>2384</v>
      </c>
    </row>
    <row r="51" spans="1:18" s="2059" customFormat="1" ht="18" customHeight="1" thickBot="1">
      <c r="A51" s="785"/>
      <c r="B51" s="786"/>
      <c r="C51" s="787"/>
      <c r="D51" s="788"/>
      <c r="E51" s="783" t="s">
        <v>640</v>
      </c>
      <c r="F51" s="2371"/>
      <c r="H51" s="2093"/>
      <c r="I51" s="2384" t="s">
        <v>2351</v>
      </c>
      <c r="J51" s="2397">
        <f>IF(J49="",J50,J49+J50-YEAR('数据-取费表'!B2))</f>
        <v>62</v>
      </c>
      <c r="K51" s="2383" t="s">
        <v>2358</v>
      </c>
      <c r="L51" s="2398">
        <f ca="1">ROUND(-PV(INDIRECT("'数据-取费表'!h"&amp;$G$1),L48,(C39-C13*J36),0),0)</f>
        <v>-3638</v>
      </c>
      <c r="O51" s="2425" t="s">
        <v>2388</v>
      </c>
      <c r="P51" s="2423" t="s">
        <v>2389</v>
      </c>
      <c r="Q51" s="2426" t="e">
        <f ca="1">J58</f>
        <v>#VALUE!</v>
      </c>
      <c r="R51" s="2427"/>
    </row>
    <row r="52" spans="1:18" s="2059" customFormat="1" ht="18" customHeight="1" thickBot="1">
      <c r="A52" s="780" t="s">
        <v>2540</v>
      </c>
      <c r="B52" s="2518" t="s">
        <v>2463</v>
      </c>
      <c r="C52" s="798">
        <f ca="1">ROUND(IF(F52="押一",C48/12*F11,IF(F52="押二",C48/12*2*F11,IF(F52="押三",C48/12*3*F11,C53*F11))),0)</f>
        <v>0</v>
      </c>
      <c r="D52" s="2525" t="s">
        <v>2978</v>
      </c>
      <c r="E52" s="2522" t="s">
        <v>2468</v>
      </c>
      <c r="F52" s="2645"/>
      <c r="I52" s="2385" t="s">
        <v>2425</v>
      </c>
      <c r="J52" s="2399">
        <v>0.09</v>
      </c>
      <c r="K52" s="2385" t="s">
        <v>2424</v>
      </c>
      <c r="L52" s="2399"/>
      <c r="O52" s="2425" t="s">
        <v>2390</v>
      </c>
      <c r="P52" s="2423" t="s">
        <v>2391</v>
      </c>
      <c r="Q52" s="2426">
        <f>J52</f>
        <v>0.09</v>
      </c>
      <c r="R52" s="2427"/>
    </row>
    <row r="53" spans="1:18" s="2059" customFormat="1" ht="39.75" customHeight="1" thickBot="1">
      <c r="A53" s="785"/>
      <c r="B53" s="2519" t="s">
        <v>2577</v>
      </c>
      <c r="C53" s="2523"/>
      <c r="D53" s="2525"/>
      <c r="E53" s="2522"/>
      <c r="F53" s="799"/>
      <c r="I53" s="2386" t="s">
        <v>2352</v>
      </c>
      <c r="J53" s="2400">
        <f ca="1">IF(M47="住宅",J51,IF(D1="——",MIN(J51,L48),IF(D1="土地（套用方法）",MIN(J51,L48-'数据-取费表'!B20))))</f>
        <v>50</v>
      </c>
      <c r="K53" s="3417" t="s">
        <v>2969</v>
      </c>
      <c r="L53" s="3418"/>
      <c r="O53" s="2425" t="s">
        <v>2392</v>
      </c>
      <c r="P53" s="2423" t="s">
        <v>2393</v>
      </c>
      <c r="Q53" s="2424">
        <f ca="1">J53</f>
        <v>50</v>
      </c>
      <c r="R53" s="2423" t="s">
        <v>2394</v>
      </c>
    </row>
    <row r="54" spans="1:18" s="2059" customFormat="1" ht="18" customHeight="1" thickBot="1">
      <c r="A54" s="2561" t="s">
        <v>2471</v>
      </c>
      <c r="B54" s="2562" t="s">
        <v>2464</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2395</v>
      </c>
      <c r="P54" s="2423" t="s">
        <v>2412</v>
      </c>
      <c r="Q54" s="2424">
        <f ca="1">Q48+Q49</f>
        <v>3109</v>
      </c>
      <c r="R54" s="2427" t="s">
        <v>2396</v>
      </c>
    </row>
    <row r="55" spans="1:18" s="2059" customFormat="1" ht="18" customHeight="1" thickTop="1" thickBot="1">
      <c r="A55" s="796">
        <v>2</v>
      </c>
      <c r="B55" s="797" t="s">
        <v>644</v>
      </c>
      <c r="C55" s="798">
        <f ca="1">C13</f>
        <v>3279</v>
      </c>
      <c r="D55" s="794"/>
      <c r="E55" s="794"/>
      <c r="F55" s="799"/>
      <c r="I55" s="3124" t="s">
        <v>2359</v>
      </c>
      <c r="J55" s="3123" t="e">
        <f ca="1">ROUND(IF(J47="钢混",J57/J50,1-(1-2%)*(J50-J57)/J50),3)</f>
        <v>#VALUE!</v>
      </c>
      <c r="K55" s="2401" t="s">
        <v>2360</v>
      </c>
      <c r="L55" s="2402"/>
      <c r="O55" s="2428" t="s">
        <v>2415</v>
      </c>
      <c r="P55" s="1591"/>
      <c r="Q55" s="1603"/>
      <c r="R55" s="1591"/>
    </row>
    <row r="56" spans="1:18" s="2059" customFormat="1" ht="42.75" customHeight="1" thickBot="1">
      <c r="A56" s="1649"/>
      <c r="B56" s="2231" t="s">
        <v>2305</v>
      </c>
      <c r="C56" s="53">
        <f ca="1">C29</f>
        <v>3279</v>
      </c>
      <c r="D56" s="2663"/>
      <c r="E56" s="783"/>
      <c r="F56" s="808"/>
      <c r="I56" s="2403" t="s">
        <v>2361</v>
      </c>
      <c r="J56" s="3147" t="s">
        <v>1679</v>
      </c>
      <c r="K56" s="2383" t="s">
        <v>2366</v>
      </c>
      <c r="L56" s="2392" t="str">
        <f ca="1">IF(L48&lt;J51,"——",L48-J51)</f>
        <v>——</v>
      </c>
      <c r="O56" s="2419" t="s">
        <v>2379</v>
      </c>
      <c r="P56" s="2420" t="s">
        <v>2380</v>
      </c>
      <c r="Q56" s="2421" t="s">
        <v>2381</v>
      </c>
      <c r="R56" s="2420" t="s">
        <v>2382</v>
      </c>
    </row>
    <row r="57" spans="1:18" s="2059" customFormat="1" ht="28.5" customHeight="1" thickBot="1">
      <c r="A57" s="796" t="s">
        <v>1749</v>
      </c>
      <c r="B57" s="797" t="s">
        <v>651</v>
      </c>
      <c r="C57" s="798">
        <f ca="1">ROUND(C58+C63+C64+C65,0)</f>
        <v>58</v>
      </c>
      <c r="D57" s="26" t="s">
        <v>1751</v>
      </c>
      <c r="E57" s="2664"/>
      <c r="F57" s="56"/>
      <c r="I57" s="2404" t="s">
        <v>2362</v>
      </c>
      <c r="J57" s="2406" t="str">
        <f ca="1">IF(OR(M47="住宅",J51&lt;L48,J56="是"),"——",J51-L48)</f>
        <v>——</v>
      </c>
      <c r="K57" s="2383" t="s">
        <v>2367</v>
      </c>
      <c r="L57" s="2392" t="str">
        <f ca="1">IF(L48&lt;J51,"——",IF(L55="比较法",L49,IF(L55="基准地价",L50,L51)))</f>
        <v>——</v>
      </c>
      <c r="O57" s="2422" t="s">
        <v>2383</v>
      </c>
      <c r="P57" s="2423" t="s">
        <v>2413</v>
      </c>
      <c r="Q57" s="2424">
        <f ca="1">C40+J29</f>
        <v>3109</v>
      </c>
      <c r="R57" s="2423" t="s">
        <v>2384</v>
      </c>
    </row>
    <row r="58" spans="1:18" s="2059" customFormat="1" ht="28.5" customHeight="1" thickBot="1">
      <c r="A58" s="1648" t="s">
        <v>1825</v>
      </c>
      <c r="B58" s="783" t="s">
        <v>656</v>
      </c>
      <c r="C58" s="53">
        <f ca="1">ROUND(IF(项目基本情况!B11="自然人",C47*F58,C59+C60+C61),1)</f>
        <v>3.5</v>
      </c>
      <c r="D58" s="2662" t="s">
        <v>657</v>
      </c>
      <c r="E58" s="2663" t="s">
        <v>690</v>
      </c>
      <c r="F58" s="809" t="str">
        <f ca="1">IF(项目基本情况!B11="企业","",IF(INDIRECT("'数据-取费表'!c"&amp;$G$1)="住宅",5%,IF(F48*F49*F50/12/(1+'数据-取费表'!C42)&gt;20000,12%,7%)))</f>
        <v/>
      </c>
      <c r="I58" s="2404" t="s">
        <v>2363</v>
      </c>
      <c r="J58" s="3125" t="e">
        <f ca="1">IF(J55&lt;0.4,0.4,J55)</f>
        <v>#VALUE!</v>
      </c>
      <c r="K58" s="2383" t="s">
        <v>2368</v>
      </c>
      <c r="L58" s="2392" t="e">
        <f ca="1">ROUND(POWER(1+L52,L47-L48)*(POWER(1+L52,L48)-1)/(POWER(1+L52,L47)-1),4)</f>
        <v>#DIV/0!</v>
      </c>
      <c r="O58" s="2422" t="s">
        <v>2385</v>
      </c>
      <c r="P58" s="2423" t="s">
        <v>2416</v>
      </c>
      <c r="Q58" s="2424">
        <f ca="1">L60</f>
        <v>0</v>
      </c>
      <c r="R58" s="2427" t="s">
        <v>2418</v>
      </c>
    </row>
    <row r="59" spans="1:18" s="2059" customFormat="1" ht="28.5" customHeight="1" thickBot="1">
      <c r="A59" s="1647" t="s">
        <v>1832</v>
      </c>
      <c r="B59" s="783" t="s">
        <v>660</v>
      </c>
      <c r="C59" s="53">
        <f ca="1">ROUND(C47*F59/1.05,1)</f>
        <v>0</v>
      </c>
      <c r="D59" s="2663" t="s">
        <v>1757</v>
      </c>
      <c r="E59" s="783" t="s">
        <v>1748</v>
      </c>
      <c r="F59" s="808">
        <f t="shared" ref="F59:F65" si="0">F32</f>
        <v>5.5000000000000007E-2</v>
      </c>
      <c r="I59" s="2404" t="s">
        <v>2364</v>
      </c>
      <c r="J59" s="2406"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3" t="s">
        <v>1759</v>
      </c>
      <c r="C60" s="53">
        <f ca="1">IF(D60="按租金收入计税",ROUND(C47*F60,1),IF(D60="按房产原值计税",ROUND(C56*F60*0.7,1),INDIRECT("'数据-取费表'!Aj"&amp;$G$1)))</f>
        <v>0</v>
      </c>
      <c r="D60" s="2663" t="str">
        <f>D33</f>
        <v>按租金收入计税</v>
      </c>
      <c r="E60" s="783" t="s">
        <v>1748</v>
      </c>
      <c r="F60" s="808">
        <f t="shared" si="0"/>
        <v>0.12</v>
      </c>
      <c r="I60" s="2405" t="s">
        <v>2365</v>
      </c>
      <c r="J60" s="2407" t="str">
        <f ca="1">IF(OR(M47="住宅",J51&lt;L48,J56="是"),"0",ROUND(J59/(1+J52)^J53,0))</f>
        <v>0</v>
      </c>
      <c r="K60" s="2408" t="s">
        <v>2370</v>
      </c>
      <c r="L60" s="2407">
        <f ca="1">IF(OR(M47="住宅",L48&lt;J51),0,ROUND(L57*(L58/L59-1),0))</f>
        <v>0</v>
      </c>
      <c r="O60" s="2425" t="s">
        <v>2388</v>
      </c>
      <c r="P60" s="2423" t="s">
        <v>2397</v>
      </c>
      <c r="Q60" s="2426">
        <f>L52</f>
        <v>0</v>
      </c>
      <c r="R60" s="2427"/>
    </row>
    <row r="61" spans="1:18" s="2059" customFormat="1" ht="18" customHeight="1" thickBot="1">
      <c r="A61" s="1650" t="s">
        <v>1834</v>
      </c>
      <c r="B61" s="340" t="s">
        <v>668</v>
      </c>
      <c r="C61" s="54">
        <f ca="1">ROUND(F61*F62/10000,1)</f>
        <v>3.5</v>
      </c>
      <c r="D61" s="813" t="s">
        <v>669</v>
      </c>
      <c r="E61" s="783" t="s">
        <v>670</v>
      </c>
      <c r="F61" s="639">
        <f t="shared" si="0"/>
        <v>6</v>
      </c>
      <c r="K61" s="2086"/>
      <c r="O61" s="2425" t="s">
        <v>2390</v>
      </c>
      <c r="P61" s="2423" t="s">
        <v>2398</v>
      </c>
      <c r="Q61" s="2424" t="e">
        <f ca="1">L58</f>
        <v>#DIV/0!</v>
      </c>
      <c r="R61" s="2427" t="s">
        <v>2399</v>
      </c>
    </row>
    <row r="62" spans="1:18" s="2059" customFormat="1" ht="15.75" thickBot="1">
      <c r="A62" s="814"/>
      <c r="B62" s="792"/>
      <c r="C62" s="69"/>
      <c r="D62" s="815"/>
      <c r="E62" s="783" t="s">
        <v>674</v>
      </c>
      <c r="F62" s="784">
        <f t="shared" ca="1" si="0"/>
        <v>5859.35</v>
      </c>
      <c r="I62" s="2409" t="s">
        <v>2371</v>
      </c>
      <c r="J62" s="2410" t="s">
        <v>2372</v>
      </c>
      <c r="K62" s="2410" t="s">
        <v>2373</v>
      </c>
      <c r="L62" s="2410" t="s">
        <v>2354</v>
      </c>
      <c r="M62" s="3126" t="s">
        <v>2945</v>
      </c>
      <c r="O62" s="2425" t="s">
        <v>2392</v>
      </c>
      <c r="P62" s="2423" t="str">
        <f>K59</f>
        <v>建筑物剩余耐用年限下的土地年期修正系数Kn</v>
      </c>
      <c r="Q62" s="2424" t="e">
        <f ca="1">L59</f>
        <v>#DIV/0!</v>
      </c>
      <c r="R62" s="2427" t="s">
        <v>2401</v>
      </c>
    </row>
    <row r="63" spans="1:18" s="2059" customFormat="1" ht="15.75" thickBot="1">
      <c r="A63" s="1648" t="s">
        <v>1890</v>
      </c>
      <c r="B63" s="783" t="s">
        <v>676</v>
      </c>
      <c r="C63" s="53">
        <f ca="1">ROUND(C56*F63,1)</f>
        <v>49.2</v>
      </c>
      <c r="D63" s="2663" t="s">
        <v>1804</v>
      </c>
      <c r="E63" s="783" t="s">
        <v>1748</v>
      </c>
      <c r="F63" s="816">
        <f t="shared" ca="1" si="0"/>
        <v>1.4999999999999999E-2</v>
      </c>
      <c r="I63" s="2409" t="s">
        <v>2374</v>
      </c>
      <c r="J63" s="2410">
        <v>70</v>
      </c>
      <c r="K63" s="2410">
        <v>50</v>
      </c>
      <c r="L63" s="2410">
        <v>80</v>
      </c>
      <c r="M63" s="3127">
        <v>0.02</v>
      </c>
      <c r="O63" s="2422" t="s">
        <v>2395</v>
      </c>
      <c r="P63" s="2423" t="s">
        <v>2412</v>
      </c>
      <c r="Q63" s="2424">
        <f ca="1">Q57+Q58</f>
        <v>3109</v>
      </c>
      <c r="R63" s="2427" t="s">
        <v>2396</v>
      </c>
    </row>
    <row r="64" spans="1:18" s="2059" customFormat="1" ht="16.5" thickBot="1">
      <c r="A64" s="1648" t="s">
        <v>1891</v>
      </c>
      <c r="B64" s="783" t="s">
        <v>679</v>
      </c>
      <c r="C64" s="53">
        <f ca="1">ROUND(C55*F64,1)</f>
        <v>4.9000000000000004</v>
      </c>
      <c r="D64" s="2663" t="s">
        <v>680</v>
      </c>
      <c r="E64" s="783" t="s">
        <v>1748</v>
      </c>
      <c r="F64" s="817">
        <f t="shared" ca="1" si="0"/>
        <v>1.5E-3</v>
      </c>
      <c r="I64" s="2409" t="s">
        <v>2375</v>
      </c>
      <c r="J64" s="2410">
        <v>50</v>
      </c>
      <c r="K64" s="2410">
        <v>35</v>
      </c>
      <c r="L64" s="2410">
        <v>60</v>
      </c>
      <c r="M64" s="3128">
        <v>0</v>
      </c>
      <c r="O64" s="2428" t="s">
        <v>2419</v>
      </c>
      <c r="P64" s="1591"/>
      <c r="Q64" s="1603"/>
      <c r="R64" s="1591"/>
    </row>
    <row r="65" spans="1:18" s="2059" customFormat="1" ht="15.75" thickBot="1">
      <c r="A65" s="1648" t="s">
        <v>1892</v>
      </c>
      <c r="B65" s="783" t="s">
        <v>666</v>
      </c>
      <c r="C65" s="53">
        <f ca="1">ROUND(C47*F65,1)</f>
        <v>0</v>
      </c>
      <c r="D65" s="2663" t="s">
        <v>683</v>
      </c>
      <c r="E65" s="783" t="s">
        <v>1748</v>
      </c>
      <c r="F65" s="793">
        <f t="shared" ca="1" si="0"/>
        <v>1.4999999999999999E-2</v>
      </c>
      <c r="I65" s="2409" t="s">
        <v>2376</v>
      </c>
      <c r="J65" s="2410">
        <v>40</v>
      </c>
      <c r="K65" s="2410">
        <v>30</v>
      </c>
      <c r="L65" s="2410">
        <v>50</v>
      </c>
      <c r="M65" s="3127">
        <v>0.02</v>
      </c>
      <c r="O65" s="2419" t="s">
        <v>2379</v>
      </c>
      <c r="P65" s="2420" t="s">
        <v>2380</v>
      </c>
      <c r="Q65" s="2421" t="s">
        <v>2381</v>
      </c>
      <c r="R65" s="2420" t="s">
        <v>2382</v>
      </c>
    </row>
    <row r="66" spans="1:18" s="2059" customFormat="1" ht="24.75" thickBot="1">
      <c r="A66" s="796" t="s">
        <v>1777</v>
      </c>
      <c r="B66" s="3034" t="s">
        <v>2826</v>
      </c>
      <c r="C66" s="798">
        <f ca="1">C47-C57</f>
        <v>-58</v>
      </c>
      <c r="D66" s="2662" t="s">
        <v>700</v>
      </c>
      <c r="E66" s="2661"/>
      <c r="F66" s="819"/>
      <c r="K66" s="2086"/>
      <c r="O66" s="2422" t="s">
        <v>2383</v>
      </c>
      <c r="P66" s="2423" t="s">
        <v>2413</v>
      </c>
      <c r="Q66" s="2424">
        <f ca="1">C40+J29</f>
        <v>3109</v>
      </c>
      <c r="R66" s="2423" t="s">
        <v>2384</v>
      </c>
    </row>
    <row r="67" spans="1:18" s="2059" customFormat="1" ht="20.25" thickBot="1">
      <c r="A67" s="780" t="s">
        <v>1781</v>
      </c>
      <c r="B67" s="2232" t="s">
        <v>2304</v>
      </c>
      <c r="C67" s="782">
        <f ca="1">ROUND(C66*(1-((1+F69)/(1+F67))^F68)/(F67-F69),0)</f>
        <v>-1059</v>
      </c>
      <c r="D67" s="813" t="s">
        <v>704</v>
      </c>
      <c r="E67" s="783" t="s">
        <v>705</v>
      </c>
      <c r="F67" s="793">
        <f ca="1">F40</f>
        <v>0.05</v>
      </c>
      <c r="K67" s="2086"/>
      <c r="O67" s="2422" t="s">
        <v>2385</v>
      </c>
      <c r="P67" s="2423" t="s">
        <v>2416</v>
      </c>
      <c r="Q67" s="2424">
        <f ca="1">L60</f>
        <v>0</v>
      </c>
      <c r="R67" s="2427" t="s">
        <v>2418</v>
      </c>
    </row>
    <row r="68" spans="1:18" ht="21.75" thickBot="1">
      <c r="A68" s="785"/>
      <c r="B68" s="786"/>
      <c r="C68" s="787"/>
      <c r="D68" s="820" t="s">
        <v>1809</v>
      </c>
      <c r="E68" s="783" t="s">
        <v>1785</v>
      </c>
      <c r="F68" s="821">
        <f ca="1">F41</f>
        <v>50</v>
      </c>
      <c r="O68" s="2425" t="s">
        <v>2387</v>
      </c>
      <c r="P68" s="2423" t="s">
        <v>2417</v>
      </c>
      <c r="Q68" s="2429">
        <f ca="1">L51</f>
        <v>-3638</v>
      </c>
      <c r="R68" s="2430" t="s">
        <v>2420</v>
      </c>
    </row>
    <row r="69" spans="1:18" ht="20.25" thickBot="1">
      <c r="A69" s="789"/>
      <c r="B69" s="790"/>
      <c r="C69" s="791"/>
      <c r="D69" s="815"/>
      <c r="E69" s="783" t="s">
        <v>710</v>
      </c>
      <c r="F69" s="2371"/>
      <c r="O69" s="2425" t="s">
        <v>2388</v>
      </c>
      <c r="P69" s="2431" t="s">
        <v>2402</v>
      </c>
      <c r="Q69" s="2424">
        <f ca="1">ROUND(Q70-Q71*Q72,0)</f>
        <v>-184</v>
      </c>
      <c r="R69" s="2427"/>
    </row>
    <row r="70" spans="1:18" ht="15.75" thickBot="1">
      <c r="A70" s="822" t="s">
        <v>1788</v>
      </c>
      <c r="B70" s="823" t="s">
        <v>1811</v>
      </c>
      <c r="C70" s="824">
        <f ca="1">ROUND(C67*10000/F70,0)</f>
        <v>-881</v>
      </c>
      <c r="D70" s="825" t="s">
        <v>1812</v>
      </c>
      <c r="E70" s="826" t="s">
        <v>1813</v>
      </c>
      <c r="F70" s="827">
        <f ca="1">F43</f>
        <v>12024.36</v>
      </c>
      <c r="O70" s="2425" t="s">
        <v>2403</v>
      </c>
      <c r="P70" s="2431" t="s">
        <v>2404</v>
      </c>
      <c r="Q70" s="2424">
        <f ca="1">C39</f>
        <v>111</v>
      </c>
      <c r="R70" s="2423" t="s">
        <v>2384</v>
      </c>
    </row>
    <row r="71" spans="1:18" ht="15.75" thickBot="1">
      <c r="O71" s="2425" t="s">
        <v>2405</v>
      </c>
      <c r="P71" s="2431" t="s">
        <v>2406</v>
      </c>
      <c r="Q71" s="2424">
        <f ca="1">C13</f>
        <v>3279</v>
      </c>
      <c r="R71" s="2423" t="s">
        <v>2384</v>
      </c>
    </row>
    <row r="72" spans="1:18" ht="15.75" thickBot="1">
      <c r="O72" s="2425" t="s">
        <v>2407</v>
      </c>
      <c r="P72" s="2431" t="s">
        <v>2408</v>
      </c>
      <c r="Q72" s="2426">
        <f ca="1">J36</f>
        <v>0.09</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建筑物剩余耐用年限下的土地年期修正系数Kn</v>
      </c>
      <c r="Q75" s="2424" t="e">
        <f ca="1">L59</f>
        <v>#DIV/0!</v>
      </c>
      <c r="R75" s="2427" t="s">
        <v>2401</v>
      </c>
    </row>
    <row r="76" spans="1:18" ht="15.75" thickBot="1">
      <c r="O76" s="2422" t="s">
        <v>2395</v>
      </c>
      <c r="P76" s="2423" t="s">
        <v>2412</v>
      </c>
      <c r="Q76" s="2424">
        <f ca="1">Q66+Q67</f>
        <v>3109</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1" priority="7">
      <formula>$L$48&gt;$J$51</formula>
    </cfRule>
  </conditionalFormatting>
  <conditionalFormatting sqref="I55">
    <cfRule type="expression" dxfId="90" priority="8">
      <formula>$J$51&gt;$L$48</formula>
    </cfRule>
  </conditionalFormatting>
  <conditionalFormatting sqref="I60">
    <cfRule type="expression" dxfId="89" priority="6">
      <formula>$J$51&gt;$L$48</formula>
    </cfRule>
  </conditionalFormatting>
  <conditionalFormatting sqref="K60">
    <cfRule type="expression" dxfId="88" priority="5">
      <formula>$L$48&gt;$J$51</formula>
    </cfRule>
  </conditionalFormatting>
  <conditionalFormatting sqref="C11">
    <cfRule type="expression" dxfId="87" priority="4">
      <formula>$F$10="自定义"</formula>
    </cfRule>
  </conditionalFormatting>
  <conditionalFormatting sqref="J11">
    <cfRule type="expression" dxfId="86" priority="2">
      <formula>$M$10="自定义"</formula>
    </cfRule>
  </conditionalFormatting>
  <conditionalFormatting sqref="C53">
    <cfRule type="expression" dxfId="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workbookViewId="0">
      <selection activeCell="A17" sqref="A17"/>
    </sheetView>
  </sheetViews>
  <sheetFormatPr defaultRowHeight="12.75"/>
  <cols>
    <col min="1" max="1" width="34.375" style="3178" customWidth="1"/>
    <col min="2" max="2" width="6.25" style="3178" customWidth="1"/>
    <col min="3" max="3" width="7.875" style="3178" customWidth="1"/>
    <col min="4" max="5" width="13.875" style="3178" customWidth="1"/>
    <col min="6" max="6" width="19.875" style="3178" customWidth="1"/>
    <col min="7" max="7" width="7.875" style="3178" customWidth="1"/>
    <col min="8" max="8" width="9" style="3178" customWidth="1"/>
    <col min="9" max="10" width="10.625" style="3178" customWidth="1"/>
    <col min="11" max="11" width="14.375" style="3178" customWidth="1"/>
    <col min="12" max="12" width="14.375" style="3180" customWidth="1"/>
    <col min="13" max="13" width="6.25" style="3178" customWidth="1"/>
    <col min="14" max="14" width="31" style="3178" customWidth="1"/>
    <col min="15" max="257" width="9" style="3178"/>
    <col min="258" max="258" width="34.375" style="3178" customWidth="1"/>
    <col min="259" max="259" width="6.25" style="3178" customWidth="1"/>
    <col min="260" max="260" width="7.875" style="3178" customWidth="1"/>
    <col min="261" max="262" width="13.875" style="3178" customWidth="1"/>
    <col min="263" max="263" width="19.875" style="3178" customWidth="1"/>
    <col min="264" max="264" width="7.875" style="3178" customWidth="1"/>
    <col min="265" max="265" width="9" style="3178" customWidth="1"/>
    <col min="266" max="267" width="10.625" style="3178" customWidth="1"/>
    <col min="268" max="268" width="14.375" style="3178" customWidth="1"/>
    <col min="269" max="269" width="6.25" style="3178" customWidth="1"/>
    <col min="270" max="270" width="31" style="3178" customWidth="1"/>
    <col min="271" max="513" width="9" style="3178"/>
    <col min="514" max="514" width="34.375" style="3178" customWidth="1"/>
    <col min="515" max="515" width="6.25" style="3178" customWidth="1"/>
    <col min="516" max="516" width="7.875" style="3178" customWidth="1"/>
    <col min="517" max="518" width="13.875" style="3178" customWidth="1"/>
    <col min="519" max="519" width="19.875" style="3178" customWidth="1"/>
    <col min="520" max="520" width="7.875" style="3178" customWidth="1"/>
    <col min="521" max="521" width="9" style="3178" customWidth="1"/>
    <col min="522" max="523" width="10.625" style="3178" customWidth="1"/>
    <col min="524" max="524" width="14.375" style="3178" customWidth="1"/>
    <col min="525" max="525" width="6.25" style="3178" customWidth="1"/>
    <col min="526" max="526" width="31" style="3178" customWidth="1"/>
    <col min="527" max="769" width="9" style="3178"/>
    <col min="770" max="770" width="34.375" style="3178" customWidth="1"/>
    <col min="771" max="771" width="6.25" style="3178" customWidth="1"/>
    <col min="772" max="772" width="7.875" style="3178" customWidth="1"/>
    <col min="773" max="774" width="13.875" style="3178" customWidth="1"/>
    <col min="775" max="775" width="19.875" style="3178" customWidth="1"/>
    <col min="776" max="776" width="7.875" style="3178" customWidth="1"/>
    <col min="777" max="777" width="9" style="3178" customWidth="1"/>
    <col min="778" max="779" width="10.625" style="3178" customWidth="1"/>
    <col min="780" max="780" width="14.375" style="3178" customWidth="1"/>
    <col min="781" max="781" width="6.25" style="3178" customWidth="1"/>
    <col min="782" max="782" width="31" style="3178" customWidth="1"/>
    <col min="783" max="1025" width="9" style="3178"/>
    <col min="1026" max="1026" width="34.375" style="3178" customWidth="1"/>
    <col min="1027" max="1027" width="6.25" style="3178" customWidth="1"/>
    <col min="1028" max="1028" width="7.875" style="3178" customWidth="1"/>
    <col min="1029" max="1030" width="13.875" style="3178" customWidth="1"/>
    <col min="1031" max="1031" width="19.875" style="3178" customWidth="1"/>
    <col min="1032" max="1032" width="7.875" style="3178" customWidth="1"/>
    <col min="1033" max="1033" width="9" style="3178" customWidth="1"/>
    <col min="1034" max="1035" width="10.625" style="3178" customWidth="1"/>
    <col min="1036" max="1036" width="14.375" style="3178" customWidth="1"/>
    <col min="1037" max="1037" width="6.25" style="3178" customWidth="1"/>
    <col min="1038" max="1038" width="31" style="3178" customWidth="1"/>
    <col min="1039" max="1281" width="9" style="3178"/>
    <col min="1282" max="1282" width="34.375" style="3178" customWidth="1"/>
    <col min="1283" max="1283" width="6.25" style="3178" customWidth="1"/>
    <col min="1284" max="1284" width="7.875" style="3178" customWidth="1"/>
    <col min="1285" max="1286" width="13.875" style="3178" customWidth="1"/>
    <col min="1287" max="1287" width="19.875" style="3178" customWidth="1"/>
    <col min="1288" max="1288" width="7.875" style="3178" customWidth="1"/>
    <col min="1289" max="1289" width="9" style="3178" customWidth="1"/>
    <col min="1290" max="1291" width="10.625" style="3178" customWidth="1"/>
    <col min="1292" max="1292" width="14.375" style="3178" customWidth="1"/>
    <col min="1293" max="1293" width="6.25" style="3178" customWidth="1"/>
    <col min="1294" max="1294" width="31" style="3178" customWidth="1"/>
    <col min="1295" max="1537" width="9" style="3178"/>
    <col min="1538" max="1538" width="34.375" style="3178" customWidth="1"/>
    <col min="1539" max="1539" width="6.25" style="3178" customWidth="1"/>
    <col min="1540" max="1540" width="7.875" style="3178" customWidth="1"/>
    <col min="1541" max="1542" width="13.875" style="3178" customWidth="1"/>
    <col min="1543" max="1543" width="19.875" style="3178" customWidth="1"/>
    <col min="1544" max="1544" width="7.875" style="3178" customWidth="1"/>
    <col min="1545" max="1545" width="9" style="3178" customWidth="1"/>
    <col min="1546" max="1547" width="10.625" style="3178" customWidth="1"/>
    <col min="1548" max="1548" width="14.375" style="3178" customWidth="1"/>
    <col min="1549" max="1549" width="6.25" style="3178" customWidth="1"/>
    <col min="1550" max="1550" width="31" style="3178" customWidth="1"/>
    <col min="1551" max="1793" width="9" style="3178"/>
    <col min="1794" max="1794" width="34.375" style="3178" customWidth="1"/>
    <col min="1795" max="1795" width="6.25" style="3178" customWidth="1"/>
    <col min="1796" max="1796" width="7.875" style="3178" customWidth="1"/>
    <col min="1797" max="1798" width="13.875" style="3178" customWidth="1"/>
    <col min="1799" max="1799" width="19.875" style="3178" customWidth="1"/>
    <col min="1800" max="1800" width="7.875" style="3178" customWidth="1"/>
    <col min="1801" max="1801" width="9" style="3178" customWidth="1"/>
    <col min="1802" max="1803" width="10.625" style="3178" customWidth="1"/>
    <col min="1804" max="1804" width="14.375" style="3178" customWidth="1"/>
    <col min="1805" max="1805" width="6.25" style="3178" customWidth="1"/>
    <col min="1806" max="1806" width="31" style="3178" customWidth="1"/>
    <col min="1807" max="2049" width="9" style="3178"/>
    <col min="2050" max="2050" width="34.375" style="3178" customWidth="1"/>
    <col min="2051" max="2051" width="6.25" style="3178" customWidth="1"/>
    <col min="2052" max="2052" width="7.875" style="3178" customWidth="1"/>
    <col min="2053" max="2054" width="13.875" style="3178" customWidth="1"/>
    <col min="2055" max="2055" width="19.875" style="3178" customWidth="1"/>
    <col min="2056" max="2056" width="7.875" style="3178" customWidth="1"/>
    <col min="2057" max="2057" width="9" style="3178" customWidth="1"/>
    <col min="2058" max="2059" width="10.625" style="3178" customWidth="1"/>
    <col min="2060" max="2060" width="14.375" style="3178" customWidth="1"/>
    <col min="2061" max="2061" width="6.25" style="3178" customWidth="1"/>
    <col min="2062" max="2062" width="31" style="3178" customWidth="1"/>
    <col min="2063" max="2305" width="9" style="3178"/>
    <col min="2306" max="2306" width="34.375" style="3178" customWidth="1"/>
    <col min="2307" max="2307" width="6.25" style="3178" customWidth="1"/>
    <col min="2308" max="2308" width="7.875" style="3178" customWidth="1"/>
    <col min="2309" max="2310" width="13.875" style="3178" customWidth="1"/>
    <col min="2311" max="2311" width="19.875" style="3178" customWidth="1"/>
    <col min="2312" max="2312" width="7.875" style="3178" customWidth="1"/>
    <col min="2313" max="2313" width="9" style="3178" customWidth="1"/>
    <col min="2314" max="2315" width="10.625" style="3178" customWidth="1"/>
    <col min="2316" max="2316" width="14.375" style="3178" customWidth="1"/>
    <col min="2317" max="2317" width="6.25" style="3178" customWidth="1"/>
    <col min="2318" max="2318" width="31" style="3178" customWidth="1"/>
    <col min="2319" max="2561" width="9" style="3178"/>
    <col min="2562" max="2562" width="34.375" style="3178" customWidth="1"/>
    <col min="2563" max="2563" width="6.25" style="3178" customWidth="1"/>
    <col min="2564" max="2564" width="7.875" style="3178" customWidth="1"/>
    <col min="2565" max="2566" width="13.875" style="3178" customWidth="1"/>
    <col min="2567" max="2567" width="19.875" style="3178" customWidth="1"/>
    <col min="2568" max="2568" width="7.875" style="3178" customWidth="1"/>
    <col min="2569" max="2569" width="9" style="3178" customWidth="1"/>
    <col min="2570" max="2571" width="10.625" style="3178" customWidth="1"/>
    <col min="2572" max="2572" width="14.375" style="3178" customWidth="1"/>
    <col min="2573" max="2573" width="6.25" style="3178" customWidth="1"/>
    <col min="2574" max="2574" width="31" style="3178" customWidth="1"/>
    <col min="2575" max="2817" width="9" style="3178"/>
    <col min="2818" max="2818" width="34.375" style="3178" customWidth="1"/>
    <col min="2819" max="2819" width="6.25" style="3178" customWidth="1"/>
    <col min="2820" max="2820" width="7.875" style="3178" customWidth="1"/>
    <col min="2821" max="2822" width="13.875" style="3178" customWidth="1"/>
    <col min="2823" max="2823" width="19.875" style="3178" customWidth="1"/>
    <col min="2824" max="2824" width="7.875" style="3178" customWidth="1"/>
    <col min="2825" max="2825" width="9" style="3178" customWidth="1"/>
    <col min="2826" max="2827" width="10.625" style="3178" customWidth="1"/>
    <col min="2828" max="2828" width="14.375" style="3178" customWidth="1"/>
    <col min="2829" max="2829" width="6.25" style="3178" customWidth="1"/>
    <col min="2830" max="2830" width="31" style="3178" customWidth="1"/>
    <col min="2831" max="3073" width="9" style="3178"/>
    <col min="3074" max="3074" width="34.375" style="3178" customWidth="1"/>
    <col min="3075" max="3075" width="6.25" style="3178" customWidth="1"/>
    <col min="3076" max="3076" width="7.875" style="3178" customWidth="1"/>
    <col min="3077" max="3078" width="13.875" style="3178" customWidth="1"/>
    <col min="3079" max="3079" width="19.875" style="3178" customWidth="1"/>
    <col min="3080" max="3080" width="7.875" style="3178" customWidth="1"/>
    <col min="3081" max="3081" width="9" style="3178" customWidth="1"/>
    <col min="3082" max="3083" width="10.625" style="3178" customWidth="1"/>
    <col min="3084" max="3084" width="14.375" style="3178" customWidth="1"/>
    <col min="3085" max="3085" width="6.25" style="3178" customWidth="1"/>
    <col min="3086" max="3086" width="31" style="3178" customWidth="1"/>
    <col min="3087" max="3329" width="9" style="3178"/>
    <col min="3330" max="3330" width="34.375" style="3178" customWidth="1"/>
    <col min="3331" max="3331" width="6.25" style="3178" customWidth="1"/>
    <col min="3332" max="3332" width="7.875" style="3178" customWidth="1"/>
    <col min="3333" max="3334" width="13.875" style="3178" customWidth="1"/>
    <col min="3335" max="3335" width="19.875" style="3178" customWidth="1"/>
    <col min="3336" max="3336" width="7.875" style="3178" customWidth="1"/>
    <col min="3337" max="3337" width="9" style="3178" customWidth="1"/>
    <col min="3338" max="3339" width="10.625" style="3178" customWidth="1"/>
    <col min="3340" max="3340" width="14.375" style="3178" customWidth="1"/>
    <col min="3341" max="3341" width="6.25" style="3178" customWidth="1"/>
    <col min="3342" max="3342" width="31" style="3178" customWidth="1"/>
    <col min="3343" max="3585" width="9" style="3178"/>
    <col min="3586" max="3586" width="34.375" style="3178" customWidth="1"/>
    <col min="3587" max="3587" width="6.25" style="3178" customWidth="1"/>
    <col min="3588" max="3588" width="7.875" style="3178" customWidth="1"/>
    <col min="3589" max="3590" width="13.875" style="3178" customWidth="1"/>
    <col min="3591" max="3591" width="19.875" style="3178" customWidth="1"/>
    <col min="3592" max="3592" width="7.875" style="3178" customWidth="1"/>
    <col min="3593" max="3593" width="9" style="3178" customWidth="1"/>
    <col min="3594" max="3595" width="10.625" style="3178" customWidth="1"/>
    <col min="3596" max="3596" width="14.375" style="3178" customWidth="1"/>
    <col min="3597" max="3597" width="6.25" style="3178" customWidth="1"/>
    <col min="3598" max="3598" width="31" style="3178" customWidth="1"/>
    <col min="3599" max="3841" width="9" style="3178"/>
    <col min="3842" max="3842" width="34.375" style="3178" customWidth="1"/>
    <col min="3843" max="3843" width="6.25" style="3178" customWidth="1"/>
    <col min="3844" max="3844" width="7.875" style="3178" customWidth="1"/>
    <col min="3845" max="3846" width="13.875" style="3178" customWidth="1"/>
    <col min="3847" max="3847" width="19.875" style="3178" customWidth="1"/>
    <col min="3848" max="3848" width="7.875" style="3178" customWidth="1"/>
    <col min="3849" max="3849" width="9" style="3178" customWidth="1"/>
    <col min="3850" max="3851" width="10.625" style="3178" customWidth="1"/>
    <col min="3852" max="3852" width="14.375" style="3178" customWidth="1"/>
    <col min="3853" max="3853" width="6.25" style="3178" customWidth="1"/>
    <col min="3854" max="3854" width="31" style="3178" customWidth="1"/>
    <col min="3855" max="4097" width="9" style="3178"/>
    <col min="4098" max="4098" width="34.375" style="3178" customWidth="1"/>
    <col min="4099" max="4099" width="6.25" style="3178" customWidth="1"/>
    <col min="4100" max="4100" width="7.875" style="3178" customWidth="1"/>
    <col min="4101" max="4102" width="13.875" style="3178" customWidth="1"/>
    <col min="4103" max="4103" width="19.875" style="3178" customWidth="1"/>
    <col min="4104" max="4104" width="7.875" style="3178" customWidth="1"/>
    <col min="4105" max="4105" width="9" style="3178" customWidth="1"/>
    <col min="4106" max="4107" width="10.625" style="3178" customWidth="1"/>
    <col min="4108" max="4108" width="14.375" style="3178" customWidth="1"/>
    <col min="4109" max="4109" width="6.25" style="3178" customWidth="1"/>
    <col min="4110" max="4110" width="31" style="3178" customWidth="1"/>
    <col min="4111" max="4353" width="9" style="3178"/>
    <col min="4354" max="4354" width="34.375" style="3178" customWidth="1"/>
    <col min="4355" max="4355" width="6.25" style="3178" customWidth="1"/>
    <col min="4356" max="4356" width="7.875" style="3178" customWidth="1"/>
    <col min="4357" max="4358" width="13.875" style="3178" customWidth="1"/>
    <col min="4359" max="4359" width="19.875" style="3178" customWidth="1"/>
    <col min="4360" max="4360" width="7.875" style="3178" customWidth="1"/>
    <col min="4361" max="4361" width="9" style="3178" customWidth="1"/>
    <col min="4362" max="4363" width="10.625" style="3178" customWidth="1"/>
    <col min="4364" max="4364" width="14.375" style="3178" customWidth="1"/>
    <col min="4365" max="4365" width="6.25" style="3178" customWidth="1"/>
    <col min="4366" max="4366" width="31" style="3178" customWidth="1"/>
    <col min="4367" max="4609" width="9" style="3178"/>
    <col min="4610" max="4610" width="34.375" style="3178" customWidth="1"/>
    <col min="4611" max="4611" width="6.25" style="3178" customWidth="1"/>
    <col min="4612" max="4612" width="7.875" style="3178" customWidth="1"/>
    <col min="4613" max="4614" width="13.875" style="3178" customWidth="1"/>
    <col min="4615" max="4615" width="19.875" style="3178" customWidth="1"/>
    <col min="4616" max="4616" width="7.875" style="3178" customWidth="1"/>
    <col min="4617" max="4617" width="9" style="3178" customWidth="1"/>
    <col min="4618" max="4619" width="10.625" style="3178" customWidth="1"/>
    <col min="4620" max="4620" width="14.375" style="3178" customWidth="1"/>
    <col min="4621" max="4621" width="6.25" style="3178" customWidth="1"/>
    <col min="4622" max="4622" width="31" style="3178" customWidth="1"/>
    <col min="4623" max="4865" width="9" style="3178"/>
    <col min="4866" max="4866" width="34.375" style="3178" customWidth="1"/>
    <col min="4867" max="4867" width="6.25" style="3178" customWidth="1"/>
    <col min="4868" max="4868" width="7.875" style="3178" customWidth="1"/>
    <col min="4869" max="4870" width="13.875" style="3178" customWidth="1"/>
    <col min="4871" max="4871" width="19.875" style="3178" customWidth="1"/>
    <col min="4872" max="4872" width="7.875" style="3178" customWidth="1"/>
    <col min="4873" max="4873" width="9" style="3178" customWidth="1"/>
    <col min="4874" max="4875" width="10.625" style="3178" customWidth="1"/>
    <col min="4876" max="4876" width="14.375" style="3178" customWidth="1"/>
    <col min="4877" max="4877" width="6.25" style="3178" customWidth="1"/>
    <col min="4878" max="4878" width="31" style="3178" customWidth="1"/>
    <col min="4879" max="5121" width="9" style="3178"/>
    <col min="5122" max="5122" width="34.375" style="3178" customWidth="1"/>
    <col min="5123" max="5123" width="6.25" style="3178" customWidth="1"/>
    <col min="5124" max="5124" width="7.875" style="3178" customWidth="1"/>
    <col min="5125" max="5126" width="13.875" style="3178" customWidth="1"/>
    <col min="5127" max="5127" width="19.875" style="3178" customWidth="1"/>
    <col min="5128" max="5128" width="7.875" style="3178" customWidth="1"/>
    <col min="5129" max="5129" width="9" style="3178" customWidth="1"/>
    <col min="5130" max="5131" width="10.625" style="3178" customWidth="1"/>
    <col min="5132" max="5132" width="14.375" style="3178" customWidth="1"/>
    <col min="5133" max="5133" width="6.25" style="3178" customWidth="1"/>
    <col min="5134" max="5134" width="31" style="3178" customWidth="1"/>
    <col min="5135" max="5377" width="9" style="3178"/>
    <col min="5378" max="5378" width="34.375" style="3178" customWidth="1"/>
    <col min="5379" max="5379" width="6.25" style="3178" customWidth="1"/>
    <col min="5380" max="5380" width="7.875" style="3178" customWidth="1"/>
    <col min="5381" max="5382" width="13.875" style="3178" customWidth="1"/>
    <col min="5383" max="5383" width="19.875" style="3178" customWidth="1"/>
    <col min="5384" max="5384" width="7.875" style="3178" customWidth="1"/>
    <col min="5385" max="5385" width="9" style="3178" customWidth="1"/>
    <col min="5386" max="5387" width="10.625" style="3178" customWidth="1"/>
    <col min="5388" max="5388" width="14.375" style="3178" customWidth="1"/>
    <col min="5389" max="5389" width="6.25" style="3178" customWidth="1"/>
    <col min="5390" max="5390" width="31" style="3178" customWidth="1"/>
    <col min="5391" max="5633" width="9" style="3178"/>
    <col min="5634" max="5634" width="34.375" style="3178" customWidth="1"/>
    <col min="5635" max="5635" width="6.25" style="3178" customWidth="1"/>
    <col min="5636" max="5636" width="7.875" style="3178" customWidth="1"/>
    <col min="5637" max="5638" width="13.875" style="3178" customWidth="1"/>
    <col min="5639" max="5639" width="19.875" style="3178" customWidth="1"/>
    <col min="5640" max="5640" width="7.875" style="3178" customWidth="1"/>
    <col min="5641" max="5641" width="9" style="3178" customWidth="1"/>
    <col min="5642" max="5643" width="10.625" style="3178" customWidth="1"/>
    <col min="5644" max="5644" width="14.375" style="3178" customWidth="1"/>
    <col min="5645" max="5645" width="6.25" style="3178" customWidth="1"/>
    <col min="5646" max="5646" width="31" style="3178" customWidth="1"/>
    <col min="5647" max="5889" width="9" style="3178"/>
    <col min="5890" max="5890" width="34.375" style="3178" customWidth="1"/>
    <col min="5891" max="5891" width="6.25" style="3178" customWidth="1"/>
    <col min="5892" max="5892" width="7.875" style="3178" customWidth="1"/>
    <col min="5893" max="5894" width="13.875" style="3178" customWidth="1"/>
    <col min="5895" max="5895" width="19.875" style="3178" customWidth="1"/>
    <col min="5896" max="5896" width="7.875" style="3178" customWidth="1"/>
    <col min="5897" max="5897" width="9" style="3178" customWidth="1"/>
    <col min="5898" max="5899" width="10.625" style="3178" customWidth="1"/>
    <col min="5900" max="5900" width="14.375" style="3178" customWidth="1"/>
    <col min="5901" max="5901" width="6.25" style="3178" customWidth="1"/>
    <col min="5902" max="5902" width="31" style="3178" customWidth="1"/>
    <col min="5903" max="6145" width="9" style="3178"/>
    <col min="6146" max="6146" width="34.375" style="3178" customWidth="1"/>
    <col min="6147" max="6147" width="6.25" style="3178" customWidth="1"/>
    <col min="6148" max="6148" width="7.875" style="3178" customWidth="1"/>
    <col min="6149" max="6150" width="13.875" style="3178" customWidth="1"/>
    <col min="6151" max="6151" width="19.875" style="3178" customWidth="1"/>
    <col min="6152" max="6152" width="7.875" style="3178" customWidth="1"/>
    <col min="6153" max="6153" width="9" style="3178" customWidth="1"/>
    <col min="6154" max="6155" width="10.625" style="3178" customWidth="1"/>
    <col min="6156" max="6156" width="14.375" style="3178" customWidth="1"/>
    <col min="6157" max="6157" width="6.25" style="3178" customWidth="1"/>
    <col min="6158" max="6158" width="31" style="3178" customWidth="1"/>
    <col min="6159" max="6401" width="9" style="3178"/>
    <col min="6402" max="6402" width="34.375" style="3178" customWidth="1"/>
    <col min="6403" max="6403" width="6.25" style="3178" customWidth="1"/>
    <col min="6404" max="6404" width="7.875" style="3178" customWidth="1"/>
    <col min="6405" max="6406" width="13.875" style="3178" customWidth="1"/>
    <col min="6407" max="6407" width="19.875" style="3178" customWidth="1"/>
    <col min="6408" max="6408" width="7.875" style="3178" customWidth="1"/>
    <col min="6409" max="6409" width="9" style="3178" customWidth="1"/>
    <col min="6410" max="6411" width="10.625" style="3178" customWidth="1"/>
    <col min="6412" max="6412" width="14.375" style="3178" customWidth="1"/>
    <col min="6413" max="6413" width="6.25" style="3178" customWidth="1"/>
    <col min="6414" max="6414" width="31" style="3178" customWidth="1"/>
    <col min="6415" max="6657" width="9" style="3178"/>
    <col min="6658" max="6658" width="34.375" style="3178" customWidth="1"/>
    <col min="6659" max="6659" width="6.25" style="3178" customWidth="1"/>
    <col min="6660" max="6660" width="7.875" style="3178" customWidth="1"/>
    <col min="6661" max="6662" width="13.875" style="3178" customWidth="1"/>
    <col min="6663" max="6663" width="19.875" style="3178" customWidth="1"/>
    <col min="6664" max="6664" width="7.875" style="3178" customWidth="1"/>
    <col min="6665" max="6665" width="9" style="3178" customWidth="1"/>
    <col min="6666" max="6667" width="10.625" style="3178" customWidth="1"/>
    <col min="6668" max="6668" width="14.375" style="3178" customWidth="1"/>
    <col min="6669" max="6669" width="6.25" style="3178" customWidth="1"/>
    <col min="6670" max="6670" width="31" style="3178" customWidth="1"/>
    <col min="6671" max="6913" width="9" style="3178"/>
    <col min="6914" max="6914" width="34.375" style="3178" customWidth="1"/>
    <col min="6915" max="6915" width="6.25" style="3178" customWidth="1"/>
    <col min="6916" max="6916" width="7.875" style="3178" customWidth="1"/>
    <col min="6917" max="6918" width="13.875" style="3178" customWidth="1"/>
    <col min="6919" max="6919" width="19.875" style="3178" customWidth="1"/>
    <col min="6920" max="6920" width="7.875" style="3178" customWidth="1"/>
    <col min="6921" max="6921" width="9" style="3178" customWidth="1"/>
    <col min="6922" max="6923" width="10.625" style="3178" customWidth="1"/>
    <col min="6924" max="6924" width="14.375" style="3178" customWidth="1"/>
    <col min="6925" max="6925" width="6.25" style="3178" customWidth="1"/>
    <col min="6926" max="6926" width="31" style="3178" customWidth="1"/>
    <col min="6927" max="7169" width="9" style="3178"/>
    <col min="7170" max="7170" width="34.375" style="3178" customWidth="1"/>
    <col min="7171" max="7171" width="6.25" style="3178" customWidth="1"/>
    <col min="7172" max="7172" width="7.875" style="3178" customWidth="1"/>
    <col min="7173" max="7174" width="13.875" style="3178" customWidth="1"/>
    <col min="7175" max="7175" width="19.875" style="3178" customWidth="1"/>
    <col min="7176" max="7176" width="7.875" style="3178" customWidth="1"/>
    <col min="7177" max="7177" width="9" style="3178" customWidth="1"/>
    <col min="7178" max="7179" width="10.625" style="3178" customWidth="1"/>
    <col min="7180" max="7180" width="14.375" style="3178" customWidth="1"/>
    <col min="7181" max="7181" width="6.25" style="3178" customWidth="1"/>
    <col min="7182" max="7182" width="31" style="3178" customWidth="1"/>
    <col min="7183" max="7425" width="9" style="3178"/>
    <col min="7426" max="7426" width="34.375" style="3178" customWidth="1"/>
    <col min="7427" max="7427" width="6.25" style="3178" customWidth="1"/>
    <col min="7428" max="7428" width="7.875" style="3178" customWidth="1"/>
    <col min="7429" max="7430" width="13.875" style="3178" customWidth="1"/>
    <col min="7431" max="7431" width="19.875" style="3178" customWidth="1"/>
    <col min="7432" max="7432" width="7.875" style="3178" customWidth="1"/>
    <col min="7433" max="7433" width="9" style="3178" customWidth="1"/>
    <col min="7434" max="7435" width="10.625" style="3178" customWidth="1"/>
    <col min="7436" max="7436" width="14.375" style="3178" customWidth="1"/>
    <col min="7437" max="7437" width="6.25" style="3178" customWidth="1"/>
    <col min="7438" max="7438" width="31" style="3178" customWidth="1"/>
    <col min="7439" max="7681" width="9" style="3178"/>
    <col min="7682" max="7682" width="34.375" style="3178" customWidth="1"/>
    <col min="7683" max="7683" width="6.25" style="3178" customWidth="1"/>
    <col min="7684" max="7684" width="7.875" style="3178" customWidth="1"/>
    <col min="7685" max="7686" width="13.875" style="3178" customWidth="1"/>
    <col min="7687" max="7687" width="19.875" style="3178" customWidth="1"/>
    <col min="7688" max="7688" width="7.875" style="3178" customWidth="1"/>
    <col min="7689" max="7689" width="9" style="3178" customWidth="1"/>
    <col min="7690" max="7691" width="10.625" style="3178" customWidth="1"/>
    <col min="7692" max="7692" width="14.375" style="3178" customWidth="1"/>
    <col min="7693" max="7693" width="6.25" style="3178" customWidth="1"/>
    <col min="7694" max="7694" width="31" style="3178" customWidth="1"/>
    <col min="7695" max="7937" width="9" style="3178"/>
    <col min="7938" max="7938" width="34.375" style="3178" customWidth="1"/>
    <col min="7939" max="7939" width="6.25" style="3178" customWidth="1"/>
    <col min="7940" max="7940" width="7.875" style="3178" customWidth="1"/>
    <col min="7941" max="7942" width="13.875" style="3178" customWidth="1"/>
    <col min="7943" max="7943" width="19.875" style="3178" customWidth="1"/>
    <col min="7944" max="7944" width="7.875" style="3178" customWidth="1"/>
    <col min="7945" max="7945" width="9" style="3178" customWidth="1"/>
    <col min="7946" max="7947" width="10.625" style="3178" customWidth="1"/>
    <col min="7948" max="7948" width="14.375" style="3178" customWidth="1"/>
    <col min="7949" max="7949" width="6.25" style="3178" customWidth="1"/>
    <col min="7950" max="7950" width="31" style="3178" customWidth="1"/>
    <col min="7951" max="8193" width="9" style="3178"/>
    <col min="8194" max="8194" width="34.375" style="3178" customWidth="1"/>
    <col min="8195" max="8195" width="6.25" style="3178" customWidth="1"/>
    <col min="8196" max="8196" width="7.875" style="3178" customWidth="1"/>
    <col min="8197" max="8198" width="13.875" style="3178" customWidth="1"/>
    <col min="8199" max="8199" width="19.875" style="3178" customWidth="1"/>
    <col min="8200" max="8200" width="7.875" style="3178" customWidth="1"/>
    <col min="8201" max="8201" width="9" style="3178" customWidth="1"/>
    <col min="8202" max="8203" width="10.625" style="3178" customWidth="1"/>
    <col min="8204" max="8204" width="14.375" style="3178" customWidth="1"/>
    <col min="8205" max="8205" width="6.25" style="3178" customWidth="1"/>
    <col min="8206" max="8206" width="31" style="3178" customWidth="1"/>
    <col min="8207" max="8449" width="9" style="3178"/>
    <col min="8450" max="8450" width="34.375" style="3178" customWidth="1"/>
    <col min="8451" max="8451" width="6.25" style="3178" customWidth="1"/>
    <col min="8452" max="8452" width="7.875" style="3178" customWidth="1"/>
    <col min="8453" max="8454" width="13.875" style="3178" customWidth="1"/>
    <col min="8455" max="8455" width="19.875" style="3178" customWidth="1"/>
    <col min="8456" max="8456" width="7.875" style="3178" customWidth="1"/>
    <col min="8457" max="8457" width="9" style="3178" customWidth="1"/>
    <col min="8458" max="8459" width="10.625" style="3178" customWidth="1"/>
    <col min="8460" max="8460" width="14.375" style="3178" customWidth="1"/>
    <col min="8461" max="8461" width="6.25" style="3178" customWidth="1"/>
    <col min="8462" max="8462" width="31" style="3178" customWidth="1"/>
    <col min="8463" max="8705" width="9" style="3178"/>
    <col min="8706" max="8706" width="34.375" style="3178" customWidth="1"/>
    <col min="8707" max="8707" width="6.25" style="3178" customWidth="1"/>
    <col min="8708" max="8708" width="7.875" style="3178" customWidth="1"/>
    <col min="8709" max="8710" width="13.875" style="3178" customWidth="1"/>
    <col min="8711" max="8711" width="19.875" style="3178" customWidth="1"/>
    <col min="8712" max="8712" width="7.875" style="3178" customWidth="1"/>
    <col min="8713" max="8713" width="9" style="3178" customWidth="1"/>
    <col min="8714" max="8715" width="10.625" style="3178" customWidth="1"/>
    <col min="8716" max="8716" width="14.375" style="3178" customWidth="1"/>
    <col min="8717" max="8717" width="6.25" style="3178" customWidth="1"/>
    <col min="8718" max="8718" width="31" style="3178" customWidth="1"/>
    <col min="8719" max="8961" width="9" style="3178"/>
    <col min="8962" max="8962" width="34.375" style="3178" customWidth="1"/>
    <col min="8963" max="8963" width="6.25" style="3178" customWidth="1"/>
    <col min="8964" max="8964" width="7.875" style="3178" customWidth="1"/>
    <col min="8965" max="8966" width="13.875" style="3178" customWidth="1"/>
    <col min="8967" max="8967" width="19.875" style="3178" customWidth="1"/>
    <col min="8968" max="8968" width="7.875" style="3178" customWidth="1"/>
    <col min="8969" max="8969" width="9" style="3178" customWidth="1"/>
    <col min="8970" max="8971" width="10.625" style="3178" customWidth="1"/>
    <col min="8972" max="8972" width="14.375" style="3178" customWidth="1"/>
    <col min="8973" max="8973" width="6.25" style="3178" customWidth="1"/>
    <col min="8974" max="8974" width="31" style="3178" customWidth="1"/>
    <col min="8975" max="9217" width="9" style="3178"/>
    <col min="9218" max="9218" width="34.375" style="3178" customWidth="1"/>
    <col min="9219" max="9219" width="6.25" style="3178" customWidth="1"/>
    <col min="9220" max="9220" width="7.875" style="3178" customWidth="1"/>
    <col min="9221" max="9222" width="13.875" style="3178" customWidth="1"/>
    <col min="9223" max="9223" width="19.875" style="3178" customWidth="1"/>
    <col min="9224" max="9224" width="7.875" style="3178" customWidth="1"/>
    <col min="9225" max="9225" width="9" style="3178" customWidth="1"/>
    <col min="9226" max="9227" width="10.625" style="3178" customWidth="1"/>
    <col min="9228" max="9228" width="14.375" style="3178" customWidth="1"/>
    <col min="9229" max="9229" width="6.25" style="3178" customWidth="1"/>
    <col min="9230" max="9230" width="31" style="3178" customWidth="1"/>
    <col min="9231" max="9473" width="9" style="3178"/>
    <col min="9474" max="9474" width="34.375" style="3178" customWidth="1"/>
    <col min="9475" max="9475" width="6.25" style="3178" customWidth="1"/>
    <col min="9476" max="9476" width="7.875" style="3178" customWidth="1"/>
    <col min="9477" max="9478" width="13.875" style="3178" customWidth="1"/>
    <col min="9479" max="9479" width="19.875" style="3178" customWidth="1"/>
    <col min="9480" max="9480" width="7.875" style="3178" customWidth="1"/>
    <col min="9481" max="9481" width="9" style="3178" customWidth="1"/>
    <col min="9482" max="9483" width="10.625" style="3178" customWidth="1"/>
    <col min="9484" max="9484" width="14.375" style="3178" customWidth="1"/>
    <col min="9485" max="9485" width="6.25" style="3178" customWidth="1"/>
    <col min="9486" max="9486" width="31" style="3178" customWidth="1"/>
    <col min="9487" max="9729" width="9" style="3178"/>
    <col min="9730" max="9730" width="34.375" style="3178" customWidth="1"/>
    <col min="9731" max="9731" width="6.25" style="3178" customWidth="1"/>
    <col min="9732" max="9732" width="7.875" style="3178" customWidth="1"/>
    <col min="9733" max="9734" width="13.875" style="3178" customWidth="1"/>
    <col min="9735" max="9735" width="19.875" style="3178" customWidth="1"/>
    <col min="9736" max="9736" width="7.875" style="3178" customWidth="1"/>
    <col min="9737" max="9737" width="9" style="3178" customWidth="1"/>
    <col min="9738" max="9739" width="10.625" style="3178" customWidth="1"/>
    <col min="9740" max="9740" width="14.375" style="3178" customWidth="1"/>
    <col min="9741" max="9741" width="6.25" style="3178" customWidth="1"/>
    <col min="9742" max="9742" width="31" style="3178" customWidth="1"/>
    <col min="9743" max="9985" width="9" style="3178"/>
    <col min="9986" max="9986" width="34.375" style="3178" customWidth="1"/>
    <col min="9987" max="9987" width="6.25" style="3178" customWidth="1"/>
    <col min="9988" max="9988" width="7.875" style="3178" customWidth="1"/>
    <col min="9989" max="9990" width="13.875" style="3178" customWidth="1"/>
    <col min="9991" max="9991" width="19.875" style="3178" customWidth="1"/>
    <col min="9992" max="9992" width="7.875" style="3178" customWidth="1"/>
    <col min="9993" max="9993" width="9" style="3178" customWidth="1"/>
    <col min="9994" max="9995" width="10.625" style="3178" customWidth="1"/>
    <col min="9996" max="9996" width="14.375" style="3178" customWidth="1"/>
    <col min="9997" max="9997" width="6.25" style="3178" customWidth="1"/>
    <col min="9998" max="9998" width="31" style="3178" customWidth="1"/>
    <col min="9999" max="10241" width="9" style="3178"/>
    <col min="10242" max="10242" width="34.375" style="3178" customWidth="1"/>
    <col min="10243" max="10243" width="6.25" style="3178" customWidth="1"/>
    <col min="10244" max="10244" width="7.875" style="3178" customWidth="1"/>
    <col min="10245" max="10246" width="13.875" style="3178" customWidth="1"/>
    <col min="10247" max="10247" width="19.875" style="3178" customWidth="1"/>
    <col min="10248" max="10248" width="7.875" style="3178" customWidth="1"/>
    <col min="10249" max="10249" width="9" style="3178" customWidth="1"/>
    <col min="10250" max="10251" width="10.625" style="3178" customWidth="1"/>
    <col min="10252" max="10252" width="14.375" style="3178" customWidth="1"/>
    <col min="10253" max="10253" width="6.25" style="3178" customWidth="1"/>
    <col min="10254" max="10254" width="31" style="3178" customWidth="1"/>
    <col min="10255" max="10497" width="9" style="3178"/>
    <col min="10498" max="10498" width="34.375" style="3178" customWidth="1"/>
    <col min="10499" max="10499" width="6.25" style="3178" customWidth="1"/>
    <col min="10500" max="10500" width="7.875" style="3178" customWidth="1"/>
    <col min="10501" max="10502" width="13.875" style="3178" customWidth="1"/>
    <col min="10503" max="10503" width="19.875" style="3178" customWidth="1"/>
    <col min="10504" max="10504" width="7.875" style="3178" customWidth="1"/>
    <col min="10505" max="10505" width="9" style="3178" customWidth="1"/>
    <col min="10506" max="10507" width="10.625" style="3178" customWidth="1"/>
    <col min="10508" max="10508" width="14.375" style="3178" customWidth="1"/>
    <col min="10509" max="10509" width="6.25" style="3178" customWidth="1"/>
    <col min="10510" max="10510" width="31" style="3178" customWidth="1"/>
    <col min="10511" max="10753" width="9" style="3178"/>
    <col min="10754" max="10754" width="34.375" style="3178" customWidth="1"/>
    <col min="10755" max="10755" width="6.25" style="3178" customWidth="1"/>
    <col min="10756" max="10756" width="7.875" style="3178" customWidth="1"/>
    <col min="10757" max="10758" width="13.875" style="3178" customWidth="1"/>
    <col min="10759" max="10759" width="19.875" style="3178" customWidth="1"/>
    <col min="10760" max="10760" width="7.875" style="3178" customWidth="1"/>
    <col min="10761" max="10761" width="9" style="3178" customWidth="1"/>
    <col min="10762" max="10763" width="10.625" style="3178" customWidth="1"/>
    <col min="10764" max="10764" width="14.375" style="3178" customWidth="1"/>
    <col min="10765" max="10765" width="6.25" style="3178" customWidth="1"/>
    <col min="10766" max="10766" width="31" style="3178" customWidth="1"/>
    <col min="10767" max="11009" width="9" style="3178"/>
    <col min="11010" max="11010" width="34.375" style="3178" customWidth="1"/>
    <col min="11011" max="11011" width="6.25" style="3178" customWidth="1"/>
    <col min="11012" max="11012" width="7.875" style="3178" customWidth="1"/>
    <col min="11013" max="11014" width="13.875" style="3178" customWidth="1"/>
    <col min="11015" max="11015" width="19.875" style="3178" customWidth="1"/>
    <col min="11016" max="11016" width="7.875" style="3178" customWidth="1"/>
    <col min="11017" max="11017" width="9" style="3178" customWidth="1"/>
    <col min="11018" max="11019" width="10.625" style="3178" customWidth="1"/>
    <col min="11020" max="11020" width="14.375" style="3178" customWidth="1"/>
    <col min="11021" max="11021" width="6.25" style="3178" customWidth="1"/>
    <col min="11022" max="11022" width="31" style="3178" customWidth="1"/>
    <col min="11023" max="11265" width="9" style="3178"/>
    <col min="11266" max="11266" width="34.375" style="3178" customWidth="1"/>
    <col min="11267" max="11267" width="6.25" style="3178" customWidth="1"/>
    <col min="11268" max="11268" width="7.875" style="3178" customWidth="1"/>
    <col min="11269" max="11270" width="13.875" style="3178" customWidth="1"/>
    <col min="11271" max="11271" width="19.875" style="3178" customWidth="1"/>
    <col min="11272" max="11272" width="7.875" style="3178" customWidth="1"/>
    <col min="11273" max="11273" width="9" style="3178" customWidth="1"/>
    <col min="11274" max="11275" width="10.625" style="3178" customWidth="1"/>
    <col min="11276" max="11276" width="14.375" style="3178" customWidth="1"/>
    <col min="11277" max="11277" width="6.25" style="3178" customWidth="1"/>
    <col min="11278" max="11278" width="31" style="3178" customWidth="1"/>
    <col min="11279" max="11521" width="9" style="3178"/>
    <col min="11522" max="11522" width="34.375" style="3178" customWidth="1"/>
    <col min="11523" max="11523" width="6.25" style="3178" customWidth="1"/>
    <col min="11524" max="11524" width="7.875" style="3178" customWidth="1"/>
    <col min="11525" max="11526" width="13.875" style="3178" customWidth="1"/>
    <col min="11527" max="11527" width="19.875" style="3178" customWidth="1"/>
    <col min="11528" max="11528" width="7.875" style="3178" customWidth="1"/>
    <col min="11529" max="11529" width="9" style="3178" customWidth="1"/>
    <col min="11530" max="11531" width="10.625" style="3178" customWidth="1"/>
    <col min="11532" max="11532" width="14.375" style="3178" customWidth="1"/>
    <col min="11533" max="11533" width="6.25" style="3178" customWidth="1"/>
    <col min="11534" max="11534" width="31" style="3178" customWidth="1"/>
    <col min="11535" max="11777" width="9" style="3178"/>
    <col min="11778" max="11778" width="34.375" style="3178" customWidth="1"/>
    <col min="11779" max="11779" width="6.25" style="3178" customWidth="1"/>
    <col min="11780" max="11780" width="7.875" style="3178" customWidth="1"/>
    <col min="11781" max="11782" width="13.875" style="3178" customWidth="1"/>
    <col min="11783" max="11783" width="19.875" style="3178" customWidth="1"/>
    <col min="11784" max="11784" width="7.875" style="3178" customWidth="1"/>
    <col min="11785" max="11785" width="9" style="3178" customWidth="1"/>
    <col min="11786" max="11787" width="10.625" style="3178" customWidth="1"/>
    <col min="11788" max="11788" width="14.375" style="3178" customWidth="1"/>
    <col min="11789" max="11789" width="6.25" style="3178" customWidth="1"/>
    <col min="11790" max="11790" width="31" style="3178" customWidth="1"/>
    <col min="11791" max="12033" width="9" style="3178"/>
    <col min="12034" max="12034" width="34.375" style="3178" customWidth="1"/>
    <col min="12035" max="12035" width="6.25" style="3178" customWidth="1"/>
    <col min="12036" max="12036" width="7.875" style="3178" customWidth="1"/>
    <col min="12037" max="12038" width="13.875" style="3178" customWidth="1"/>
    <col min="12039" max="12039" width="19.875" style="3178" customWidth="1"/>
    <col min="12040" max="12040" width="7.875" style="3178" customWidth="1"/>
    <col min="12041" max="12041" width="9" style="3178" customWidth="1"/>
    <col min="12042" max="12043" width="10.625" style="3178" customWidth="1"/>
    <col min="12044" max="12044" width="14.375" style="3178" customWidth="1"/>
    <col min="12045" max="12045" width="6.25" style="3178" customWidth="1"/>
    <col min="12046" max="12046" width="31" style="3178" customWidth="1"/>
    <col min="12047" max="12289" width="9" style="3178"/>
    <col min="12290" max="12290" width="34.375" style="3178" customWidth="1"/>
    <col min="12291" max="12291" width="6.25" style="3178" customWidth="1"/>
    <col min="12292" max="12292" width="7.875" style="3178" customWidth="1"/>
    <col min="12293" max="12294" width="13.875" style="3178" customWidth="1"/>
    <col min="12295" max="12295" width="19.875" style="3178" customWidth="1"/>
    <col min="12296" max="12296" width="7.875" style="3178" customWidth="1"/>
    <col min="12297" max="12297" width="9" style="3178" customWidth="1"/>
    <col min="12298" max="12299" width="10.625" style="3178" customWidth="1"/>
    <col min="12300" max="12300" width="14.375" style="3178" customWidth="1"/>
    <col min="12301" max="12301" width="6.25" style="3178" customWidth="1"/>
    <col min="12302" max="12302" width="31" style="3178" customWidth="1"/>
    <col min="12303" max="12545" width="9" style="3178"/>
    <col min="12546" max="12546" width="34.375" style="3178" customWidth="1"/>
    <col min="12547" max="12547" width="6.25" style="3178" customWidth="1"/>
    <col min="12548" max="12548" width="7.875" style="3178" customWidth="1"/>
    <col min="12549" max="12550" width="13.875" style="3178" customWidth="1"/>
    <col min="12551" max="12551" width="19.875" style="3178" customWidth="1"/>
    <col min="12552" max="12552" width="7.875" style="3178" customWidth="1"/>
    <col min="12553" max="12553" width="9" style="3178" customWidth="1"/>
    <col min="12554" max="12555" width="10.625" style="3178" customWidth="1"/>
    <col min="12556" max="12556" width="14.375" style="3178" customWidth="1"/>
    <col min="12557" max="12557" width="6.25" style="3178" customWidth="1"/>
    <col min="12558" max="12558" width="31" style="3178" customWidth="1"/>
    <col min="12559" max="12801" width="9" style="3178"/>
    <col min="12802" max="12802" width="34.375" style="3178" customWidth="1"/>
    <col min="12803" max="12803" width="6.25" style="3178" customWidth="1"/>
    <col min="12804" max="12804" width="7.875" style="3178" customWidth="1"/>
    <col min="12805" max="12806" width="13.875" style="3178" customWidth="1"/>
    <col min="12807" max="12807" width="19.875" style="3178" customWidth="1"/>
    <col min="12808" max="12808" width="7.875" style="3178" customWidth="1"/>
    <col min="12809" max="12809" width="9" style="3178" customWidth="1"/>
    <col min="12810" max="12811" width="10.625" style="3178" customWidth="1"/>
    <col min="12812" max="12812" width="14.375" style="3178" customWidth="1"/>
    <col min="12813" max="12813" width="6.25" style="3178" customWidth="1"/>
    <col min="12814" max="12814" width="31" style="3178" customWidth="1"/>
    <col min="12815" max="13057" width="9" style="3178"/>
    <col min="13058" max="13058" width="34.375" style="3178" customWidth="1"/>
    <col min="13059" max="13059" width="6.25" style="3178" customWidth="1"/>
    <col min="13060" max="13060" width="7.875" style="3178" customWidth="1"/>
    <col min="13061" max="13062" width="13.875" style="3178" customWidth="1"/>
    <col min="13063" max="13063" width="19.875" style="3178" customWidth="1"/>
    <col min="13064" max="13064" width="7.875" style="3178" customWidth="1"/>
    <col min="13065" max="13065" width="9" style="3178" customWidth="1"/>
    <col min="13066" max="13067" width="10.625" style="3178" customWidth="1"/>
    <col min="13068" max="13068" width="14.375" style="3178" customWidth="1"/>
    <col min="13069" max="13069" width="6.25" style="3178" customWidth="1"/>
    <col min="13070" max="13070" width="31" style="3178" customWidth="1"/>
    <col min="13071" max="13313" width="9" style="3178"/>
    <col min="13314" max="13314" width="34.375" style="3178" customWidth="1"/>
    <col min="13315" max="13315" width="6.25" style="3178" customWidth="1"/>
    <col min="13316" max="13316" width="7.875" style="3178" customWidth="1"/>
    <col min="13317" max="13318" width="13.875" style="3178" customWidth="1"/>
    <col min="13319" max="13319" width="19.875" style="3178" customWidth="1"/>
    <col min="13320" max="13320" width="7.875" style="3178" customWidth="1"/>
    <col min="13321" max="13321" width="9" style="3178" customWidth="1"/>
    <col min="13322" max="13323" width="10.625" style="3178" customWidth="1"/>
    <col min="13324" max="13324" width="14.375" style="3178" customWidth="1"/>
    <col min="13325" max="13325" width="6.25" style="3178" customWidth="1"/>
    <col min="13326" max="13326" width="31" style="3178" customWidth="1"/>
    <col min="13327" max="13569" width="9" style="3178"/>
    <col min="13570" max="13570" width="34.375" style="3178" customWidth="1"/>
    <col min="13571" max="13571" width="6.25" style="3178" customWidth="1"/>
    <col min="13572" max="13572" width="7.875" style="3178" customWidth="1"/>
    <col min="13573" max="13574" width="13.875" style="3178" customWidth="1"/>
    <col min="13575" max="13575" width="19.875" style="3178" customWidth="1"/>
    <col min="13576" max="13576" width="7.875" style="3178" customWidth="1"/>
    <col min="13577" max="13577" width="9" style="3178" customWidth="1"/>
    <col min="13578" max="13579" width="10.625" style="3178" customWidth="1"/>
    <col min="13580" max="13580" width="14.375" style="3178" customWidth="1"/>
    <col min="13581" max="13581" width="6.25" style="3178" customWidth="1"/>
    <col min="13582" max="13582" width="31" style="3178" customWidth="1"/>
    <col min="13583" max="13825" width="9" style="3178"/>
    <col min="13826" max="13826" width="34.375" style="3178" customWidth="1"/>
    <col min="13827" max="13827" width="6.25" style="3178" customWidth="1"/>
    <col min="13828" max="13828" width="7.875" style="3178" customWidth="1"/>
    <col min="13829" max="13830" width="13.875" style="3178" customWidth="1"/>
    <col min="13831" max="13831" width="19.875" style="3178" customWidth="1"/>
    <col min="13832" max="13832" width="7.875" style="3178" customWidth="1"/>
    <col min="13833" max="13833" width="9" style="3178" customWidth="1"/>
    <col min="13834" max="13835" width="10.625" style="3178" customWidth="1"/>
    <col min="13836" max="13836" width="14.375" style="3178" customWidth="1"/>
    <col min="13837" max="13837" width="6.25" style="3178" customWidth="1"/>
    <col min="13838" max="13838" width="31" style="3178" customWidth="1"/>
    <col min="13839" max="14081" width="9" style="3178"/>
    <col min="14082" max="14082" width="34.375" style="3178" customWidth="1"/>
    <col min="14083" max="14083" width="6.25" style="3178" customWidth="1"/>
    <col min="14084" max="14084" width="7.875" style="3178" customWidth="1"/>
    <col min="14085" max="14086" width="13.875" style="3178" customWidth="1"/>
    <col min="14087" max="14087" width="19.875" style="3178" customWidth="1"/>
    <col min="14088" max="14088" width="7.875" style="3178" customWidth="1"/>
    <col min="14089" max="14089" width="9" style="3178" customWidth="1"/>
    <col min="14090" max="14091" width="10.625" style="3178" customWidth="1"/>
    <col min="14092" max="14092" width="14.375" style="3178" customWidth="1"/>
    <col min="14093" max="14093" width="6.25" style="3178" customWidth="1"/>
    <col min="14094" max="14094" width="31" style="3178" customWidth="1"/>
    <col min="14095" max="14337" width="9" style="3178"/>
    <col min="14338" max="14338" width="34.375" style="3178" customWidth="1"/>
    <col min="14339" max="14339" width="6.25" style="3178" customWidth="1"/>
    <col min="14340" max="14340" width="7.875" style="3178" customWidth="1"/>
    <col min="14341" max="14342" width="13.875" style="3178" customWidth="1"/>
    <col min="14343" max="14343" width="19.875" style="3178" customWidth="1"/>
    <col min="14344" max="14344" width="7.875" style="3178" customWidth="1"/>
    <col min="14345" max="14345" width="9" style="3178" customWidth="1"/>
    <col min="14346" max="14347" width="10.625" style="3178" customWidth="1"/>
    <col min="14348" max="14348" width="14.375" style="3178" customWidth="1"/>
    <col min="14349" max="14349" width="6.25" style="3178" customWidth="1"/>
    <col min="14350" max="14350" width="31" style="3178" customWidth="1"/>
    <col min="14351" max="14593" width="9" style="3178"/>
    <col min="14594" max="14594" width="34.375" style="3178" customWidth="1"/>
    <col min="14595" max="14595" width="6.25" style="3178" customWidth="1"/>
    <col min="14596" max="14596" width="7.875" style="3178" customWidth="1"/>
    <col min="14597" max="14598" width="13.875" style="3178" customWidth="1"/>
    <col min="14599" max="14599" width="19.875" style="3178" customWidth="1"/>
    <col min="14600" max="14600" width="7.875" style="3178" customWidth="1"/>
    <col min="14601" max="14601" width="9" style="3178" customWidth="1"/>
    <col min="14602" max="14603" width="10.625" style="3178" customWidth="1"/>
    <col min="14604" max="14604" width="14.375" style="3178" customWidth="1"/>
    <col min="14605" max="14605" width="6.25" style="3178" customWidth="1"/>
    <col min="14606" max="14606" width="31" style="3178" customWidth="1"/>
    <col min="14607" max="14849" width="9" style="3178"/>
    <col min="14850" max="14850" width="34.375" style="3178" customWidth="1"/>
    <col min="14851" max="14851" width="6.25" style="3178" customWidth="1"/>
    <col min="14852" max="14852" width="7.875" style="3178" customWidth="1"/>
    <col min="14853" max="14854" width="13.875" style="3178" customWidth="1"/>
    <col min="14855" max="14855" width="19.875" style="3178" customWidth="1"/>
    <col min="14856" max="14856" width="7.875" style="3178" customWidth="1"/>
    <col min="14857" max="14857" width="9" style="3178" customWidth="1"/>
    <col min="14858" max="14859" width="10.625" style="3178" customWidth="1"/>
    <col min="14860" max="14860" width="14.375" style="3178" customWidth="1"/>
    <col min="14861" max="14861" width="6.25" style="3178" customWidth="1"/>
    <col min="14862" max="14862" width="31" style="3178" customWidth="1"/>
    <col min="14863" max="15105" width="9" style="3178"/>
    <col min="15106" max="15106" width="34.375" style="3178" customWidth="1"/>
    <col min="15107" max="15107" width="6.25" style="3178" customWidth="1"/>
    <col min="15108" max="15108" width="7.875" style="3178" customWidth="1"/>
    <col min="15109" max="15110" width="13.875" style="3178" customWidth="1"/>
    <col min="15111" max="15111" width="19.875" style="3178" customWidth="1"/>
    <col min="15112" max="15112" width="7.875" style="3178" customWidth="1"/>
    <col min="15113" max="15113" width="9" style="3178" customWidth="1"/>
    <col min="15114" max="15115" width="10.625" style="3178" customWidth="1"/>
    <col min="15116" max="15116" width="14.375" style="3178" customWidth="1"/>
    <col min="15117" max="15117" width="6.25" style="3178" customWidth="1"/>
    <col min="15118" max="15118" width="31" style="3178" customWidth="1"/>
    <col min="15119" max="15361" width="9" style="3178"/>
    <col min="15362" max="15362" width="34.375" style="3178" customWidth="1"/>
    <col min="15363" max="15363" width="6.25" style="3178" customWidth="1"/>
    <col min="15364" max="15364" width="7.875" style="3178" customWidth="1"/>
    <col min="15365" max="15366" width="13.875" style="3178" customWidth="1"/>
    <col min="15367" max="15367" width="19.875" style="3178" customWidth="1"/>
    <col min="15368" max="15368" width="7.875" style="3178" customWidth="1"/>
    <col min="15369" max="15369" width="9" style="3178" customWidth="1"/>
    <col min="15370" max="15371" width="10.625" style="3178" customWidth="1"/>
    <col min="15372" max="15372" width="14.375" style="3178" customWidth="1"/>
    <col min="15373" max="15373" width="6.25" style="3178" customWidth="1"/>
    <col min="15374" max="15374" width="31" style="3178" customWidth="1"/>
    <col min="15375" max="15617" width="9" style="3178"/>
    <col min="15618" max="15618" width="34.375" style="3178" customWidth="1"/>
    <col min="15619" max="15619" width="6.25" style="3178" customWidth="1"/>
    <col min="15620" max="15620" width="7.875" style="3178" customWidth="1"/>
    <col min="15621" max="15622" width="13.875" style="3178" customWidth="1"/>
    <col min="15623" max="15623" width="19.875" style="3178" customWidth="1"/>
    <col min="15624" max="15624" width="7.875" style="3178" customWidth="1"/>
    <col min="15625" max="15625" width="9" style="3178" customWidth="1"/>
    <col min="15626" max="15627" width="10.625" style="3178" customWidth="1"/>
    <col min="15628" max="15628" width="14.375" style="3178" customWidth="1"/>
    <col min="15629" max="15629" width="6.25" style="3178" customWidth="1"/>
    <col min="15630" max="15630" width="31" style="3178" customWidth="1"/>
    <col min="15631" max="15873" width="9" style="3178"/>
    <col min="15874" max="15874" width="34.375" style="3178" customWidth="1"/>
    <col min="15875" max="15875" width="6.25" style="3178" customWidth="1"/>
    <col min="15876" max="15876" width="7.875" style="3178" customWidth="1"/>
    <col min="15877" max="15878" width="13.875" style="3178" customWidth="1"/>
    <col min="15879" max="15879" width="19.875" style="3178" customWidth="1"/>
    <col min="15880" max="15880" width="7.875" style="3178" customWidth="1"/>
    <col min="15881" max="15881" width="9" style="3178" customWidth="1"/>
    <col min="15882" max="15883" width="10.625" style="3178" customWidth="1"/>
    <col min="15884" max="15884" width="14.375" style="3178" customWidth="1"/>
    <col min="15885" max="15885" width="6.25" style="3178" customWidth="1"/>
    <col min="15886" max="15886" width="31" style="3178" customWidth="1"/>
    <col min="15887" max="16129" width="9" style="3178"/>
    <col min="16130" max="16130" width="34.375" style="3178" customWidth="1"/>
    <col min="16131" max="16131" width="6.25" style="3178" customWidth="1"/>
    <col min="16132" max="16132" width="7.875" style="3178" customWidth="1"/>
    <col min="16133" max="16134" width="13.875" style="3178" customWidth="1"/>
    <col min="16135" max="16135" width="19.875" style="3178" customWidth="1"/>
    <col min="16136" max="16136" width="7.875" style="3178" customWidth="1"/>
    <col min="16137" max="16137" width="9" style="3178" customWidth="1"/>
    <col min="16138" max="16139" width="10.625" style="3178" customWidth="1"/>
    <col min="16140" max="16140" width="14.375" style="3178" customWidth="1"/>
    <col min="16141" max="16141" width="6.25" style="3178" customWidth="1"/>
    <col min="16142" max="16142" width="31" style="3178" customWidth="1"/>
    <col min="16143" max="16384" width="9" style="3178"/>
  </cols>
  <sheetData>
    <row r="1" spans="1:14">
      <c r="A1" s="3178" t="s">
        <v>2983</v>
      </c>
      <c r="B1" s="3178" t="s">
        <v>2984</v>
      </c>
      <c r="C1" s="3178" t="s">
        <v>2985</v>
      </c>
      <c r="D1" s="3178" t="s">
        <v>2986</v>
      </c>
      <c r="E1" s="3178" t="s">
        <v>2987</v>
      </c>
      <c r="F1" s="3178" t="s">
        <v>2035</v>
      </c>
      <c r="G1" s="3178" t="s">
        <v>2988</v>
      </c>
      <c r="H1" s="3178" t="s">
        <v>2989</v>
      </c>
      <c r="I1" s="3178" t="s">
        <v>2990</v>
      </c>
      <c r="J1" s="3178" t="s">
        <v>2991</v>
      </c>
      <c r="K1" s="3178" t="s">
        <v>2992</v>
      </c>
      <c r="L1" s="3180" t="s">
        <v>3143</v>
      </c>
      <c r="M1" s="3178" t="s">
        <v>2993</v>
      </c>
      <c r="N1" s="3178" t="s">
        <v>2994</v>
      </c>
    </row>
    <row r="2" spans="1:14" s="3179" customFormat="1">
      <c r="A2" s="3179" t="s">
        <v>2995</v>
      </c>
      <c r="B2" s="3179" t="s">
        <v>2996</v>
      </c>
      <c r="C2" s="3179" t="s">
        <v>2997</v>
      </c>
      <c r="D2" s="3179">
        <v>25829</v>
      </c>
      <c r="E2" s="3179">
        <v>41326.400000000001</v>
      </c>
      <c r="F2" s="3179" t="s">
        <v>2998</v>
      </c>
      <c r="G2" s="3179" t="s">
        <v>2999</v>
      </c>
      <c r="H2" s="3179" t="s">
        <v>3000</v>
      </c>
      <c r="I2" s="3179">
        <v>13000</v>
      </c>
      <c r="J2" s="3179">
        <v>26200</v>
      </c>
      <c r="K2" s="3179">
        <v>6339.77</v>
      </c>
      <c r="L2" s="3179">
        <f>ROUND(J2*10000/D2,0)</f>
        <v>10144</v>
      </c>
      <c r="M2" s="3179">
        <v>101.54</v>
      </c>
      <c r="N2" s="3179" t="s">
        <v>3001</v>
      </c>
    </row>
    <row r="3" spans="1:14">
      <c r="A3" s="3178" t="s">
        <v>3002</v>
      </c>
      <c r="B3" s="3178" t="s">
        <v>2996</v>
      </c>
      <c r="C3" s="3178" t="s">
        <v>2997</v>
      </c>
      <c r="D3" s="3178">
        <v>12681</v>
      </c>
      <c r="E3" s="3178">
        <v>15217.2</v>
      </c>
      <c r="F3" s="3178" t="s">
        <v>3003</v>
      </c>
      <c r="G3" s="3178" t="s">
        <v>2999</v>
      </c>
      <c r="H3" s="3178" t="s">
        <v>3004</v>
      </c>
      <c r="I3" s="3178">
        <v>600</v>
      </c>
      <c r="J3" s="3178">
        <v>930</v>
      </c>
      <c r="K3" s="3178">
        <v>611.14</v>
      </c>
      <c r="L3" s="3180">
        <f t="shared" ref="L3:L51" si="0">ROUND(J3*10000/D3,0)</f>
        <v>733</v>
      </c>
      <c r="M3" s="3178">
        <v>55</v>
      </c>
      <c r="N3" s="3178" t="s">
        <v>3005</v>
      </c>
    </row>
    <row r="4" spans="1:14">
      <c r="A4" s="3178" t="s">
        <v>3006</v>
      </c>
      <c r="B4" s="3178" t="s">
        <v>2996</v>
      </c>
      <c r="C4" s="3178" t="s">
        <v>2997</v>
      </c>
      <c r="D4" s="3178">
        <v>37390</v>
      </c>
      <c r="E4" s="3178">
        <v>56085</v>
      </c>
      <c r="F4" s="3178" t="s">
        <v>3007</v>
      </c>
      <c r="G4" s="3178" t="s">
        <v>2999</v>
      </c>
      <c r="H4" s="3178" t="s">
        <v>3008</v>
      </c>
      <c r="I4" s="3178">
        <v>13910</v>
      </c>
      <c r="J4" s="3178">
        <v>23910</v>
      </c>
      <c r="K4" s="3178">
        <v>4263.17</v>
      </c>
      <c r="L4" s="3180">
        <f t="shared" si="0"/>
        <v>6395</v>
      </c>
      <c r="M4" s="3178">
        <v>71.89</v>
      </c>
      <c r="N4" s="3178" t="s">
        <v>3009</v>
      </c>
    </row>
    <row r="5" spans="1:14">
      <c r="A5" s="3178" t="s">
        <v>3010</v>
      </c>
      <c r="B5" s="3178" t="s">
        <v>2996</v>
      </c>
      <c r="C5" s="3178" t="s">
        <v>2997</v>
      </c>
      <c r="D5" s="3178">
        <v>50159</v>
      </c>
      <c r="E5" s="3178">
        <v>80254.399999999994</v>
      </c>
      <c r="F5" s="3178" t="s">
        <v>3011</v>
      </c>
      <c r="G5" s="3178" t="s">
        <v>2999</v>
      </c>
      <c r="H5" s="3178" t="s">
        <v>3012</v>
      </c>
      <c r="I5" s="3178">
        <v>8440</v>
      </c>
      <c r="J5" s="3178">
        <v>12640</v>
      </c>
      <c r="K5" s="3178">
        <v>1574.99</v>
      </c>
      <c r="L5" s="3180">
        <f t="shared" si="0"/>
        <v>2520</v>
      </c>
      <c r="M5" s="3178">
        <v>49.76</v>
      </c>
      <c r="N5" s="3178" t="s">
        <v>3013</v>
      </c>
    </row>
    <row r="6" spans="1:14">
      <c r="A6" s="3178" t="s">
        <v>3014</v>
      </c>
      <c r="B6" s="3178" t="s">
        <v>2996</v>
      </c>
      <c r="C6" s="3178" t="s">
        <v>2997</v>
      </c>
      <c r="D6" s="3178">
        <v>52056</v>
      </c>
      <c r="E6" s="3178">
        <v>52576.56</v>
      </c>
      <c r="F6" s="3178" t="s">
        <v>3015</v>
      </c>
      <c r="G6" s="3178" t="s">
        <v>2999</v>
      </c>
      <c r="H6" s="3178" t="s">
        <v>3016</v>
      </c>
      <c r="I6" s="3178">
        <v>12436</v>
      </c>
      <c r="J6" s="3178">
        <v>12436</v>
      </c>
      <c r="K6" s="3178">
        <v>2365.3000000000002</v>
      </c>
      <c r="L6" s="3180">
        <f t="shared" si="0"/>
        <v>2389</v>
      </c>
      <c r="M6" s="3178">
        <v>0</v>
      </c>
      <c r="N6" s="3178" t="s">
        <v>3017</v>
      </c>
    </row>
    <row r="7" spans="1:14">
      <c r="A7" s="3178" t="s">
        <v>3018</v>
      </c>
      <c r="B7" s="3178" t="s">
        <v>2996</v>
      </c>
      <c r="C7" s="3178" t="s">
        <v>2997</v>
      </c>
      <c r="D7" s="3178">
        <v>25903</v>
      </c>
      <c r="E7" s="3178">
        <v>26162.03</v>
      </c>
      <c r="F7" s="3178" t="s">
        <v>3015</v>
      </c>
      <c r="G7" s="3178" t="s">
        <v>2999</v>
      </c>
      <c r="H7" s="3178" t="s">
        <v>3016</v>
      </c>
      <c r="I7" s="3178">
        <v>6198</v>
      </c>
      <c r="J7" s="3178">
        <v>6198</v>
      </c>
      <c r="K7" s="3178">
        <v>2369.0700000000002</v>
      </c>
      <c r="L7" s="3180">
        <f t="shared" si="0"/>
        <v>2393</v>
      </c>
      <c r="M7" s="3178">
        <v>0</v>
      </c>
      <c r="N7" s="3178" t="s">
        <v>3017</v>
      </c>
    </row>
    <row r="8" spans="1:14">
      <c r="A8" s="3178" t="s">
        <v>3019</v>
      </c>
      <c r="B8" s="3178" t="s">
        <v>2996</v>
      </c>
      <c r="C8" s="3178" t="s">
        <v>2997</v>
      </c>
      <c r="D8" s="3178">
        <v>51488</v>
      </c>
      <c r="E8" s="3178">
        <v>52002.879999999997</v>
      </c>
      <c r="F8" s="3178" t="s">
        <v>3015</v>
      </c>
      <c r="G8" s="3178" t="s">
        <v>2999</v>
      </c>
      <c r="H8" s="3178" t="s">
        <v>3016</v>
      </c>
      <c r="I8" s="3178">
        <v>12300</v>
      </c>
      <c r="J8" s="3178">
        <v>12300</v>
      </c>
      <c r="K8" s="3178">
        <v>2365.25</v>
      </c>
      <c r="L8" s="3180">
        <f t="shared" si="0"/>
        <v>2389</v>
      </c>
      <c r="M8" s="3178">
        <v>0</v>
      </c>
      <c r="N8" s="3178" t="s">
        <v>3017</v>
      </c>
    </row>
    <row r="9" spans="1:14">
      <c r="A9" s="3178" t="s">
        <v>3020</v>
      </c>
      <c r="B9" s="3178" t="s">
        <v>2996</v>
      </c>
      <c r="C9" s="3178" t="s">
        <v>2997</v>
      </c>
      <c r="D9" s="3178">
        <v>31736</v>
      </c>
      <c r="E9" s="3178">
        <v>41256.800000000003</v>
      </c>
      <c r="F9" s="3178" t="s">
        <v>3021</v>
      </c>
      <c r="G9" s="3178" t="s">
        <v>2999</v>
      </c>
      <c r="H9" s="3178" t="s">
        <v>3022</v>
      </c>
      <c r="I9" s="3178">
        <v>4910</v>
      </c>
      <c r="J9" s="3178">
        <v>4910</v>
      </c>
      <c r="K9" s="3178">
        <v>1190.0999999999999</v>
      </c>
      <c r="L9" s="3180">
        <f t="shared" si="0"/>
        <v>1547</v>
      </c>
      <c r="M9" s="3178">
        <v>0</v>
      </c>
      <c r="N9" s="3178" t="s">
        <v>3023</v>
      </c>
    </row>
    <row r="10" spans="1:14">
      <c r="A10" s="3178" t="s">
        <v>3024</v>
      </c>
      <c r="B10" s="3178" t="s">
        <v>2996</v>
      </c>
      <c r="C10" s="3178" t="s">
        <v>2997</v>
      </c>
      <c r="D10" s="3178">
        <v>41411</v>
      </c>
      <c r="E10" s="3178">
        <v>57975.4</v>
      </c>
      <c r="F10" s="3178" t="s">
        <v>3025</v>
      </c>
      <c r="G10" s="3178" t="s">
        <v>2999</v>
      </c>
      <c r="H10" s="3178" t="s">
        <v>3022</v>
      </c>
      <c r="I10" s="3178">
        <v>6860</v>
      </c>
      <c r="J10" s="3178">
        <v>6860</v>
      </c>
      <c r="K10" s="3178">
        <v>1183.25</v>
      </c>
      <c r="L10" s="3180">
        <f t="shared" si="0"/>
        <v>1657</v>
      </c>
      <c r="M10" s="3178">
        <v>0</v>
      </c>
      <c r="N10" s="3178" t="s">
        <v>3023</v>
      </c>
    </row>
    <row r="11" spans="1:14">
      <c r="A11" s="3178" t="s">
        <v>3026</v>
      </c>
      <c r="B11" s="3178" t="s">
        <v>2996</v>
      </c>
      <c r="C11" s="3178" t="s">
        <v>2997</v>
      </c>
      <c r="D11" s="3178">
        <v>57646</v>
      </c>
      <c r="E11" s="3178">
        <v>69175.199999999997</v>
      </c>
      <c r="F11" s="3178" t="s">
        <v>3027</v>
      </c>
      <c r="G11" s="3178" t="s">
        <v>2999</v>
      </c>
      <c r="H11" s="3178" t="s">
        <v>3028</v>
      </c>
      <c r="I11" s="3178">
        <v>11080</v>
      </c>
      <c r="J11" s="3178">
        <v>11380</v>
      </c>
      <c r="K11" s="3178">
        <v>1645.09</v>
      </c>
      <c r="L11" s="3180">
        <f t="shared" si="0"/>
        <v>1974</v>
      </c>
      <c r="M11" s="3178">
        <v>2.71</v>
      </c>
      <c r="N11" s="3178" t="s">
        <v>3029</v>
      </c>
    </row>
    <row r="12" spans="1:14">
      <c r="A12" s="3178" t="s">
        <v>3030</v>
      </c>
      <c r="B12" s="3178" t="s">
        <v>2996</v>
      </c>
      <c r="C12" s="3178" t="s">
        <v>2997</v>
      </c>
      <c r="D12" s="3178">
        <v>60990</v>
      </c>
      <c r="E12" s="3178">
        <v>73188</v>
      </c>
      <c r="F12" s="3178" t="s">
        <v>3027</v>
      </c>
      <c r="G12" s="3178" t="s">
        <v>2999</v>
      </c>
      <c r="H12" s="3178" t="s">
        <v>3028</v>
      </c>
      <c r="I12" s="3178">
        <v>11730</v>
      </c>
      <c r="J12" s="3178">
        <v>11730</v>
      </c>
      <c r="K12" s="3178">
        <v>1602.72</v>
      </c>
      <c r="L12" s="3180">
        <f t="shared" si="0"/>
        <v>1923</v>
      </c>
      <c r="M12" s="3178">
        <v>0</v>
      </c>
      <c r="N12" s="3178" t="s">
        <v>3029</v>
      </c>
    </row>
    <row r="13" spans="1:14">
      <c r="A13" s="3178" t="s">
        <v>3031</v>
      </c>
      <c r="B13" s="3178" t="s">
        <v>2996</v>
      </c>
      <c r="C13" s="3178" t="s">
        <v>2997</v>
      </c>
      <c r="D13" s="3178">
        <v>31035</v>
      </c>
      <c r="E13" s="3178">
        <v>58966.5</v>
      </c>
      <c r="F13" s="3178" t="s">
        <v>3032</v>
      </c>
      <c r="G13" s="3178" t="s">
        <v>2999</v>
      </c>
      <c r="H13" s="3178" t="s">
        <v>3033</v>
      </c>
      <c r="I13" s="3178">
        <v>18885</v>
      </c>
      <c r="J13" s="3178">
        <v>21285</v>
      </c>
      <c r="K13" s="3178">
        <v>3609.67</v>
      </c>
      <c r="L13" s="3180">
        <f t="shared" si="0"/>
        <v>6858</v>
      </c>
      <c r="M13" s="3178">
        <v>12.71</v>
      </c>
      <c r="N13" s="3178" t="s">
        <v>3034</v>
      </c>
    </row>
    <row r="14" spans="1:14" s="3181" customFormat="1">
      <c r="A14" s="3181" t="s">
        <v>3035</v>
      </c>
      <c r="B14" s="3181" t="s">
        <v>2996</v>
      </c>
      <c r="C14" s="3181" t="s">
        <v>2997</v>
      </c>
      <c r="D14" s="3181">
        <v>16991</v>
      </c>
      <c r="E14" s="3181">
        <v>50973</v>
      </c>
      <c r="F14" s="3181" t="s">
        <v>3036</v>
      </c>
      <c r="G14" s="3181" t="s">
        <v>2999</v>
      </c>
      <c r="H14" s="3181" t="s">
        <v>3033</v>
      </c>
      <c r="I14" s="3181">
        <v>12626</v>
      </c>
      <c r="J14" s="3181">
        <v>14426</v>
      </c>
      <c r="K14" s="3181">
        <v>2830.13</v>
      </c>
      <c r="L14" s="3182">
        <f t="shared" si="0"/>
        <v>8490</v>
      </c>
      <c r="M14" s="3181">
        <v>14.26</v>
      </c>
      <c r="N14" s="3181" t="s">
        <v>3034</v>
      </c>
    </row>
    <row r="15" spans="1:14">
      <c r="A15" s="3178" t="s">
        <v>3037</v>
      </c>
      <c r="B15" s="3178" t="s">
        <v>2996</v>
      </c>
      <c r="C15" s="3178" t="s">
        <v>2997</v>
      </c>
      <c r="D15" s="3178">
        <v>36745</v>
      </c>
      <c r="E15" s="3178">
        <v>69815.5</v>
      </c>
      <c r="F15" s="3178" t="s">
        <v>3032</v>
      </c>
      <c r="G15" s="3178" t="s">
        <v>2999</v>
      </c>
      <c r="H15" s="3178" t="s">
        <v>3033</v>
      </c>
      <c r="I15" s="3178">
        <v>20820</v>
      </c>
      <c r="J15" s="3178">
        <v>23220</v>
      </c>
      <c r="K15" s="3178">
        <v>3325.9</v>
      </c>
      <c r="L15" s="3180">
        <f t="shared" si="0"/>
        <v>6319</v>
      </c>
      <c r="M15" s="3178">
        <v>11.53</v>
      </c>
      <c r="N15" s="3178" t="s">
        <v>3038</v>
      </c>
    </row>
    <row r="16" spans="1:14">
      <c r="A16" s="3178" t="s">
        <v>3039</v>
      </c>
      <c r="B16" s="3178" t="s">
        <v>2996</v>
      </c>
      <c r="C16" s="3178" t="s">
        <v>2997</v>
      </c>
      <c r="D16" s="3178">
        <v>58161</v>
      </c>
      <c r="E16" s="3178">
        <v>110505.9</v>
      </c>
      <c r="F16" s="3178" t="s">
        <v>3032</v>
      </c>
      <c r="G16" s="3178" t="s">
        <v>2999</v>
      </c>
      <c r="H16" s="3178" t="s">
        <v>3033</v>
      </c>
      <c r="I16" s="3178">
        <v>38300</v>
      </c>
      <c r="J16" s="3178">
        <v>40700</v>
      </c>
      <c r="K16" s="3178">
        <v>3683.05</v>
      </c>
      <c r="L16" s="3180">
        <f t="shared" si="0"/>
        <v>6998</v>
      </c>
      <c r="M16" s="3178">
        <v>6.27</v>
      </c>
      <c r="N16" s="3178" t="s">
        <v>3038</v>
      </c>
    </row>
    <row r="17" spans="1:14" s="3181" customFormat="1">
      <c r="A17" s="3181" t="s">
        <v>3281</v>
      </c>
      <c r="B17" s="3181" t="s">
        <v>2996</v>
      </c>
      <c r="C17" s="3181" t="s">
        <v>2997</v>
      </c>
      <c r="D17" s="3181">
        <v>14537</v>
      </c>
      <c r="E17" s="3181">
        <v>43611</v>
      </c>
      <c r="F17" s="3181" t="s">
        <v>3036</v>
      </c>
      <c r="G17" s="3181" t="s">
        <v>2999</v>
      </c>
      <c r="H17" s="3181" t="s">
        <v>3033</v>
      </c>
      <c r="I17" s="3181">
        <v>10650</v>
      </c>
      <c r="J17" s="3181">
        <v>12750</v>
      </c>
      <c r="K17" s="3181">
        <v>2923.57</v>
      </c>
      <c r="L17" s="3182">
        <f t="shared" si="0"/>
        <v>8771</v>
      </c>
      <c r="M17" s="3181">
        <v>19.72</v>
      </c>
      <c r="N17" s="3181" t="s">
        <v>3034</v>
      </c>
    </row>
    <row r="18" spans="1:14">
      <c r="A18" s="3178" t="s">
        <v>3040</v>
      </c>
      <c r="B18" s="3178" t="s">
        <v>2996</v>
      </c>
      <c r="C18" s="3178" t="s">
        <v>2997</v>
      </c>
      <c r="D18" s="3178">
        <v>47963</v>
      </c>
      <c r="E18" s="3178">
        <v>95926</v>
      </c>
      <c r="F18" s="3178" t="s">
        <v>3041</v>
      </c>
      <c r="G18" s="3178" t="s">
        <v>2999</v>
      </c>
      <c r="H18" s="3178" t="s">
        <v>3042</v>
      </c>
      <c r="I18" s="3178">
        <v>5300</v>
      </c>
      <c r="J18" s="3178">
        <v>8800</v>
      </c>
      <c r="K18" s="3178">
        <v>917.37</v>
      </c>
      <c r="L18" s="3180">
        <f t="shared" si="0"/>
        <v>1835</v>
      </c>
      <c r="M18" s="3178">
        <v>66.040000000000006</v>
      </c>
      <c r="N18" s="3178" t="s">
        <v>3005</v>
      </c>
    </row>
    <row r="19" spans="1:14" s="3183" customFormat="1">
      <c r="A19" s="3183" t="s">
        <v>3043</v>
      </c>
      <c r="B19" s="3183" t="s">
        <v>2996</v>
      </c>
      <c r="C19" s="3183" t="s">
        <v>2997</v>
      </c>
      <c r="D19" s="3183">
        <v>60210</v>
      </c>
      <c r="E19" s="3183">
        <v>108378</v>
      </c>
      <c r="F19" s="3183" t="s">
        <v>3044</v>
      </c>
      <c r="G19" s="3183" t="s">
        <v>2999</v>
      </c>
      <c r="H19" s="3183" t="s">
        <v>3045</v>
      </c>
      <c r="I19" s="3183">
        <v>23850</v>
      </c>
      <c r="J19" s="3183">
        <v>55650</v>
      </c>
      <c r="K19" s="3183">
        <v>5134.8100000000004</v>
      </c>
      <c r="L19" s="3184">
        <f t="shared" si="0"/>
        <v>9243</v>
      </c>
      <c r="M19" s="3183">
        <v>133.33000000000001</v>
      </c>
      <c r="N19" s="3183" t="s">
        <v>3046</v>
      </c>
    </row>
    <row r="20" spans="1:14">
      <c r="A20" s="3178" t="s">
        <v>3047</v>
      </c>
      <c r="B20" s="3178" t="s">
        <v>2996</v>
      </c>
      <c r="C20" s="3178" t="s">
        <v>2997</v>
      </c>
      <c r="D20" s="3178">
        <v>11229</v>
      </c>
      <c r="E20" s="3178">
        <v>13474.8</v>
      </c>
      <c r="F20" s="3178" t="s">
        <v>3048</v>
      </c>
      <c r="G20" s="3178" t="s">
        <v>2999</v>
      </c>
      <c r="H20" s="3178" t="s">
        <v>3049</v>
      </c>
      <c r="I20" s="3178">
        <v>604</v>
      </c>
      <c r="J20" s="3178">
        <v>994</v>
      </c>
      <c r="K20" s="3178">
        <v>737.66</v>
      </c>
      <c r="L20" s="3180">
        <f t="shared" si="0"/>
        <v>885</v>
      </c>
      <c r="M20" s="3178">
        <v>64.569999999999993</v>
      </c>
      <c r="N20" s="3178" t="s">
        <v>3050</v>
      </c>
    </row>
    <row r="21" spans="1:14">
      <c r="A21" s="3178" t="s">
        <v>3051</v>
      </c>
      <c r="B21" s="3178" t="s">
        <v>2996</v>
      </c>
      <c r="C21" s="3178" t="s">
        <v>2997</v>
      </c>
      <c r="D21" s="3178">
        <v>68940</v>
      </c>
      <c r="E21" s="3178">
        <v>103410</v>
      </c>
      <c r="F21" s="3178" t="s">
        <v>3052</v>
      </c>
      <c r="G21" s="3178" t="s">
        <v>2999</v>
      </c>
      <c r="H21" s="3178" t="s">
        <v>3053</v>
      </c>
      <c r="I21" s="3178">
        <v>12890</v>
      </c>
      <c r="J21" s="3178">
        <v>24290</v>
      </c>
      <c r="K21" s="3178">
        <v>2348.9</v>
      </c>
      <c r="L21" s="3180">
        <f t="shared" si="0"/>
        <v>3523</v>
      </c>
      <c r="M21" s="3178">
        <v>88.44</v>
      </c>
      <c r="N21" s="3178" t="s">
        <v>3054</v>
      </c>
    </row>
    <row r="22" spans="1:14">
      <c r="A22" s="3178" t="s">
        <v>3055</v>
      </c>
      <c r="B22" s="3178" t="s">
        <v>2996</v>
      </c>
      <c r="C22" s="3178" t="s">
        <v>2997</v>
      </c>
      <c r="D22" s="3178">
        <v>15307</v>
      </c>
      <c r="E22" s="3178">
        <v>16837.7</v>
      </c>
      <c r="F22" s="3178" t="s">
        <v>3056</v>
      </c>
      <c r="G22" s="3178" t="s">
        <v>2999</v>
      </c>
      <c r="H22" s="3178" t="s">
        <v>3057</v>
      </c>
      <c r="I22" s="3178">
        <v>2220</v>
      </c>
      <c r="J22" s="3178">
        <v>2220</v>
      </c>
      <c r="K22" s="3178">
        <v>1318.47</v>
      </c>
      <c r="L22" s="3180">
        <f t="shared" si="0"/>
        <v>1450</v>
      </c>
      <c r="M22" s="3178">
        <v>0</v>
      </c>
      <c r="N22" s="3178" t="s">
        <v>3058</v>
      </c>
    </row>
    <row r="23" spans="1:14">
      <c r="A23" s="3178" t="s">
        <v>3059</v>
      </c>
      <c r="B23" s="3178" t="s">
        <v>2996</v>
      </c>
      <c r="C23" s="3178" t="s">
        <v>2997</v>
      </c>
      <c r="D23" s="3178">
        <v>3856</v>
      </c>
      <c r="E23" s="3178">
        <v>7326.4</v>
      </c>
      <c r="F23" s="3178" t="s">
        <v>3060</v>
      </c>
      <c r="G23" s="3178" t="s">
        <v>2999</v>
      </c>
      <c r="H23" s="3178" t="s">
        <v>3061</v>
      </c>
      <c r="I23" s="3178">
        <v>182</v>
      </c>
      <c r="J23" s="3178">
        <v>202</v>
      </c>
      <c r="K23" s="3178">
        <v>275.72000000000003</v>
      </c>
      <c r="L23" s="3180">
        <f t="shared" si="0"/>
        <v>524</v>
      </c>
      <c r="M23" s="3178">
        <v>10.99</v>
      </c>
      <c r="N23" s="3178" t="s">
        <v>3062</v>
      </c>
    </row>
    <row r="24" spans="1:14" s="3183" customFormat="1">
      <c r="A24" s="3183" t="s">
        <v>3063</v>
      </c>
      <c r="B24" s="3183" t="s">
        <v>2996</v>
      </c>
      <c r="C24" s="3183" t="s">
        <v>2997</v>
      </c>
      <c r="D24" s="3183">
        <v>69921</v>
      </c>
      <c r="E24" s="3183">
        <v>83905.2</v>
      </c>
      <c r="F24" s="3183" t="s">
        <v>3027</v>
      </c>
      <c r="G24" s="3183" t="s">
        <v>2999</v>
      </c>
      <c r="H24" s="3183" t="s">
        <v>3064</v>
      </c>
      <c r="I24" s="3183">
        <v>31140</v>
      </c>
      <c r="J24" s="3183">
        <v>50940</v>
      </c>
      <c r="K24" s="3183">
        <v>6071.14</v>
      </c>
      <c r="L24" s="3184">
        <f t="shared" si="0"/>
        <v>7285</v>
      </c>
      <c r="M24" s="3183">
        <v>63.58</v>
      </c>
      <c r="N24" s="3183" t="s">
        <v>3065</v>
      </c>
    </row>
    <row r="25" spans="1:14" s="3183" customFormat="1">
      <c r="A25" s="3183" t="s">
        <v>3066</v>
      </c>
      <c r="B25" s="3183" t="s">
        <v>2996</v>
      </c>
      <c r="C25" s="3183" t="s">
        <v>2997</v>
      </c>
      <c r="D25" s="3183">
        <v>60434</v>
      </c>
      <c r="E25" s="3183">
        <v>72520.800000000003</v>
      </c>
      <c r="F25" s="3183" t="s">
        <v>3027</v>
      </c>
      <c r="G25" s="3183" t="s">
        <v>2999</v>
      </c>
      <c r="H25" s="3183" t="s">
        <v>3064</v>
      </c>
      <c r="I25" s="3183">
        <v>30950</v>
      </c>
      <c r="J25" s="3183">
        <v>44450</v>
      </c>
      <c r="K25" s="3183">
        <v>6129.27</v>
      </c>
      <c r="L25" s="3184">
        <f t="shared" si="0"/>
        <v>7355</v>
      </c>
      <c r="M25" s="3183">
        <v>43.62</v>
      </c>
      <c r="N25" s="3183" t="s">
        <v>3067</v>
      </c>
    </row>
    <row r="26" spans="1:14">
      <c r="A26" s="3178" t="s">
        <v>3068</v>
      </c>
      <c r="B26" s="3178" t="s">
        <v>2996</v>
      </c>
      <c r="C26" s="3178" t="s">
        <v>2997</v>
      </c>
      <c r="D26" s="3178">
        <v>16144</v>
      </c>
      <c r="E26" s="3178">
        <v>20987.200000000001</v>
      </c>
      <c r="F26" s="3178" t="s">
        <v>3069</v>
      </c>
      <c r="G26" s="3178" t="s">
        <v>2999</v>
      </c>
      <c r="H26" s="3178" t="s">
        <v>3070</v>
      </c>
      <c r="I26" s="3178">
        <v>5050</v>
      </c>
      <c r="J26" s="3178">
        <v>5450</v>
      </c>
      <c r="K26" s="3178">
        <v>2596.8200000000002</v>
      </c>
      <c r="L26" s="3180">
        <f t="shared" si="0"/>
        <v>3376</v>
      </c>
      <c r="M26" s="3178">
        <v>7.92</v>
      </c>
      <c r="N26" s="3178" t="s">
        <v>3071</v>
      </c>
    </row>
    <row r="27" spans="1:14">
      <c r="A27" s="3178" t="s">
        <v>3072</v>
      </c>
      <c r="B27" s="3178" t="s">
        <v>2996</v>
      </c>
      <c r="C27" s="3178" t="s">
        <v>2997</v>
      </c>
      <c r="D27" s="3178">
        <v>60709</v>
      </c>
      <c r="E27" s="3178">
        <v>66779.899999999994</v>
      </c>
      <c r="F27" s="3178" t="s">
        <v>3056</v>
      </c>
      <c r="G27" s="3178" t="s">
        <v>2999</v>
      </c>
      <c r="H27" s="3178" t="s">
        <v>3073</v>
      </c>
      <c r="I27" s="3178">
        <v>10650</v>
      </c>
      <c r="J27" s="3178">
        <v>10650</v>
      </c>
      <c r="K27" s="3178">
        <v>1594.78</v>
      </c>
      <c r="L27" s="3180">
        <f t="shared" si="0"/>
        <v>1754</v>
      </c>
      <c r="M27" s="3178">
        <v>0</v>
      </c>
      <c r="N27" s="3178" t="s">
        <v>3023</v>
      </c>
    </row>
    <row r="28" spans="1:14">
      <c r="A28" s="3178" t="s">
        <v>3047</v>
      </c>
      <c r="B28" s="3178" t="s">
        <v>2996</v>
      </c>
      <c r="C28" s="3178" t="s">
        <v>2997</v>
      </c>
      <c r="D28" s="3178">
        <v>12617</v>
      </c>
      <c r="E28" s="3178">
        <v>31542.5</v>
      </c>
      <c r="F28" s="3178" t="s">
        <v>3074</v>
      </c>
      <c r="G28" s="3178" t="s">
        <v>2999</v>
      </c>
      <c r="H28" s="3178" t="s">
        <v>3075</v>
      </c>
      <c r="I28" s="3178">
        <v>640</v>
      </c>
      <c r="J28" s="3178">
        <v>2890</v>
      </c>
      <c r="K28" s="3178">
        <v>916.22</v>
      </c>
      <c r="L28" s="3180">
        <f t="shared" si="0"/>
        <v>2291</v>
      </c>
      <c r="M28" s="3178">
        <v>351.56</v>
      </c>
      <c r="N28" s="3178" t="s">
        <v>3076</v>
      </c>
    </row>
    <row r="29" spans="1:14">
      <c r="A29" s="3178" t="s">
        <v>3077</v>
      </c>
      <c r="B29" s="3178" t="s">
        <v>2996</v>
      </c>
      <c r="C29" s="3178" t="s">
        <v>2997</v>
      </c>
      <c r="D29" s="3178">
        <v>1590</v>
      </c>
      <c r="E29" s="3178">
        <v>1669.5</v>
      </c>
      <c r="F29" s="3178" t="s">
        <v>3078</v>
      </c>
      <c r="G29" s="3178" t="s">
        <v>2999</v>
      </c>
      <c r="H29" s="3178" t="s">
        <v>3079</v>
      </c>
      <c r="I29" s="3178">
        <v>192</v>
      </c>
      <c r="J29" s="3178">
        <v>192</v>
      </c>
      <c r="K29" s="3178">
        <v>1150.03</v>
      </c>
      <c r="L29" s="3180">
        <f t="shared" si="0"/>
        <v>1208</v>
      </c>
      <c r="M29" s="3178">
        <v>0</v>
      </c>
      <c r="N29" s="3178" t="s">
        <v>3080</v>
      </c>
    </row>
    <row r="30" spans="1:14">
      <c r="A30" s="3178" t="s">
        <v>3081</v>
      </c>
      <c r="B30" s="3178" t="s">
        <v>2996</v>
      </c>
      <c r="C30" s="3178" t="s">
        <v>2997</v>
      </c>
      <c r="D30" s="3178">
        <v>24970</v>
      </c>
      <c r="E30" s="3178">
        <v>37455</v>
      </c>
      <c r="F30" s="3178" t="s">
        <v>3052</v>
      </c>
      <c r="G30" s="3178" t="s">
        <v>2999</v>
      </c>
      <c r="H30" s="3178" t="s">
        <v>3082</v>
      </c>
      <c r="I30" s="3178">
        <v>3990</v>
      </c>
      <c r="J30" s="3178">
        <v>3990</v>
      </c>
      <c r="K30" s="3178">
        <v>1065.27</v>
      </c>
      <c r="L30" s="3180">
        <f t="shared" si="0"/>
        <v>1598</v>
      </c>
      <c r="M30" s="3178">
        <v>0</v>
      </c>
      <c r="N30" s="3178" t="s">
        <v>3083</v>
      </c>
    </row>
    <row r="31" spans="1:14">
      <c r="A31" s="3178" t="s">
        <v>3084</v>
      </c>
      <c r="B31" s="3178" t="s">
        <v>2996</v>
      </c>
      <c r="C31" s="3178" t="s">
        <v>2997</v>
      </c>
      <c r="D31" s="3178">
        <v>44846</v>
      </c>
      <c r="E31" s="3178">
        <v>45294.46</v>
      </c>
      <c r="F31" s="3178">
        <v>1.01</v>
      </c>
      <c r="G31" s="3178" t="s">
        <v>2999</v>
      </c>
      <c r="H31" s="3178" t="s">
        <v>3085</v>
      </c>
      <c r="I31" s="3178">
        <v>15100</v>
      </c>
      <c r="J31" s="3178">
        <v>15100</v>
      </c>
      <c r="K31" s="3178">
        <v>3333.73</v>
      </c>
      <c r="L31" s="3180">
        <f t="shared" si="0"/>
        <v>3367</v>
      </c>
      <c r="M31" s="3178">
        <v>0</v>
      </c>
      <c r="N31" s="3178" t="s">
        <v>3086</v>
      </c>
    </row>
    <row r="32" spans="1:14">
      <c r="A32" s="3178" t="s">
        <v>3087</v>
      </c>
      <c r="B32" s="3178" t="s">
        <v>2996</v>
      </c>
      <c r="C32" s="3178" t="s">
        <v>2997</v>
      </c>
      <c r="D32" s="3178">
        <v>30138</v>
      </c>
      <c r="E32" s="3178">
        <v>30439.38</v>
      </c>
      <c r="F32" s="3178">
        <v>1.01</v>
      </c>
      <c r="G32" s="3178" t="s">
        <v>2999</v>
      </c>
      <c r="H32" s="3178" t="s">
        <v>3085</v>
      </c>
      <c r="I32" s="3178">
        <v>10200</v>
      </c>
      <c r="J32" s="3178">
        <v>10200</v>
      </c>
      <c r="K32" s="3178">
        <v>3350.92</v>
      </c>
      <c r="L32" s="3180">
        <f t="shared" si="0"/>
        <v>3384</v>
      </c>
      <c r="M32" s="3178">
        <v>0</v>
      </c>
      <c r="N32" s="3178" t="s">
        <v>3086</v>
      </c>
    </row>
    <row r="33" spans="1:14">
      <c r="A33" s="3178" t="s">
        <v>3088</v>
      </c>
      <c r="B33" s="3178" t="s">
        <v>2996</v>
      </c>
      <c r="C33" s="3178" t="s">
        <v>2997</v>
      </c>
      <c r="D33" s="3178">
        <v>37161</v>
      </c>
      <c r="E33" s="3178">
        <v>37532.61</v>
      </c>
      <c r="F33" s="3178">
        <v>1.01</v>
      </c>
      <c r="G33" s="3178" t="s">
        <v>2999</v>
      </c>
      <c r="H33" s="3178" t="s">
        <v>3085</v>
      </c>
      <c r="I33" s="3178">
        <v>12500</v>
      </c>
      <c r="J33" s="3178">
        <v>12500</v>
      </c>
      <c r="K33" s="3178">
        <v>3330.44</v>
      </c>
      <c r="L33" s="3180">
        <f t="shared" si="0"/>
        <v>3364</v>
      </c>
      <c r="M33" s="3178">
        <v>0</v>
      </c>
      <c r="N33" s="3178" t="s">
        <v>3086</v>
      </c>
    </row>
    <row r="34" spans="1:14">
      <c r="A34" s="3178" t="s">
        <v>3089</v>
      </c>
      <c r="B34" s="3178" t="s">
        <v>2996</v>
      </c>
      <c r="C34" s="3178" t="s">
        <v>2997</v>
      </c>
      <c r="D34" s="3178">
        <v>45894</v>
      </c>
      <c r="E34" s="3178">
        <v>57367.5</v>
      </c>
      <c r="F34" s="3178" t="s">
        <v>3090</v>
      </c>
      <c r="G34" s="3178" t="s">
        <v>2999</v>
      </c>
      <c r="H34" s="3178" t="s">
        <v>3091</v>
      </c>
      <c r="I34" s="3178">
        <v>2750</v>
      </c>
      <c r="J34" s="3178">
        <v>3650</v>
      </c>
      <c r="K34" s="3178">
        <v>636.25</v>
      </c>
      <c r="L34" s="3180">
        <f t="shared" si="0"/>
        <v>795</v>
      </c>
      <c r="M34" s="3178">
        <v>32.729999999999997</v>
      </c>
      <c r="N34" s="3178" t="s">
        <v>3092</v>
      </c>
    </row>
    <row r="35" spans="1:14">
      <c r="A35" s="3178" t="s">
        <v>3093</v>
      </c>
      <c r="B35" s="3178" t="s">
        <v>2996</v>
      </c>
      <c r="C35" s="3178" t="s">
        <v>2997</v>
      </c>
      <c r="D35" s="3178">
        <v>20589</v>
      </c>
      <c r="E35" s="3178">
        <v>29442.27</v>
      </c>
      <c r="F35" s="3178" t="s">
        <v>3094</v>
      </c>
      <c r="G35" s="3178" t="s">
        <v>2999</v>
      </c>
      <c r="H35" s="3178" t="s">
        <v>3095</v>
      </c>
      <c r="I35" s="3178">
        <v>1080</v>
      </c>
      <c r="J35" s="3178">
        <v>2930</v>
      </c>
      <c r="K35" s="3178">
        <v>995.16</v>
      </c>
      <c r="L35" s="3180">
        <f t="shared" si="0"/>
        <v>1423</v>
      </c>
      <c r="M35" s="3178">
        <v>171.3</v>
      </c>
      <c r="N35" s="3178" t="s">
        <v>3096</v>
      </c>
    </row>
    <row r="36" spans="1:14">
      <c r="A36" s="3178" t="s">
        <v>3097</v>
      </c>
      <c r="B36" s="3178" t="s">
        <v>2996</v>
      </c>
      <c r="C36" s="3178" t="s">
        <v>2997</v>
      </c>
      <c r="D36" s="3178">
        <v>18300</v>
      </c>
      <c r="E36" s="3178">
        <v>40260</v>
      </c>
      <c r="F36" s="3178" t="s">
        <v>3098</v>
      </c>
      <c r="G36" s="3178" t="s">
        <v>2999</v>
      </c>
      <c r="H36" s="3178" t="s">
        <v>3099</v>
      </c>
      <c r="I36" s="3178">
        <v>7050</v>
      </c>
      <c r="J36" s="3178">
        <v>7050</v>
      </c>
      <c r="K36" s="3178">
        <v>1751.11</v>
      </c>
      <c r="L36" s="3180">
        <f t="shared" si="0"/>
        <v>3852</v>
      </c>
      <c r="M36" s="3178">
        <v>0</v>
      </c>
      <c r="N36" s="3178" t="s">
        <v>3100</v>
      </c>
    </row>
    <row r="37" spans="1:14">
      <c r="A37" s="3178" t="s">
        <v>3101</v>
      </c>
      <c r="B37" s="3178" t="s">
        <v>2996</v>
      </c>
      <c r="C37" s="3178" t="s">
        <v>2997</v>
      </c>
      <c r="D37" s="3178">
        <v>18271</v>
      </c>
      <c r="E37" s="3178">
        <v>40196.199999999997</v>
      </c>
      <c r="F37" s="3178" t="s">
        <v>3098</v>
      </c>
      <c r="G37" s="3178" t="s">
        <v>2999</v>
      </c>
      <c r="H37" s="3178" t="s">
        <v>3099</v>
      </c>
      <c r="I37" s="3178">
        <v>7050</v>
      </c>
      <c r="J37" s="3178">
        <v>7050</v>
      </c>
      <c r="K37" s="3178">
        <v>1753.9</v>
      </c>
      <c r="L37" s="3180">
        <f t="shared" si="0"/>
        <v>3859</v>
      </c>
      <c r="M37" s="3178">
        <v>0</v>
      </c>
      <c r="N37" s="3178" t="s">
        <v>3100</v>
      </c>
    </row>
    <row r="38" spans="1:14">
      <c r="A38" s="3178" t="s">
        <v>3102</v>
      </c>
      <c r="B38" s="3178" t="s">
        <v>2996</v>
      </c>
      <c r="C38" s="3178" t="s">
        <v>2997</v>
      </c>
      <c r="D38" s="3178">
        <v>14720</v>
      </c>
      <c r="E38" s="3178">
        <v>32384</v>
      </c>
      <c r="F38" s="3178" t="s">
        <v>3098</v>
      </c>
      <c r="G38" s="3178" t="s">
        <v>2999</v>
      </c>
      <c r="H38" s="3178" t="s">
        <v>3099</v>
      </c>
      <c r="I38" s="3178">
        <v>5660</v>
      </c>
      <c r="J38" s="3178">
        <v>5660</v>
      </c>
      <c r="K38" s="3178">
        <v>1747.77</v>
      </c>
      <c r="L38" s="3180">
        <f t="shared" si="0"/>
        <v>3845</v>
      </c>
      <c r="M38" s="3178">
        <v>0</v>
      </c>
      <c r="N38" s="3178" t="s">
        <v>3100</v>
      </c>
    </row>
    <row r="39" spans="1:14">
      <c r="A39" s="3178" t="s">
        <v>3103</v>
      </c>
      <c r="B39" s="3178" t="s">
        <v>2996</v>
      </c>
      <c r="C39" s="3178" t="s">
        <v>2997</v>
      </c>
      <c r="D39" s="3178">
        <v>17857</v>
      </c>
      <c r="E39" s="3178">
        <v>39285.4</v>
      </c>
      <c r="F39" s="3178" t="s">
        <v>3098</v>
      </c>
      <c r="G39" s="3178" t="s">
        <v>2999</v>
      </c>
      <c r="H39" s="3178" t="s">
        <v>3099</v>
      </c>
      <c r="I39" s="3178">
        <v>6900</v>
      </c>
      <c r="J39" s="3178">
        <v>6900</v>
      </c>
      <c r="K39" s="3178">
        <v>1756.38</v>
      </c>
      <c r="L39" s="3180">
        <f t="shared" si="0"/>
        <v>3864</v>
      </c>
      <c r="M39" s="3178">
        <v>0</v>
      </c>
      <c r="N39" s="3178" t="s">
        <v>3100</v>
      </c>
    </row>
    <row r="40" spans="1:14">
      <c r="A40" s="3178" t="s">
        <v>3104</v>
      </c>
      <c r="B40" s="3178" t="s">
        <v>2996</v>
      </c>
      <c r="C40" s="3178" t="s">
        <v>2997</v>
      </c>
      <c r="D40" s="3178">
        <v>1585</v>
      </c>
      <c r="E40" s="3178">
        <v>1743.5</v>
      </c>
      <c r="F40" s="3178" t="s">
        <v>3105</v>
      </c>
      <c r="G40" s="3178" t="s">
        <v>2999</v>
      </c>
      <c r="H40" s="3178" t="s">
        <v>3106</v>
      </c>
      <c r="I40" s="3178">
        <v>255</v>
      </c>
      <c r="J40" s="3178">
        <v>255</v>
      </c>
      <c r="K40" s="3178">
        <v>1462.57</v>
      </c>
      <c r="L40" s="3180">
        <f t="shared" si="0"/>
        <v>1609</v>
      </c>
      <c r="M40" s="3178">
        <v>0</v>
      </c>
      <c r="N40" s="3178" t="s">
        <v>3107</v>
      </c>
    </row>
    <row r="41" spans="1:14">
      <c r="A41" s="3178" t="s">
        <v>3108</v>
      </c>
      <c r="B41" s="3178" t="s">
        <v>2996</v>
      </c>
      <c r="C41" s="3178" t="s">
        <v>2997</v>
      </c>
      <c r="D41" s="3178">
        <v>53746</v>
      </c>
      <c r="E41" s="3178">
        <v>82231.38</v>
      </c>
      <c r="F41" s="3178" t="s">
        <v>3109</v>
      </c>
      <c r="G41" s="3178" t="s">
        <v>2999</v>
      </c>
      <c r="H41" s="3178" t="s">
        <v>3110</v>
      </c>
      <c r="I41" s="3178">
        <v>2500</v>
      </c>
      <c r="J41" s="3178">
        <v>2600</v>
      </c>
      <c r="K41" s="3178">
        <v>316.18</v>
      </c>
      <c r="L41" s="3180">
        <f t="shared" si="0"/>
        <v>484</v>
      </c>
      <c r="M41" s="3178">
        <v>4</v>
      </c>
      <c r="N41" s="3178" t="s">
        <v>3111</v>
      </c>
    </row>
    <row r="42" spans="1:14">
      <c r="A42" s="3178" t="s">
        <v>3112</v>
      </c>
      <c r="B42" s="3178" t="s">
        <v>2996</v>
      </c>
      <c r="C42" s="3178" t="s">
        <v>2997</v>
      </c>
      <c r="D42" s="3178">
        <v>48363</v>
      </c>
      <c r="E42" s="3178">
        <v>58035.6</v>
      </c>
      <c r="F42" s="3178" t="s">
        <v>3113</v>
      </c>
      <c r="G42" s="3178" t="s">
        <v>2999</v>
      </c>
      <c r="H42" s="3178" t="s">
        <v>3114</v>
      </c>
      <c r="I42" s="3178">
        <v>5850</v>
      </c>
      <c r="J42" s="3178">
        <v>5850</v>
      </c>
      <c r="K42" s="3178">
        <v>1008</v>
      </c>
      <c r="L42" s="3180">
        <f t="shared" si="0"/>
        <v>1210</v>
      </c>
      <c r="M42" s="3178">
        <v>0</v>
      </c>
      <c r="N42" s="3178" t="s">
        <v>3115</v>
      </c>
    </row>
    <row r="43" spans="1:14">
      <c r="A43" s="3178" t="s">
        <v>3116</v>
      </c>
      <c r="B43" s="3178" t="s">
        <v>2996</v>
      </c>
      <c r="C43" s="3178" t="s">
        <v>2997</v>
      </c>
      <c r="D43" s="3178">
        <v>43449</v>
      </c>
      <c r="E43" s="3178">
        <v>66476.97</v>
      </c>
      <c r="F43" s="3178" t="s">
        <v>3109</v>
      </c>
      <c r="G43" s="3178" t="s">
        <v>2999</v>
      </c>
      <c r="H43" s="3178" t="s">
        <v>3117</v>
      </c>
      <c r="I43" s="3178">
        <v>1800</v>
      </c>
      <c r="J43" s="3178">
        <v>4200</v>
      </c>
      <c r="K43" s="3178">
        <v>631.79</v>
      </c>
      <c r="L43" s="3180">
        <f t="shared" si="0"/>
        <v>967</v>
      </c>
      <c r="M43" s="3178">
        <v>133.33000000000001</v>
      </c>
      <c r="N43" s="3178" t="s">
        <v>3111</v>
      </c>
    </row>
    <row r="44" spans="1:14">
      <c r="A44" s="3178" t="s">
        <v>3118</v>
      </c>
      <c r="B44" s="3178" t="s">
        <v>2996</v>
      </c>
      <c r="C44" s="3178" t="s">
        <v>2997</v>
      </c>
      <c r="D44" s="3178">
        <v>31404</v>
      </c>
      <c r="E44" s="3178">
        <v>62808</v>
      </c>
      <c r="F44" s="3178" t="s">
        <v>3119</v>
      </c>
      <c r="G44" s="3178" t="s">
        <v>2999</v>
      </c>
      <c r="H44" s="3178" t="s">
        <v>3120</v>
      </c>
      <c r="I44" s="3178">
        <v>1530</v>
      </c>
      <c r="J44" s="3178">
        <v>4180</v>
      </c>
      <c r="K44" s="3178">
        <v>665.51</v>
      </c>
      <c r="L44" s="3180">
        <f t="shared" si="0"/>
        <v>1331</v>
      </c>
      <c r="M44" s="3178">
        <v>173.2</v>
      </c>
      <c r="N44" s="3178" t="s">
        <v>3121</v>
      </c>
    </row>
    <row r="45" spans="1:14">
      <c r="A45" s="3178" t="s">
        <v>3122</v>
      </c>
      <c r="B45" s="3178" t="s">
        <v>2996</v>
      </c>
      <c r="C45" s="3178" t="s">
        <v>2997</v>
      </c>
      <c r="D45" s="3178">
        <v>33319</v>
      </c>
      <c r="E45" s="3178">
        <v>53310.400000000001</v>
      </c>
      <c r="F45" s="3178" t="s">
        <v>3123</v>
      </c>
      <c r="G45" s="3178" t="s">
        <v>2999</v>
      </c>
      <c r="H45" s="3178" t="s">
        <v>3124</v>
      </c>
      <c r="I45" s="3178">
        <v>5200</v>
      </c>
      <c r="J45" s="3178">
        <v>5200</v>
      </c>
      <c r="K45" s="3178">
        <v>975.41</v>
      </c>
      <c r="L45" s="3180">
        <f t="shared" si="0"/>
        <v>1561</v>
      </c>
      <c r="M45" s="3178">
        <v>0</v>
      </c>
      <c r="N45" s="3178" t="s">
        <v>3023</v>
      </c>
    </row>
    <row r="46" spans="1:14">
      <c r="A46" s="3178" t="s">
        <v>3125</v>
      </c>
      <c r="B46" s="3178" t="s">
        <v>2996</v>
      </c>
      <c r="C46" s="3178" t="s">
        <v>2997</v>
      </c>
      <c r="D46" s="3178">
        <v>62460</v>
      </c>
      <c r="E46" s="3178">
        <v>131166</v>
      </c>
      <c r="F46" s="3178" t="s">
        <v>3126</v>
      </c>
      <c r="G46" s="3178" t="s">
        <v>2999</v>
      </c>
      <c r="H46" s="3178" t="s">
        <v>3127</v>
      </c>
      <c r="I46" s="3178">
        <v>2850</v>
      </c>
      <c r="J46" s="3178">
        <v>8800</v>
      </c>
      <c r="K46" s="3178">
        <v>670.9</v>
      </c>
      <c r="L46" s="3180">
        <f t="shared" si="0"/>
        <v>1409</v>
      </c>
      <c r="M46" s="3178">
        <v>208.77</v>
      </c>
      <c r="N46" s="3178" t="s">
        <v>3128</v>
      </c>
    </row>
    <row r="47" spans="1:14">
      <c r="A47" s="3178" t="s">
        <v>3129</v>
      </c>
      <c r="B47" s="3178" t="s">
        <v>2996</v>
      </c>
      <c r="C47" s="3178" t="s">
        <v>2997</v>
      </c>
      <c r="D47" s="3178">
        <v>34757</v>
      </c>
      <c r="E47" s="3178">
        <v>49007.37</v>
      </c>
      <c r="F47" s="3178" t="s">
        <v>3130</v>
      </c>
      <c r="G47" s="3178" t="s">
        <v>2999</v>
      </c>
      <c r="H47" s="3178" t="s">
        <v>3131</v>
      </c>
      <c r="I47" s="3178">
        <v>1551</v>
      </c>
      <c r="J47" s="3178">
        <v>1651</v>
      </c>
      <c r="K47" s="3178">
        <v>336.88</v>
      </c>
      <c r="L47" s="3180">
        <f t="shared" si="0"/>
        <v>475</v>
      </c>
      <c r="M47" s="3178">
        <v>6.45</v>
      </c>
      <c r="N47" s="3178" t="s">
        <v>3132</v>
      </c>
    </row>
    <row r="48" spans="1:14">
      <c r="A48" s="3178" t="s">
        <v>3133</v>
      </c>
      <c r="B48" s="3178" t="s">
        <v>2996</v>
      </c>
      <c r="C48" s="3178" t="s">
        <v>2997</v>
      </c>
      <c r="D48" s="3178">
        <v>44752</v>
      </c>
      <c r="E48" s="3178">
        <v>67128</v>
      </c>
      <c r="F48" s="3178" t="s">
        <v>3134</v>
      </c>
      <c r="G48" s="3178" t="s">
        <v>2999</v>
      </c>
      <c r="H48" s="3178" t="s">
        <v>3135</v>
      </c>
      <c r="I48" s="3178">
        <v>12100</v>
      </c>
      <c r="J48" s="3178">
        <v>12100</v>
      </c>
      <c r="K48" s="3178">
        <v>1802.52</v>
      </c>
      <c r="L48" s="3180">
        <f t="shared" si="0"/>
        <v>2704</v>
      </c>
      <c r="M48" s="3178">
        <v>0</v>
      </c>
      <c r="N48" s="3178" t="s">
        <v>3136</v>
      </c>
    </row>
    <row r="49" spans="1:14">
      <c r="A49" s="3178" t="s">
        <v>3133</v>
      </c>
      <c r="B49" s="3178" t="s">
        <v>2996</v>
      </c>
      <c r="C49" s="3178" t="s">
        <v>2997</v>
      </c>
      <c r="D49" s="3178">
        <v>45842</v>
      </c>
      <c r="E49" s="3178">
        <v>82515.600000000006</v>
      </c>
      <c r="F49" s="3178" t="s">
        <v>3137</v>
      </c>
      <c r="G49" s="3178" t="s">
        <v>2999</v>
      </c>
      <c r="H49" s="3178" t="s">
        <v>3138</v>
      </c>
      <c r="I49" s="3178">
        <v>11600</v>
      </c>
      <c r="J49" s="3178">
        <v>11600</v>
      </c>
      <c r="K49" s="3178">
        <v>1405.78</v>
      </c>
      <c r="L49" s="3180">
        <f t="shared" si="0"/>
        <v>2530</v>
      </c>
      <c r="M49" s="3178">
        <v>0</v>
      </c>
      <c r="N49" s="3178" t="s">
        <v>3136</v>
      </c>
    </row>
    <row r="50" spans="1:14">
      <c r="A50" s="3178" t="s">
        <v>3139</v>
      </c>
      <c r="B50" s="3178" t="s">
        <v>2996</v>
      </c>
      <c r="C50" s="3178" t="s">
        <v>2997</v>
      </c>
      <c r="D50" s="3178">
        <v>22798</v>
      </c>
      <c r="E50" s="3178">
        <v>41036.400000000001</v>
      </c>
      <c r="F50" s="3178" t="s">
        <v>3137</v>
      </c>
      <c r="G50" s="3178" t="s">
        <v>2999</v>
      </c>
      <c r="H50" s="3178" t="s">
        <v>3138</v>
      </c>
      <c r="I50" s="3178">
        <v>6000</v>
      </c>
      <c r="J50" s="3178">
        <v>6000</v>
      </c>
      <c r="K50" s="3178">
        <v>1462.11</v>
      </c>
      <c r="L50" s="3180">
        <f t="shared" si="0"/>
        <v>2632</v>
      </c>
      <c r="M50" s="3178">
        <v>0</v>
      </c>
      <c r="N50" s="3178" t="s">
        <v>3140</v>
      </c>
    </row>
    <row r="51" spans="1:14">
      <c r="A51" s="3178" t="s">
        <v>3141</v>
      </c>
      <c r="B51" s="3178" t="s">
        <v>2996</v>
      </c>
      <c r="C51" s="3178" t="s">
        <v>2997</v>
      </c>
      <c r="D51" s="3178">
        <v>43005</v>
      </c>
      <c r="E51" s="3178">
        <v>120414</v>
      </c>
      <c r="F51" s="3178" t="s">
        <v>3142</v>
      </c>
      <c r="G51" s="3178" t="s">
        <v>2999</v>
      </c>
      <c r="H51" s="3178" t="s">
        <v>3138</v>
      </c>
      <c r="I51" s="3178">
        <v>15100</v>
      </c>
      <c r="J51" s="3178">
        <v>15100</v>
      </c>
      <c r="K51" s="3178">
        <v>1254</v>
      </c>
      <c r="L51" s="3180">
        <f t="shared" si="0"/>
        <v>3511</v>
      </c>
      <c r="M51" s="3178">
        <v>0</v>
      </c>
      <c r="N51" s="3178" t="s">
        <v>3136</v>
      </c>
    </row>
  </sheetData>
  <phoneticPr fontId="233"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6" sqref="I6:L6"/>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375" t="s">
        <v>522</v>
      </c>
      <c r="D6" s="3376"/>
      <c r="E6" s="3410" t="s">
        <v>523</v>
      </c>
      <c r="F6" s="3411"/>
      <c r="G6" s="3375" t="s">
        <v>524</v>
      </c>
      <c r="H6" s="3376"/>
      <c r="I6" s="3375" t="s">
        <v>525</v>
      </c>
      <c r="J6" s="3376"/>
      <c r="K6" s="513" t="s">
        <v>526</v>
      </c>
      <c r="L6" s="2133"/>
      <c r="M6" s="2134"/>
      <c r="N6" s="2134"/>
      <c r="O6" s="2134"/>
      <c r="P6" s="3377" t="s">
        <v>527</v>
      </c>
      <c r="Q6" s="3378"/>
      <c r="R6" s="3383" t="s">
        <v>523</v>
      </c>
      <c r="S6" s="3384"/>
      <c r="T6" s="3383" t="s">
        <v>524</v>
      </c>
      <c r="U6" s="3384"/>
      <c r="V6" s="3370" t="s">
        <v>525</v>
      </c>
      <c r="W6" s="3370"/>
      <c r="X6" s="1566"/>
      <c r="Y6" s="3383" t="s">
        <v>527</v>
      </c>
      <c r="Z6" s="3384"/>
      <c r="AA6" s="3372" t="s">
        <v>523</v>
      </c>
      <c r="AB6" s="3373" t="s">
        <v>524</v>
      </c>
      <c r="AC6" s="3372" t="s">
        <v>525</v>
      </c>
    </row>
    <row r="7" spans="1:29" ht="15">
      <c r="A7" s="514"/>
      <c r="B7" s="515"/>
      <c r="C7" s="3391" t="s">
        <v>2930</v>
      </c>
      <c r="D7" s="3392"/>
      <c r="E7" s="3423" t="s">
        <v>2931</v>
      </c>
      <c r="F7" s="3416"/>
      <c r="G7" s="3391" t="s">
        <v>2932</v>
      </c>
      <c r="H7" s="3392"/>
      <c r="I7" s="3391" t="s">
        <v>2933</v>
      </c>
      <c r="J7" s="3392"/>
      <c r="K7" s="513"/>
      <c r="L7" s="2133"/>
      <c r="M7" s="2134"/>
      <c r="N7" s="2134"/>
      <c r="O7" s="2134"/>
      <c r="P7" s="3379"/>
      <c r="Q7" s="3380"/>
      <c r="R7" s="3385"/>
      <c r="S7" s="3386"/>
      <c r="T7" s="3385"/>
      <c r="U7" s="3386"/>
      <c r="V7" s="3370"/>
      <c r="W7" s="3370"/>
      <c r="X7" s="1566"/>
      <c r="Y7" s="3385"/>
      <c r="Z7" s="3386"/>
      <c r="AA7" s="3373"/>
      <c r="AB7" s="3373"/>
      <c r="AC7" s="3373"/>
    </row>
    <row r="8" spans="1:29" ht="15.75" thickBot="1">
      <c r="A8" s="516"/>
      <c r="B8" s="517"/>
      <c r="C8" s="3389" t="s">
        <v>2934</v>
      </c>
      <c r="D8" s="3390"/>
      <c r="E8" s="3413" t="s">
        <v>2934</v>
      </c>
      <c r="F8" s="3414"/>
      <c r="G8" s="3389" t="s">
        <v>2934</v>
      </c>
      <c r="H8" s="3390"/>
      <c r="I8" s="3389" t="s">
        <v>2934</v>
      </c>
      <c r="J8" s="3390"/>
      <c r="K8" s="513" t="s">
        <v>528</v>
      </c>
      <c r="L8" s="2133"/>
      <c r="M8" s="2134"/>
      <c r="N8" s="2134"/>
      <c r="O8" s="2134"/>
      <c r="P8" s="3381"/>
      <c r="Q8" s="3382"/>
      <c r="R8" s="3385"/>
      <c r="S8" s="3386"/>
      <c r="T8" s="3387"/>
      <c r="U8" s="3388"/>
      <c r="V8" s="3370"/>
      <c r="W8" s="3370"/>
      <c r="X8" s="1566"/>
      <c r="Y8" s="3387"/>
      <c r="Z8" s="3388"/>
      <c r="AA8" s="3374"/>
      <c r="AB8" s="3374"/>
      <c r="AC8" s="3374"/>
    </row>
    <row r="9" spans="1:29" s="1218" customFormat="1" ht="15.75" thickBot="1">
      <c r="A9" s="2935"/>
      <c r="B9" s="2942" t="s">
        <v>529</v>
      </c>
      <c r="C9" s="518">
        <f>'数据-取费表'!B2</f>
        <v>43249</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00" t="s">
        <v>530</v>
      </c>
      <c r="Q9" s="3402"/>
      <c r="R9" s="1567" t="s">
        <v>8</v>
      </c>
      <c r="S9" s="1568">
        <f t="shared" ref="S9:S17" si="0">F9</f>
        <v>0</v>
      </c>
      <c r="T9" s="1567" t="s">
        <v>8</v>
      </c>
      <c r="U9" s="1568">
        <f t="shared" ref="U9:U17" si="1">H9</f>
        <v>0</v>
      </c>
      <c r="V9" s="1567" t="s">
        <v>8</v>
      </c>
      <c r="W9" s="1568">
        <f t="shared" ref="W9:W17" si="2">J9</f>
        <v>0</v>
      </c>
      <c r="X9" s="1569"/>
      <c r="Y9" s="3400" t="s">
        <v>530</v>
      </c>
      <c r="Z9" s="3401"/>
      <c r="AA9" s="1570" t="e">
        <f>D9/F9</f>
        <v>#DIV/0!</v>
      </c>
      <c r="AB9" s="1570" t="e">
        <f>D9/H9</f>
        <v>#DIV/0!</v>
      </c>
      <c r="AC9" s="1570" t="e">
        <f>D9/J9</f>
        <v>#DIV/0!</v>
      </c>
    </row>
    <row r="10" spans="1:29" s="1218"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00" t="s">
        <v>533</v>
      </c>
      <c r="Q10" s="3401"/>
      <c r="R10" s="1567" t="s">
        <v>8</v>
      </c>
      <c r="S10" s="1568">
        <f t="shared" si="0"/>
        <v>0</v>
      </c>
      <c r="T10" s="1567" t="s">
        <v>8</v>
      </c>
      <c r="U10" s="1568">
        <f t="shared" si="1"/>
        <v>0</v>
      </c>
      <c r="V10" s="1567" t="s">
        <v>8</v>
      </c>
      <c r="W10" s="1568">
        <f t="shared" si="2"/>
        <v>0</v>
      </c>
      <c r="X10" s="1569"/>
      <c r="Y10" s="3400" t="s">
        <v>533</v>
      </c>
      <c r="Z10" s="3401"/>
      <c r="AA10" s="1570" t="e">
        <f t="shared" ref="AA10:AA42" si="3">D10/F10</f>
        <v>#DIV/0!</v>
      </c>
      <c r="AB10" s="1570" t="e">
        <f t="shared" ref="AB10:AB42" si="4">D10/H10</f>
        <v>#DIV/0!</v>
      </c>
      <c r="AC10" s="1570" t="e">
        <f t="shared" ref="AC10:AC42" si="5">D10/J10</f>
        <v>#DIV/0!</v>
      </c>
    </row>
    <row r="11" spans="1:29" s="1218" customFormat="1" ht="15">
      <c r="A11" s="2937"/>
      <c r="B11" s="2944" t="s">
        <v>2760</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9" t="s">
        <v>535</v>
      </c>
      <c r="Q11" s="1149" t="str">
        <f t="shared" ref="Q11:Q17" si="6">B11</f>
        <v>用途</v>
      </c>
      <c r="R11" s="1567" t="s">
        <v>8</v>
      </c>
      <c r="S11" s="1568">
        <f t="shared" si="0"/>
        <v>100</v>
      </c>
      <c r="T11" s="1567" t="s">
        <v>8</v>
      </c>
      <c r="U11" s="1568">
        <f t="shared" si="1"/>
        <v>100</v>
      </c>
      <c r="V11" s="1567" t="s">
        <v>8</v>
      </c>
      <c r="W11" s="1568">
        <f t="shared" si="2"/>
        <v>100</v>
      </c>
      <c r="X11" s="1569"/>
      <c r="Y11" s="3315" t="s">
        <v>536</v>
      </c>
      <c r="Z11" s="1148" t="str">
        <f t="shared" ref="Z11:Z17" si="7">Q11</f>
        <v>用途</v>
      </c>
      <c r="AA11" s="1570">
        <f t="shared" si="3"/>
        <v>1</v>
      </c>
      <c r="AB11" s="1570">
        <f t="shared" si="4"/>
        <v>1</v>
      </c>
      <c r="AC11" s="1570">
        <f t="shared" si="5"/>
        <v>1</v>
      </c>
    </row>
    <row r="12" spans="1:29" s="1336" customFormat="1" ht="27">
      <c r="A12" s="2938"/>
      <c r="B12" s="2943" t="s">
        <v>2761</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9"/>
      <c r="Q12" s="1149" t="str">
        <f t="shared" si="6"/>
        <v>土地使用年限（年）</v>
      </c>
      <c r="R12" s="1567" t="s">
        <v>8</v>
      </c>
      <c r="S12" s="1568">
        <f t="shared" si="0"/>
        <v>100</v>
      </c>
      <c r="T12" s="1567" t="s">
        <v>8</v>
      </c>
      <c r="U12" s="1568">
        <f t="shared" si="1"/>
        <v>100</v>
      </c>
      <c r="V12" s="1567" t="s">
        <v>8</v>
      </c>
      <c r="W12" s="1568">
        <f t="shared" si="2"/>
        <v>100</v>
      </c>
      <c r="X12" s="1569"/>
      <c r="Y12" s="3315"/>
      <c r="Z12" s="1148" t="str">
        <f t="shared" si="7"/>
        <v>土地使用年限（年）</v>
      </c>
      <c r="AA12" s="1570">
        <f t="shared" si="3"/>
        <v>1</v>
      </c>
      <c r="AB12" s="1570">
        <f t="shared" si="4"/>
        <v>1</v>
      </c>
      <c r="AC12" s="1570">
        <f t="shared" si="5"/>
        <v>1</v>
      </c>
    </row>
    <row r="13" spans="1:29" ht="15">
      <c r="A13" s="2939"/>
      <c r="B13" s="2943"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9"/>
      <c r="Q13" s="1149" t="str">
        <f t="shared" si="6"/>
        <v>容积率</v>
      </c>
      <c r="R13" s="1567" t="s">
        <v>8</v>
      </c>
      <c r="S13" s="1568" t="e">
        <f t="shared" si="0"/>
        <v>#N/A</v>
      </c>
      <c r="T13" s="1567" t="s">
        <v>8</v>
      </c>
      <c r="U13" s="1568" t="e">
        <f t="shared" si="1"/>
        <v>#N/A</v>
      </c>
      <c r="V13" s="1567" t="s">
        <v>8</v>
      </c>
      <c r="W13" s="1568" t="e">
        <f t="shared" si="2"/>
        <v>#N/A</v>
      </c>
      <c r="X13" s="1569"/>
      <c r="Y13" s="3315"/>
      <c r="Z13" s="1148" t="str">
        <f t="shared" si="7"/>
        <v>容积率</v>
      </c>
      <c r="AA13" s="1570" t="e">
        <f t="shared" si="3"/>
        <v>#N/A</v>
      </c>
      <c r="AB13" s="1570" t="e">
        <f t="shared" si="4"/>
        <v>#N/A</v>
      </c>
      <c r="AC13" s="1570" t="e">
        <f t="shared" si="5"/>
        <v>#N/A</v>
      </c>
    </row>
    <row r="14" spans="1:29" s="1218"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9"/>
      <c r="Q14" s="1149">
        <f t="shared" si="6"/>
        <v>111</v>
      </c>
      <c r="R14" s="1567" t="s">
        <v>8</v>
      </c>
      <c r="S14" s="1568">
        <f t="shared" si="0"/>
        <v>100</v>
      </c>
      <c r="T14" s="1567" t="s">
        <v>8</v>
      </c>
      <c r="U14" s="1568">
        <f t="shared" si="1"/>
        <v>100</v>
      </c>
      <c r="V14" s="1567" t="s">
        <v>8</v>
      </c>
      <c r="W14" s="1568">
        <f t="shared" si="2"/>
        <v>100</v>
      </c>
      <c r="X14" s="1569"/>
      <c r="Y14" s="3315"/>
      <c r="Z14" s="1148">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9"/>
      <c r="Q15" s="1149">
        <f t="shared" si="6"/>
        <v>111</v>
      </c>
      <c r="R15" s="1567" t="s">
        <v>8</v>
      </c>
      <c r="S15" s="1568">
        <f t="shared" si="0"/>
        <v>100</v>
      </c>
      <c r="T15" s="1567" t="s">
        <v>8</v>
      </c>
      <c r="U15" s="1568">
        <f t="shared" si="1"/>
        <v>100</v>
      </c>
      <c r="V15" s="1567" t="s">
        <v>8</v>
      </c>
      <c r="W15" s="1568">
        <f t="shared" si="2"/>
        <v>100</v>
      </c>
      <c r="X15" s="1569"/>
      <c r="Y15" s="3315"/>
      <c r="Z15" s="1148">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9"/>
      <c r="Q16" s="1149">
        <f t="shared" si="6"/>
        <v>111</v>
      </c>
      <c r="R16" s="1567" t="s">
        <v>8</v>
      </c>
      <c r="S16" s="1568">
        <f t="shared" si="0"/>
        <v>100</v>
      </c>
      <c r="T16" s="1567" t="s">
        <v>8</v>
      </c>
      <c r="U16" s="1568">
        <f t="shared" si="1"/>
        <v>100</v>
      </c>
      <c r="V16" s="1567" t="s">
        <v>8</v>
      </c>
      <c r="W16" s="1568">
        <f t="shared" si="2"/>
        <v>100</v>
      </c>
      <c r="X16" s="1569"/>
      <c r="Y16" s="3315"/>
      <c r="Z16" s="1148">
        <f t="shared" si="7"/>
        <v>111</v>
      </c>
      <c r="AA16" s="1570">
        <f t="shared" si="3"/>
        <v>1</v>
      </c>
      <c r="AB16" s="1570">
        <f t="shared" si="4"/>
        <v>1</v>
      </c>
      <c r="AC16" s="1570">
        <f t="shared" si="5"/>
        <v>1</v>
      </c>
    </row>
    <row r="17" spans="1:29" ht="57">
      <c r="A17" s="2933" t="s">
        <v>2758</v>
      </c>
      <c r="B17" s="165"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3" t="s">
        <v>540</v>
      </c>
      <c r="Q17" s="1571" t="str">
        <f t="shared" si="6"/>
        <v>产业集聚程度</v>
      </c>
      <c r="R17" s="1572" t="s">
        <v>8</v>
      </c>
      <c r="S17" s="1573">
        <f t="shared" si="0"/>
        <v>100</v>
      </c>
      <c r="T17" s="1572" t="s">
        <v>8</v>
      </c>
      <c r="U17" s="1573">
        <f t="shared" si="1"/>
        <v>100</v>
      </c>
      <c r="V17" s="1572" t="s">
        <v>8</v>
      </c>
      <c r="W17" s="1573">
        <f t="shared" si="2"/>
        <v>100</v>
      </c>
      <c r="X17" s="1566"/>
      <c r="Y17" s="3403"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4"/>
      <c r="Q18" s="1571"/>
      <c r="R18" s="1572"/>
      <c r="S18" s="1573"/>
      <c r="T18" s="1572"/>
      <c r="U18" s="1573"/>
      <c r="V18" s="1572"/>
      <c r="W18" s="1573"/>
      <c r="X18" s="1566"/>
      <c r="Y18" s="3404"/>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4"/>
      <c r="Q19" s="1571" t="str">
        <f>B19</f>
        <v>交通便捷度</v>
      </c>
      <c r="R19" s="1572" t="s">
        <v>8</v>
      </c>
      <c r="S19" s="1573">
        <f>F19</f>
        <v>100</v>
      </c>
      <c r="T19" s="1572" t="s">
        <v>8</v>
      </c>
      <c r="U19" s="1573">
        <f>H19</f>
        <v>100</v>
      </c>
      <c r="V19" s="1572" t="s">
        <v>8</v>
      </c>
      <c r="W19" s="1573">
        <f>J19</f>
        <v>100</v>
      </c>
      <c r="X19" s="1566"/>
      <c r="Y19" s="3404"/>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04"/>
      <c r="Q21" s="1571" t="str">
        <f t="shared" ref="Q21:Q35" si="8">B21</f>
        <v>区域土地利用方向</v>
      </c>
      <c r="R21" s="1572" t="s">
        <v>8</v>
      </c>
      <c r="S21" s="1573">
        <f>F21</f>
        <v>100</v>
      </c>
      <c r="T21" s="1572" t="s">
        <v>8</v>
      </c>
      <c r="U21" s="1573">
        <f>H21</f>
        <v>100</v>
      </c>
      <c r="V21" s="1572" t="s">
        <v>8</v>
      </c>
      <c r="W21" s="1573">
        <f>J21</f>
        <v>100</v>
      </c>
      <c r="X21" s="1566"/>
      <c r="Y21" s="340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04"/>
      <c r="Q22" s="1571"/>
      <c r="R22" s="1572"/>
      <c r="S22" s="1573"/>
      <c r="T22" s="1572"/>
      <c r="U22" s="1573"/>
      <c r="V22" s="1572"/>
      <c r="W22" s="1573"/>
      <c r="X22" s="1566"/>
      <c r="Y22" s="3404"/>
      <c r="Z22" s="1574"/>
      <c r="AA22" s="1575"/>
      <c r="AB22" s="1575"/>
      <c r="AC22" s="1575"/>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4"/>
      <c r="Q23" s="1571" t="str">
        <f t="shared" si="8"/>
        <v>环境状况</v>
      </c>
      <c r="R23" s="1572" t="s">
        <v>8</v>
      </c>
      <c r="S23" s="1573">
        <f>F23</f>
        <v>100</v>
      </c>
      <c r="T23" s="1572" t="s">
        <v>8</v>
      </c>
      <c r="U23" s="1573">
        <f>H23</f>
        <v>100</v>
      </c>
      <c r="V23" s="1572" t="s">
        <v>8</v>
      </c>
      <c r="W23" s="1573">
        <f>J23</f>
        <v>100</v>
      </c>
      <c r="X23" s="1566"/>
      <c r="Y23" s="340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4"/>
      <c r="Q24" s="1571"/>
      <c r="R24" s="1572"/>
      <c r="S24" s="1573"/>
      <c r="T24" s="1572"/>
      <c r="U24" s="1573"/>
      <c r="V24" s="1572"/>
      <c r="W24" s="1573"/>
      <c r="X24" s="1566"/>
      <c r="Y24" s="3404"/>
      <c r="Z24" s="1574"/>
      <c r="AA24" s="1575">
        <v>1</v>
      </c>
      <c r="AB24" s="1575">
        <v>1</v>
      </c>
      <c r="AC24" s="1575">
        <v>1</v>
      </c>
    </row>
    <row r="25" spans="1:29" s="1218" customFormat="1" ht="42.75">
      <c r="A25" s="576"/>
      <c r="B25" s="2617" t="s">
        <v>2552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4"/>
      <c r="Q25" s="1149" t="str">
        <f t="shared" si="8"/>
        <v>公共配套设施</v>
      </c>
      <c r="R25" s="1567" t="s">
        <v>8</v>
      </c>
      <c r="S25" s="1568">
        <f>F25</f>
        <v>100</v>
      </c>
      <c r="T25" s="1567" t="s">
        <v>8</v>
      </c>
      <c r="U25" s="1568">
        <f>H25</f>
        <v>100</v>
      </c>
      <c r="V25" s="1567" t="s">
        <v>8</v>
      </c>
      <c r="W25" s="1568">
        <f>J25</f>
        <v>100</v>
      </c>
      <c r="X25" s="1569"/>
      <c r="Y25" s="3404"/>
      <c r="Z25" s="1148" t="str">
        <f>Q25</f>
        <v>公共配套设施</v>
      </c>
      <c r="AA25" s="1575">
        <f>D25/F25</f>
        <v>1</v>
      </c>
      <c r="AB25" s="1575">
        <f>D25/H25</f>
        <v>1</v>
      </c>
      <c r="AC25" s="1575">
        <f>D25/J25</f>
        <v>1</v>
      </c>
    </row>
    <row r="26" spans="1:29" s="1218" customFormat="1" ht="15">
      <c r="A26" s="576"/>
      <c r="B26" s="594"/>
      <c r="C26" s="2616"/>
      <c r="D26" s="554"/>
      <c r="E26" s="553"/>
      <c r="F26" s="554"/>
      <c r="G26" s="553"/>
      <c r="H26" s="554"/>
      <c r="I26" s="575"/>
      <c r="J26" s="554"/>
      <c r="K26" s="530"/>
      <c r="L26" s="2135"/>
      <c r="M26" s="2136"/>
      <c r="N26" s="2136"/>
      <c r="O26" s="2137"/>
      <c r="P26" s="3404"/>
      <c r="Q26" s="1149"/>
      <c r="R26" s="1567"/>
      <c r="S26" s="1568"/>
      <c r="T26" s="1567"/>
      <c r="U26" s="1568"/>
      <c r="V26" s="1567"/>
      <c r="W26" s="1568"/>
      <c r="X26" s="1569"/>
      <c r="Y26" s="3404"/>
      <c r="Z26" s="1148"/>
      <c r="AA26" s="1570">
        <v>1</v>
      </c>
      <c r="AB26" s="1570">
        <v>1</v>
      </c>
      <c r="AC26" s="1570">
        <v>1</v>
      </c>
    </row>
    <row r="27" spans="1:29" s="1218" customFormat="1" ht="28.5">
      <c r="A27" s="576"/>
      <c r="B27" s="2617" t="s">
        <v>2553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4"/>
      <c r="Q27" s="2602" t="str">
        <f t="shared" ref="Q27" si="9">B27</f>
        <v>基础设施水平</v>
      </c>
      <c r="R27" s="1567" t="s">
        <v>8</v>
      </c>
      <c r="S27" s="1568">
        <f>F27</f>
        <v>100</v>
      </c>
      <c r="T27" s="1567" t="s">
        <v>8</v>
      </c>
      <c r="U27" s="1568">
        <f>H27</f>
        <v>100</v>
      </c>
      <c r="V27" s="1567" t="s">
        <v>8</v>
      </c>
      <c r="W27" s="1568">
        <f>J27</f>
        <v>100</v>
      </c>
      <c r="X27" s="1569"/>
      <c r="Y27" s="3404"/>
      <c r="Z27" s="2599" t="str">
        <f>Q27</f>
        <v>基础设施水平</v>
      </c>
      <c r="AA27" s="1575">
        <f>D27/F27</f>
        <v>1</v>
      </c>
      <c r="AB27" s="1575">
        <f>D27/H27</f>
        <v>1</v>
      </c>
      <c r="AC27" s="1575">
        <f>D27/J27</f>
        <v>1</v>
      </c>
    </row>
    <row r="28" spans="1:29" s="1218" customFormat="1" ht="15">
      <c r="A28" s="576"/>
      <c r="B28" s="594"/>
      <c r="C28" s="2616"/>
      <c r="D28" s="554"/>
      <c r="E28" s="578"/>
      <c r="F28" s="554"/>
      <c r="G28" s="578"/>
      <c r="H28" s="554"/>
      <c r="I28" s="578"/>
      <c r="J28" s="554"/>
      <c r="K28" s="530"/>
      <c r="L28" s="2135"/>
      <c r="M28" s="2136"/>
      <c r="N28" s="2136"/>
      <c r="O28" s="2137"/>
      <c r="P28" s="3404"/>
      <c r="Q28" s="2602"/>
      <c r="R28" s="1567"/>
      <c r="S28" s="1568"/>
      <c r="T28" s="1567"/>
      <c r="U28" s="1568"/>
      <c r="V28" s="1567"/>
      <c r="W28" s="1568"/>
      <c r="X28" s="1569"/>
      <c r="Y28" s="3404"/>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4"/>
      <c r="Z29" s="1574" t="str">
        <f t="shared" ref="Z29:Z42" si="13">Q29</f>
        <v>临街状况</v>
      </c>
      <c r="AA29" s="1575">
        <f t="shared" si="3"/>
        <v>1</v>
      </c>
      <c r="AB29" s="1575">
        <f t="shared" si="4"/>
        <v>1</v>
      </c>
      <c r="AC29" s="1575">
        <f t="shared" si="5"/>
        <v>1</v>
      </c>
    </row>
    <row r="30" spans="1:29" ht="27">
      <c r="A30" s="531"/>
      <c r="B30" s="920"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4"/>
      <c r="Q30" s="1571" t="str">
        <f t="shared" si="8"/>
        <v>毗邻道路的类型与等级</v>
      </c>
      <c r="R30" s="1572" t="s">
        <v>8</v>
      </c>
      <c r="S30" s="1573">
        <f t="shared" si="10"/>
        <v>100</v>
      </c>
      <c r="T30" s="1572" t="s">
        <v>8</v>
      </c>
      <c r="U30" s="1573">
        <f t="shared" si="11"/>
        <v>100</v>
      </c>
      <c r="V30" s="1572" t="s">
        <v>8</v>
      </c>
      <c r="W30" s="1573">
        <f t="shared" si="12"/>
        <v>100</v>
      </c>
      <c r="X30" s="1566"/>
      <c r="Y30" s="3404"/>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04"/>
      <c r="Q31" s="1571"/>
      <c r="R31" s="1572"/>
      <c r="S31" s="1573"/>
      <c r="T31" s="1572"/>
      <c r="U31" s="1573"/>
      <c r="V31" s="1572"/>
      <c r="W31" s="1573"/>
      <c r="X31" s="1566"/>
      <c r="Y31" s="3404"/>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4"/>
      <c r="Q32" s="1571" t="str">
        <f t="shared" si="8"/>
        <v>土地级别</v>
      </c>
      <c r="R32" s="1572" t="s">
        <v>8</v>
      </c>
      <c r="S32" s="1573">
        <f t="shared" si="10"/>
        <v>100</v>
      </c>
      <c r="T32" s="1572" t="s">
        <v>8</v>
      </c>
      <c r="U32" s="1573">
        <f t="shared" si="11"/>
        <v>100</v>
      </c>
      <c r="V32" s="1572" t="s">
        <v>8</v>
      </c>
      <c r="W32" s="1573">
        <f t="shared" si="12"/>
        <v>100</v>
      </c>
      <c r="X32" s="1566"/>
      <c r="Y32" s="340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4"/>
      <c r="Q33" s="1571">
        <f t="shared" si="8"/>
        <v>111</v>
      </c>
      <c r="R33" s="1572" t="s">
        <v>8</v>
      </c>
      <c r="S33" s="1573">
        <f t="shared" si="10"/>
        <v>100</v>
      </c>
      <c r="T33" s="1572" t="s">
        <v>8</v>
      </c>
      <c r="U33" s="1573">
        <f t="shared" si="11"/>
        <v>100</v>
      </c>
      <c r="V33" s="1572" t="s">
        <v>8</v>
      </c>
      <c r="W33" s="1573">
        <f t="shared" si="12"/>
        <v>100</v>
      </c>
      <c r="X33" s="1566"/>
      <c r="Y33" s="340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5" t="s">
        <v>550</v>
      </c>
      <c r="Q34" s="1571">
        <f t="shared" si="8"/>
        <v>111</v>
      </c>
      <c r="R34" s="1572" t="s">
        <v>8</v>
      </c>
      <c r="S34" s="1573">
        <f t="shared" si="10"/>
        <v>100</v>
      </c>
      <c r="T34" s="1572" t="s">
        <v>8</v>
      </c>
      <c r="U34" s="1573">
        <f t="shared" si="11"/>
        <v>100</v>
      </c>
      <c r="V34" s="1572" t="s">
        <v>8</v>
      </c>
      <c r="W34" s="1573">
        <f t="shared" si="12"/>
        <v>100</v>
      </c>
      <c r="X34" s="1566"/>
      <c r="Y34" s="3406" t="s">
        <v>550</v>
      </c>
      <c r="Z34" s="1574">
        <f t="shared" si="13"/>
        <v>111</v>
      </c>
      <c r="AA34" s="1575">
        <f t="shared" si="3"/>
        <v>1</v>
      </c>
      <c r="AB34" s="1575">
        <f t="shared" si="4"/>
        <v>1</v>
      </c>
      <c r="AC34" s="1575">
        <f t="shared" si="5"/>
        <v>1</v>
      </c>
    </row>
    <row r="35" spans="1:29" s="1337"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6"/>
      <c r="Q35" s="1571">
        <f t="shared" si="8"/>
        <v>111</v>
      </c>
      <c r="R35" s="1576" t="s">
        <v>8</v>
      </c>
      <c r="S35" s="1577">
        <f t="shared" si="10"/>
        <v>100</v>
      </c>
      <c r="T35" s="1576" t="s">
        <v>8</v>
      </c>
      <c r="U35" s="1577">
        <f t="shared" si="11"/>
        <v>100</v>
      </c>
      <c r="V35" s="1576" t="s">
        <v>8</v>
      </c>
      <c r="W35" s="1577">
        <f t="shared" si="12"/>
        <v>100</v>
      </c>
      <c r="X35" s="1578"/>
      <c r="Y35" s="3406"/>
      <c r="Z35" s="1579">
        <f t="shared" si="13"/>
        <v>111</v>
      </c>
      <c r="AA35" s="1575">
        <f t="shared" si="3"/>
        <v>1</v>
      </c>
      <c r="AB35" s="1575">
        <f t="shared" si="4"/>
        <v>1</v>
      </c>
      <c r="AC35" s="1575">
        <f t="shared" si="5"/>
        <v>1</v>
      </c>
    </row>
    <row r="36" spans="1:29" ht="15">
      <c r="A36" s="2931" t="s">
        <v>2759</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6"/>
      <c r="Q36" s="1571" t="str">
        <f>B36</f>
        <v>宗地面积</v>
      </c>
      <c r="R36" s="1572" t="s">
        <v>8</v>
      </c>
      <c r="S36" s="1573" t="e">
        <f t="shared" si="10"/>
        <v>#N/A</v>
      </c>
      <c r="T36" s="1572" t="s">
        <v>8</v>
      </c>
      <c r="U36" s="1573" t="e">
        <f t="shared" si="11"/>
        <v>#N/A</v>
      </c>
      <c r="V36" s="1572" t="s">
        <v>8</v>
      </c>
      <c r="W36" s="1573" t="e">
        <f t="shared" si="12"/>
        <v>#N/A</v>
      </c>
      <c r="X36" s="1566"/>
      <c r="Y36" s="3406"/>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6"/>
      <c r="Q37" s="1571" t="str">
        <f t="shared" ref="Q37:Q42" si="14">B37</f>
        <v>宗地形状</v>
      </c>
      <c r="R37" s="1572" t="s">
        <v>8</v>
      </c>
      <c r="S37" s="1573">
        <f t="shared" si="10"/>
        <v>100</v>
      </c>
      <c r="T37" s="1572" t="s">
        <v>8</v>
      </c>
      <c r="U37" s="1573">
        <f t="shared" si="11"/>
        <v>100</v>
      </c>
      <c r="V37" s="1572" t="s">
        <v>8</v>
      </c>
      <c r="W37" s="1573">
        <f t="shared" si="12"/>
        <v>100</v>
      </c>
      <c r="X37" s="1566"/>
      <c r="Y37" s="3406"/>
      <c r="Z37" s="1574" t="str">
        <f t="shared" si="13"/>
        <v>宗地形状</v>
      </c>
      <c r="AA37" s="1575">
        <f t="shared" si="3"/>
        <v>1</v>
      </c>
      <c r="AB37" s="1575">
        <f t="shared" si="4"/>
        <v>1</v>
      </c>
      <c r="AC37" s="1575">
        <f t="shared" si="5"/>
        <v>1</v>
      </c>
    </row>
    <row r="38" spans="1:29" s="1218" customFormat="1" ht="15">
      <c r="A38" s="599"/>
      <c r="B38" s="1895" t="s">
        <v>2428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6"/>
      <c r="Q38" s="1571" t="str">
        <f t="shared" si="14"/>
        <v>宗地开发程度</v>
      </c>
      <c r="R38" s="1567" t="s">
        <v>8</v>
      </c>
      <c r="S38" s="1568">
        <f t="shared" si="10"/>
        <v>100</v>
      </c>
      <c r="T38" s="1567" t="s">
        <v>8</v>
      </c>
      <c r="U38" s="1568">
        <f t="shared" si="11"/>
        <v>100</v>
      </c>
      <c r="V38" s="1567" t="s">
        <v>8</v>
      </c>
      <c r="W38" s="1568">
        <f t="shared" si="12"/>
        <v>100</v>
      </c>
      <c r="X38" s="1569"/>
      <c r="Y38" s="3406"/>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6" t="s">
        <v>601</v>
      </c>
      <c r="Q39" s="1571" t="str">
        <f t="shared" si="14"/>
        <v>工程地质条件</v>
      </c>
      <c r="R39" s="1572" t="s">
        <v>8</v>
      </c>
      <c r="S39" s="1573">
        <f t="shared" si="10"/>
        <v>100</v>
      </c>
      <c r="T39" s="1572" t="s">
        <v>8</v>
      </c>
      <c r="U39" s="1573">
        <f t="shared" si="11"/>
        <v>100</v>
      </c>
      <c r="V39" s="1572" t="s">
        <v>8</v>
      </c>
      <c r="W39" s="1573">
        <f t="shared" si="12"/>
        <v>100</v>
      </c>
      <c r="X39" s="1566"/>
      <c r="Y39" s="3406"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6"/>
      <c r="Q40" s="1571">
        <f t="shared" si="14"/>
        <v>111</v>
      </c>
      <c r="R40" s="1572" t="s">
        <v>8</v>
      </c>
      <c r="S40" s="1573">
        <f t="shared" si="10"/>
        <v>100</v>
      </c>
      <c r="T40" s="1572" t="s">
        <v>8</v>
      </c>
      <c r="U40" s="1573">
        <f t="shared" si="11"/>
        <v>100</v>
      </c>
      <c r="V40" s="1572" t="s">
        <v>8</v>
      </c>
      <c r="W40" s="1573">
        <f t="shared" si="12"/>
        <v>100</v>
      </c>
      <c r="X40" s="1566"/>
      <c r="Y40" s="340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6"/>
      <c r="Q41" s="1571">
        <f t="shared" si="14"/>
        <v>111</v>
      </c>
      <c r="R41" s="1572" t="s">
        <v>8</v>
      </c>
      <c r="S41" s="1573">
        <f t="shared" si="10"/>
        <v>100</v>
      </c>
      <c r="T41" s="1572" t="s">
        <v>8</v>
      </c>
      <c r="U41" s="1573">
        <f t="shared" si="11"/>
        <v>100</v>
      </c>
      <c r="V41" s="1572" t="s">
        <v>8</v>
      </c>
      <c r="W41" s="1573">
        <f t="shared" si="12"/>
        <v>100</v>
      </c>
      <c r="X41" s="1566"/>
      <c r="Y41" s="3406"/>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6"/>
      <c r="Q42" s="1571">
        <f t="shared" si="14"/>
        <v>111</v>
      </c>
      <c r="R42" s="1576" t="s">
        <v>8</v>
      </c>
      <c r="S42" s="1577">
        <f t="shared" si="10"/>
        <v>100</v>
      </c>
      <c r="T42" s="1576" t="s">
        <v>8</v>
      </c>
      <c r="U42" s="1577">
        <f t="shared" si="11"/>
        <v>100</v>
      </c>
      <c r="V42" s="1576" t="s">
        <v>8</v>
      </c>
      <c r="W42" s="1577">
        <f t="shared" si="12"/>
        <v>100</v>
      </c>
      <c r="X42" s="1578"/>
      <c r="Y42" s="3406"/>
      <c r="Z42" s="1579">
        <f t="shared" si="13"/>
        <v>111</v>
      </c>
      <c r="AA42" s="1575">
        <f t="shared" si="3"/>
        <v>1</v>
      </c>
      <c r="AB42" s="1575">
        <f t="shared" si="4"/>
        <v>1</v>
      </c>
      <c r="AC42" s="1575">
        <f t="shared" si="5"/>
        <v>1</v>
      </c>
    </row>
    <row r="43" spans="1:29" ht="15">
      <c r="A43" s="606" t="s">
        <v>556</v>
      </c>
      <c r="B43" s="607" t="s">
        <v>2935</v>
      </c>
      <c r="C43" s="608" t="s">
        <v>1</v>
      </c>
      <c r="D43" s="609"/>
      <c r="E43" s="610"/>
      <c r="F43" s="611"/>
      <c r="G43" s="612"/>
      <c r="H43" s="613"/>
      <c r="I43" s="610"/>
      <c r="J43" s="613"/>
      <c r="K43" s="1338"/>
      <c r="L43" s="2144"/>
      <c r="M43" s="2134"/>
      <c r="N43" s="2134"/>
      <c r="O43" s="2145"/>
      <c r="P43" s="3369" t="str">
        <f>A43</f>
        <v>成交单价</v>
      </c>
      <c r="Q43" s="3369"/>
      <c r="R43" s="3370">
        <f>E43</f>
        <v>0</v>
      </c>
      <c r="S43" s="3370"/>
      <c r="T43" s="3370">
        <f>G43</f>
        <v>0</v>
      </c>
      <c r="U43" s="3370"/>
      <c r="V43" s="3370">
        <f>I43</f>
        <v>0</v>
      </c>
      <c r="W43" s="3370"/>
      <c r="X43" s="1558"/>
      <c r="Y43" s="1580"/>
      <c r="Z43" s="1558"/>
      <c r="AA43" s="1558"/>
      <c r="AB43" s="1558"/>
      <c r="AC43" s="1558"/>
    </row>
    <row r="44" spans="1:29" ht="15.75" thickBot="1">
      <c r="A44" s="614" t="s">
        <v>2697</v>
      </c>
      <c r="B44" s="615"/>
      <c r="C44" s="616" t="e">
        <f>R45</f>
        <v>#DIV/0!</v>
      </c>
      <c r="D44" s="617"/>
      <c r="E44" s="616" t="e">
        <f>R44</f>
        <v>#DIV/0!</v>
      </c>
      <c r="F44" s="618"/>
      <c r="G44" s="619" t="e">
        <f>T44</f>
        <v>#DIV/0!</v>
      </c>
      <c r="H44" s="617"/>
      <c r="I44" s="616" t="e">
        <f>V44</f>
        <v>#DIV/0!</v>
      </c>
      <c r="J44" s="617"/>
      <c r="K44" s="1339"/>
      <c r="L44" s="2144"/>
      <c r="M44" s="2134"/>
      <c r="N44" s="2134"/>
      <c r="O44" s="2145"/>
      <c r="P44" s="3369" t="str">
        <f>A44</f>
        <v>比较价格（元/平方米）</v>
      </c>
      <c r="Q44" s="3369"/>
      <c r="R44" s="3371" t="e">
        <f>ROUND(PRODUCT(R43,AA9:AA42),0)</f>
        <v>#DIV/0!</v>
      </c>
      <c r="S44" s="3371"/>
      <c r="T44" s="3371" t="e">
        <f>ROUND(PRODUCT(T43,AB9:AB42),0)</f>
        <v>#DIV/0!</v>
      </c>
      <c r="U44" s="3371"/>
      <c r="V44" s="3371" t="e">
        <f>ROUND(PRODUCT(V43,AC9:AC42),0)</f>
        <v>#DIV/0!</v>
      </c>
      <c r="W44" s="3371"/>
      <c r="X44" s="1558"/>
      <c r="Y44" s="1558"/>
      <c r="Z44" s="1558"/>
      <c r="AA44" s="1558"/>
      <c r="AB44" s="1558"/>
      <c r="AC44" s="1558"/>
    </row>
    <row r="45" spans="1:29" ht="15.75" thickBot="1">
      <c r="A45" s="620" t="s">
        <v>2936</v>
      </c>
      <c r="B45" s="621"/>
      <c r="C45" s="622" t="e">
        <f>R45</f>
        <v>#DIV/0!</v>
      </c>
      <c r="D45" s="622"/>
      <c r="E45" s="622"/>
      <c r="F45" s="622"/>
      <c r="G45" s="622"/>
      <c r="H45" s="622"/>
      <c r="I45" s="622"/>
      <c r="J45" s="622"/>
      <c r="K45" s="1340"/>
      <c r="L45" s="2144"/>
      <c r="M45" s="2134"/>
      <c r="N45" s="2134"/>
      <c r="O45" s="2145"/>
      <c r="P45" s="3366" t="str">
        <f>A45</f>
        <v>估价对象XX用房的比较价格（楼面单价，元/平方米）</v>
      </c>
      <c r="Q45" s="3367"/>
      <c r="R45" s="3368" t="e">
        <f>ROUND(AVERAGE(R44:V44),0)</f>
        <v>#DIV/0!</v>
      </c>
      <c r="S45" s="3368"/>
      <c r="T45" s="3368"/>
      <c r="U45" s="3368"/>
      <c r="V45" s="3368"/>
      <c r="W45" s="336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1725</v>
      </c>
      <c r="D52" s="2227" t="s">
        <v>2296</v>
      </c>
      <c r="E52" s="630" t="s">
        <v>562</v>
      </c>
      <c r="F52" s="1951" t="s">
        <v>563</v>
      </c>
      <c r="G52" s="3424" t="s">
        <v>2287</v>
      </c>
      <c r="H52" s="3425"/>
      <c r="I52" s="1952" t="s">
        <v>1948</v>
      </c>
      <c r="J52" s="1554" t="str">
        <f>项目基本情况!F41</f>
        <v>江苏省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564</v>
      </c>
      <c r="B53" s="633" t="e">
        <f>C45</f>
        <v>#DIV/0!</v>
      </c>
      <c r="C53" s="634">
        <v>1</v>
      </c>
      <c r="D53" s="2228">
        <v>1</v>
      </c>
      <c r="E53" s="634">
        <f>'数据-汇总表'!E8+'数据-汇总表'!E9</f>
        <v>41326</v>
      </c>
      <c r="F53" s="1950" t="e">
        <f t="shared" ref="F53:F62" si="15">ROUND(B53*E53/10000,0)</f>
        <v>#DIV/0!</v>
      </c>
      <c r="G53" s="3426"/>
      <c r="H53" s="342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565</v>
      </c>
      <c r="B54" s="637" t="e">
        <f>ROUND($C$45*C54*D54,0)</f>
        <v>#DIV/0!</v>
      </c>
      <c r="C54" s="377">
        <f t="shared" ref="C54:C62" si="16">IF($C$52="北京市系数",I54,J54)</f>
        <v>0</v>
      </c>
      <c r="D54" s="2229">
        <v>0.25</v>
      </c>
      <c r="E54" s="638"/>
      <c r="F54" s="1950" t="e">
        <f t="shared" si="15"/>
        <v>#DIV/0!</v>
      </c>
      <c r="G54" s="3428"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566</v>
      </c>
      <c r="B55" s="637" t="e">
        <f t="shared" ref="B55:B62" si="17">ROUND($C$45*C55*D55,0)</f>
        <v>#DIV/0!</v>
      </c>
      <c r="C55" s="377">
        <f t="shared" si="16"/>
        <v>0</v>
      </c>
      <c r="D55" s="2229">
        <v>0.25</v>
      </c>
      <c r="E55" s="638"/>
      <c r="F55" s="1950" t="e">
        <f t="shared" si="15"/>
        <v>#DIV/0!</v>
      </c>
      <c r="G55" s="342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567</v>
      </c>
      <c r="B56" s="637" t="e">
        <f t="shared" si="17"/>
        <v>#DIV/0!</v>
      </c>
      <c r="C56" s="377">
        <f t="shared" si="16"/>
        <v>0</v>
      </c>
      <c r="D56" s="2229">
        <v>0.25</v>
      </c>
      <c r="E56" s="638"/>
      <c r="F56" s="1950" t="e">
        <f t="shared" si="15"/>
        <v>#DIV/0!</v>
      </c>
      <c r="G56" s="342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568</v>
      </c>
      <c r="B57" s="637" t="e">
        <f t="shared" si="17"/>
        <v>#DIV/0!</v>
      </c>
      <c r="C57" s="377">
        <f t="shared" si="16"/>
        <v>0</v>
      </c>
      <c r="D57" s="2229">
        <v>0.25</v>
      </c>
      <c r="E57" s="638"/>
      <c r="F57" s="1950" t="e">
        <f t="shared" si="15"/>
        <v>#DIV/0!</v>
      </c>
      <c r="G57" s="342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7" t="e">
        <f t="shared" si="17"/>
        <v>#DIV/0!</v>
      </c>
      <c r="C58" s="377">
        <f t="shared" si="16"/>
        <v>0</v>
      </c>
      <c r="D58" s="2229">
        <v>0.25</v>
      </c>
      <c r="E58" s="640">
        <f>'数据-汇总表'!E11</f>
        <v>0</v>
      </c>
      <c r="F58" s="1950" t="e">
        <f t="shared" si="15"/>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570</v>
      </c>
      <c r="B60" s="637" t="e">
        <f t="shared" si="17"/>
        <v>#DIV/0!</v>
      </c>
      <c r="C60" s="377">
        <f t="shared" si="16"/>
        <v>0</v>
      </c>
      <c r="D60" s="2229">
        <v>0.25</v>
      </c>
      <c r="E60" s="640">
        <f>'数据-汇总表'!E13</f>
        <v>12024.36</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571</v>
      </c>
      <c r="B61" s="637" t="e">
        <f t="shared" si="17"/>
        <v>#DIV/0!</v>
      </c>
      <c r="C61" s="377">
        <f t="shared" si="16"/>
        <v>0</v>
      </c>
      <c r="D61" s="2229">
        <v>0.25</v>
      </c>
      <c r="E61" s="640">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572</v>
      </c>
      <c r="B62" s="637" t="e">
        <f t="shared" si="17"/>
        <v>#DIV/0!</v>
      </c>
      <c r="C62" s="377">
        <f t="shared" si="16"/>
        <v>0</v>
      </c>
      <c r="D62" s="2229">
        <v>0.25</v>
      </c>
      <c r="E62" s="640">
        <f>'数据-汇总表'!E15</f>
        <v>0</v>
      </c>
      <c r="F62" s="1950" t="e">
        <f t="shared" si="15"/>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573</v>
      </c>
      <c r="B63" s="642" t="s">
        <v>17</v>
      </c>
      <c r="C63" s="642" t="s">
        <v>18</v>
      </c>
      <c r="D63" s="642" t="s">
        <v>2297</v>
      </c>
      <c r="E63" s="642">
        <f>IF(B43="楼面地价",SUM(E53:E62),'数据-汇总表'!D3)</f>
        <v>25829</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2" t="s">
        <v>2537</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822" t="s">
        <v>2653</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8"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8"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2552</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621" t="s">
        <v>2554</v>
      </c>
      <c r="C95" s="2622" t="s">
        <v>2555</v>
      </c>
      <c r="D95" s="2622" t="s">
        <v>2556</v>
      </c>
      <c r="E95" s="2622" t="s">
        <v>2557</v>
      </c>
      <c r="F95" s="2622" t="s">
        <v>2558</v>
      </c>
      <c r="G95" s="2622" t="s">
        <v>2559</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4" t="str">
        <f t="shared" si="25"/>
        <v>(含)-</v>
      </c>
      <c r="L109" s="3115" t="str">
        <f t="shared" si="25"/>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2429</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84" priority="14" stopIfTrue="1" operator="containsText" text="超过">
      <formula>NOT(ISERROR(SEARCH("超过",F48)))</formula>
    </cfRule>
  </conditionalFormatting>
  <conditionalFormatting sqref="J50">
    <cfRule type="containsText" dxfId="83" priority="13" stopIfTrue="1" operator="containsText" text="超过">
      <formula>NOT(ISERROR(SEARCH("超过",J50)))</formula>
    </cfRule>
  </conditionalFormatting>
  <conditionalFormatting sqref="H50">
    <cfRule type="containsText" dxfId="82" priority="12" stopIfTrue="1" operator="containsText" text="超过">
      <formula>NOT(ISERROR(SEARCH("超过",H50)))</formula>
    </cfRule>
  </conditionalFormatting>
  <conditionalFormatting sqref="F50">
    <cfRule type="containsText" dxfId="81" priority="11" stopIfTrue="1" operator="containsText" text="超过">
      <formula>NOT(ISERROR(SEARCH("超过",F50)))</formula>
    </cfRule>
  </conditionalFormatting>
  <conditionalFormatting sqref="F49 H49 J49">
    <cfRule type="containsText" dxfId="80" priority="10" stopIfTrue="1" operator="containsText" text="超过">
      <formula>NOT(ISERROR(SEARCH("超过",F49)))</formula>
    </cfRule>
  </conditionalFormatting>
  <conditionalFormatting sqref="E48">
    <cfRule type="expression" dxfId="79" priority="9" stopIfTrue="1">
      <formula>$F$48="超过30%"</formula>
    </cfRule>
  </conditionalFormatting>
  <conditionalFormatting sqref="G50">
    <cfRule type="expression" dxfId="78" priority="8" stopIfTrue="1">
      <formula>$H$50="超过30%"</formula>
    </cfRule>
  </conditionalFormatting>
  <conditionalFormatting sqref="E50">
    <cfRule type="expression" dxfId="77" priority="6" stopIfTrue="1">
      <formula>$F$50="超过30%"</formula>
    </cfRule>
  </conditionalFormatting>
  <conditionalFormatting sqref="G48">
    <cfRule type="expression" dxfId="76" priority="5" stopIfTrue="1">
      <formula>$H$48="超过30%"</formula>
    </cfRule>
  </conditionalFormatting>
  <conditionalFormatting sqref="G49">
    <cfRule type="expression" dxfId="75" priority="4" stopIfTrue="1">
      <formula>$H$49="超过20%"</formula>
    </cfRule>
  </conditionalFormatting>
  <conditionalFormatting sqref="I48">
    <cfRule type="expression" dxfId="74" priority="3" stopIfTrue="1">
      <formula>$J$48="超过30%"</formula>
    </cfRule>
  </conditionalFormatting>
  <conditionalFormatting sqref="I49">
    <cfRule type="expression" dxfId="73" priority="2" stopIfTrue="1">
      <formula>$J$49="超过20%"</formula>
    </cfRule>
  </conditionalFormatting>
  <conditionalFormatting sqref="I50">
    <cfRule type="expression" dxfId="72" priority="1" stopIfTrue="1">
      <formula>$J$50="超过30%"</formula>
    </cfRule>
  </conditionalFormatting>
  <conditionalFormatting sqref="E49">
    <cfRule type="expression" dxfId="7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6" sqref="I6:L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0</v>
      </c>
      <c r="E1" s="1405" t="s">
        <v>2431</v>
      </c>
      <c r="F1" s="2476"/>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59" t="s">
        <v>2766</v>
      </c>
      <c r="S1" s="2959" t="s">
        <v>2767</v>
      </c>
      <c r="T1" s="2959" t="s">
        <v>2788</v>
      </c>
      <c r="U1" s="2959" t="s">
        <v>2789</v>
      </c>
      <c r="V1" s="2959" t="s">
        <v>2790</v>
      </c>
      <c r="W1" s="2189"/>
      <c r="X1" s="2189"/>
      <c r="Y1" s="2189"/>
      <c r="Z1" s="2189"/>
      <c r="AA1" s="2189"/>
      <c r="AB1" s="2189"/>
      <c r="AC1" s="2190"/>
    </row>
    <row r="2" spans="1:39" ht="15.75">
      <c r="A2" s="1405" t="s">
        <v>920</v>
      </c>
      <c r="B2" s="1036"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1688</v>
      </c>
      <c r="B3" s="1036" t="e">
        <f>ROUND(B2*10000/D1,0)</f>
        <v>#DIV/0!</v>
      </c>
      <c r="C3" s="1406" t="s">
        <v>927</v>
      </c>
      <c r="D3" s="1407" t="s">
        <v>928</v>
      </c>
      <c r="E3" s="1411"/>
      <c r="F3" s="1412" t="s">
        <v>2937</v>
      </c>
      <c r="G3" s="1037">
        <f>IF(F3="宗地容积率",'数据-汇总表'!I4,IF(F3="估价对象容积率",'数据-汇总表'!I6,'数据-汇总表'!I7))</f>
        <v>1.6</v>
      </c>
      <c r="H3" s="1413" t="s">
        <v>929</v>
      </c>
      <c r="I3" s="1038">
        <v>8</v>
      </c>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1824</v>
      </c>
      <c r="B5" s="1414" t="s">
        <v>931</v>
      </c>
      <c r="C5" s="1039" t="e">
        <f>ROUND(IF(E2="商业",IF(F16="增加",C6*C7+C16,C6*C7-C16),IF(E2="住宅",IF(F16="增加",C6*C12+C16,C6*C12-C16),IF(F16="增加",C6+C16,C6-C16))),0)</f>
        <v>#DIV/0!</v>
      </c>
      <c r="D5" s="3146">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38" t="str">
        <f>IF(E2="商业",IF(C8="不临58条商业街","",2),"")</f>
        <v/>
      </c>
      <c r="B7" s="1426" t="s">
        <v>932</v>
      </c>
      <c r="C7" s="1041" t="e">
        <f>IF(C8="不临58条商业街",1,ROUND(1+(1.6*E8+1.2*E9+0.8*E10+0.4*E11)*C9,4))</f>
        <v>#DIV/0!</v>
      </c>
      <c r="D7" s="1427" t="s">
        <v>933</v>
      </c>
      <c r="E7" s="1042"/>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2769</v>
      </c>
      <c r="X7" s="2950">
        <f>G2</f>
        <v>0</v>
      </c>
      <c r="Y7" s="2950" t="s">
        <v>2770</v>
      </c>
      <c r="Z7" s="2951">
        <f>G3</f>
        <v>1.6</v>
      </c>
      <c r="AA7" s="2192"/>
      <c r="AB7" s="2192"/>
      <c r="AC7" s="2193"/>
      <c r="AD7" s="2952"/>
      <c r="AE7" s="2952"/>
      <c r="AF7" s="2952"/>
      <c r="AG7" s="2952"/>
      <c r="AH7" s="2952"/>
      <c r="AI7" s="2952"/>
      <c r="AJ7" s="2953"/>
    </row>
    <row r="8" spans="1:39" ht="15">
      <c r="A8" s="3439"/>
      <c r="B8" s="1413" t="s">
        <v>934</v>
      </c>
      <c r="C8" s="1528"/>
      <c r="D8" s="1043" t="s">
        <v>935</v>
      </c>
      <c r="E8" s="1044" t="e">
        <f>ROUND(C11/E7,4)</f>
        <v>#DIV/0!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30" t="s">
        <v>2787</v>
      </c>
      <c r="X8" s="3431"/>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439"/>
      <c r="B9" s="1413" t="s">
        <v>937</v>
      </c>
      <c r="C9" s="1045">
        <f>SUMIF(修正!C59:C119,C8,修正!E59:E119)</f>
        <v>0</v>
      </c>
      <c r="D9" s="1046" t="s">
        <v>938</v>
      </c>
      <c r="E9" s="1046" t="e">
        <f>ROUND(C11/E7,4)</f>
        <v>#DIV/0!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29" t="s">
        <v>2783</v>
      </c>
      <c r="X9" s="2954" t="s">
        <v>2784</v>
      </c>
      <c r="Y9" s="3120"/>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39"/>
      <c r="B10" s="1413" t="s">
        <v>940</v>
      </c>
      <c r="C10" s="1046">
        <f>SUMIF(修正!C59:C119,C8,修正!F59:F119)</f>
        <v>0</v>
      </c>
      <c r="D10" s="1046" t="s">
        <v>941</v>
      </c>
      <c r="E10" s="1046" t="e">
        <f>ROUND(C11/E7,4)</f>
        <v>#DIV/0!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29"/>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39"/>
      <c r="B11" s="1434" t="s">
        <v>943</v>
      </c>
      <c r="C11" s="1047">
        <f>C10/4</f>
        <v>0</v>
      </c>
      <c r="D11" s="1047" t="s">
        <v>944</v>
      </c>
      <c r="E11" s="1047" t="e">
        <f>ROUND(C11/E7,4)</f>
        <v>#DIV/0!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29" t="s">
        <v>2785</v>
      </c>
      <c r="X11" s="1046" t="s">
        <v>2770</v>
      </c>
      <c r="Y11" s="1652">
        <f>$G$3</f>
        <v>1.6</v>
      </c>
      <c r="Z11" s="1652">
        <f t="shared" ref="Z11:AJ11" si="3">$G$3</f>
        <v>1.6</v>
      </c>
      <c r="AA11" s="1652">
        <f t="shared" si="3"/>
        <v>1.6</v>
      </c>
      <c r="AB11" s="1652">
        <f t="shared" si="3"/>
        <v>1.6</v>
      </c>
      <c r="AC11" s="1652">
        <f t="shared" si="3"/>
        <v>1.6</v>
      </c>
      <c r="AD11" s="1652">
        <f t="shared" si="3"/>
        <v>1.6</v>
      </c>
      <c r="AE11" s="1652">
        <f t="shared" si="3"/>
        <v>1.6</v>
      </c>
      <c r="AF11" s="1652">
        <f t="shared" si="3"/>
        <v>1.6</v>
      </c>
      <c r="AG11" s="1652">
        <f t="shared" si="3"/>
        <v>1.6</v>
      </c>
      <c r="AH11" s="1652">
        <f t="shared" si="3"/>
        <v>1.6</v>
      </c>
      <c r="AI11" s="1652">
        <f t="shared" si="3"/>
        <v>1.6</v>
      </c>
      <c r="AJ11" s="1652">
        <f t="shared" si="3"/>
        <v>1.6</v>
      </c>
    </row>
    <row r="12" spans="1:39" ht="25.5" thickBot="1">
      <c r="A12" s="3438"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29"/>
      <c r="X12" s="2957" t="s">
        <v>2786</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40"/>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29"/>
      <c r="X13" s="2957"/>
      <c r="Y13" s="2956">
        <f>(-0.163*(Y12^2)-0.59*Y12+7617)*(10^(-4))/Y11</f>
        <v>0.4760625</v>
      </c>
      <c r="Z13" s="2956">
        <f t="shared" ref="Z13:AJ13" si="5">(-0.163*(Z12^2)-0.59*Z12+7617)*(10^(-4))/Z11</f>
        <v>0.4760625</v>
      </c>
      <c r="AA13" s="2956">
        <f t="shared" si="5"/>
        <v>0.4760625</v>
      </c>
      <c r="AB13" s="2956">
        <f t="shared" si="5"/>
        <v>0.4760625</v>
      </c>
      <c r="AC13" s="2956">
        <f t="shared" si="5"/>
        <v>0.4760625</v>
      </c>
      <c r="AD13" s="2956">
        <f t="shared" si="5"/>
        <v>0.4760625</v>
      </c>
      <c r="AE13" s="2956">
        <f t="shared" si="5"/>
        <v>0.4760625</v>
      </c>
      <c r="AF13" s="2956">
        <f t="shared" si="5"/>
        <v>0.4760625</v>
      </c>
      <c r="AG13" s="2956">
        <f t="shared" si="5"/>
        <v>0.4760625</v>
      </c>
      <c r="AH13" s="2956">
        <f t="shared" si="5"/>
        <v>0.4760625</v>
      </c>
      <c r="AI13" s="2956">
        <f t="shared" si="5"/>
        <v>0.4760625</v>
      </c>
      <c r="AJ13" s="2956">
        <f t="shared" si="5"/>
        <v>0.4760625</v>
      </c>
    </row>
    <row r="14" spans="1:39" ht="12.75" customHeight="1" thickBot="1">
      <c r="A14" s="3440"/>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41"/>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38" t="s">
        <v>1839</v>
      </c>
      <c r="B16" s="1426" t="s">
        <v>950</v>
      </c>
      <c r="C16" s="1052" t="e">
        <f>ROUND(SUM(G17:J17)/C17,0)</f>
        <v>#DIV/0!</v>
      </c>
      <c r="D16" s="1459" t="s">
        <v>951</v>
      </c>
      <c r="E16" s="1460"/>
      <c r="F16" s="1461"/>
      <c r="G16" s="1462"/>
      <c r="H16" s="1462"/>
      <c r="I16" s="1462"/>
      <c r="J16" s="1462"/>
      <c r="K16" s="1400"/>
      <c r="L16" s="1463" t="s">
        <v>988</v>
      </c>
      <c r="M16" s="1045">
        <v>0.25</v>
      </c>
      <c r="N16" s="1045">
        <v>0.2</v>
      </c>
      <c r="O16" s="1045">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39"/>
      <c r="B17" s="1464" t="s">
        <v>953</v>
      </c>
      <c r="C17" s="1053">
        <f>SUMPRODUCT((修正!A2:A5=E2)*(修正!B1:M1=G2)*(修正!B2:M5))</f>
        <v>0</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t="e">
        <f>ROUND(IF(H19="按公示增长率计算",SUMPRODUCT((地价!A3:A22=YEAR(G19)&amp;"-"&amp;ROUNDUP(MONTH(G19)/3,0))*(地价!X2:AB2=E2)*(地价!X3:AB22)),IF(H19="地价指数",M20/M19,(1+I19)^O19)),4)</f>
        <v>#DIV/0!</v>
      </c>
      <c r="D19" s="1473" t="s">
        <v>958</v>
      </c>
      <c r="E19" s="1056">
        <v>41640</v>
      </c>
      <c r="F19" s="1473" t="s">
        <v>959</v>
      </c>
      <c r="G19" s="1057">
        <f>'数据-取费表'!B2</f>
        <v>43249</v>
      </c>
      <c r="H19" s="1474" t="s">
        <v>2938</v>
      </c>
      <c r="I19" s="2808" t="str">
        <f>IF(H19="季度增幅（自定义）",SUMIF(N21:N24,E2,O21:O24),"")</f>
        <v/>
      </c>
      <c r="J19" s="1470"/>
      <c r="K19" s="1480"/>
      <c r="L19" s="3063" t="s">
        <v>2845</v>
      </c>
      <c r="M19" s="3064">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1837</v>
      </c>
      <c r="B20" s="2803" t="s">
        <v>972</v>
      </c>
      <c r="C20" s="2804" t="e">
        <f>ROUND(POWER(1+G20,J20-I20)*(POWER(1+G20,I20)-1)/(POWER(1+G20,J20)-1),4)</f>
        <v>#DIV/0!</v>
      </c>
      <c r="D20" s="2805" t="s">
        <v>973</v>
      </c>
      <c r="E20" s="3117">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5" t="s">
        <v>2846</v>
      </c>
      <c r="M20" s="3066">
        <f>ROUND(SUMPRODUCT((地价!A4:A22=YEAR(G19)&amp;"-"&amp;ROUNDUP(MONTH(G19)/3,0))*(地价!B2:F2=E2)*(地价!B4:F22)),0)</f>
        <v>0</v>
      </c>
      <c r="N20" s="2813" t="s">
        <v>2649</v>
      </c>
      <c r="O20" s="2811" t="s">
        <v>2648</v>
      </c>
      <c r="P20" s="2812" t="s">
        <v>2654</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1838</v>
      </c>
      <c r="B21" s="1479" t="s">
        <v>2765</v>
      </c>
      <c r="C21" s="1156">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t="b">
        <f>IF(E22=G22,F22,IF(G3&lt;=10,ROUND(F22+(H22-F22)*(G3-E22)/(G22-E22),4),"——"))</f>
        <v>0</v>
      </c>
      <c r="E22" s="1037">
        <f>ROUNDDOWN(G3,1)</f>
        <v>1.6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978</v>
      </c>
      <c r="J22" s="1058"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1873</v>
      </c>
      <c r="B24" s="1414" t="s">
        <v>981</v>
      </c>
      <c r="C24" s="1060">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21" t="s">
        <v>2652</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1"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2"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1" t="e">
        <f>ROUND(C5*C18*C19*C20*C21*C24,0)</f>
        <v>#DIV/0!</v>
      </c>
      <c r="D29" s="1503"/>
      <c r="E29" s="1849" t="e">
        <f>ROUND(C29*D29/10000,0)</f>
        <v>#DIV/0!</v>
      </c>
      <c r="F29" s="1504" t="s">
        <v>1702</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49"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4" t="s">
        <v>2964</v>
      </c>
      <c r="B33" s="1523" t="s">
        <v>1000</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5"/>
      <c r="B34" s="1444" t="s">
        <v>1001</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5"/>
      <c r="B35" s="1444" t="s">
        <v>1002</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6"/>
      <c r="B36" s="1444" t="s">
        <v>1003</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4"/>
      <c r="H44" s="2447"/>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1009</v>
      </c>
      <c r="B46" s="2432" t="s">
        <v>1010</v>
      </c>
      <c r="C46" s="2454" t="s">
        <v>1011</v>
      </c>
      <c r="D46" s="2455" t="s">
        <v>1012</v>
      </c>
      <c r="E46" s="2456" t="s">
        <v>1014</v>
      </c>
      <c r="F46" s="2457" t="s">
        <v>2253</v>
      </c>
      <c r="G46" s="2455" t="s">
        <v>1015</v>
      </c>
      <c r="H46" s="2438" t="s">
        <v>2422</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1021</v>
      </c>
      <c r="B47" s="2435" t="str">
        <f>估价对象房地状况!C16</f>
        <v>估价对象周边商业氛围较成熟，人流量较大，商业繁华度较好</v>
      </c>
      <c r="C47" s="1048"/>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1022</v>
      </c>
      <c r="B48" s="2432" t="str">
        <f>估价对象房地状况!C18</f>
        <v>估价对象周边道路状况、公共交通通达情况、停车便捷程度，综合评价交通便捷度较好</v>
      </c>
      <c r="C48" s="1048"/>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1023</v>
      </c>
      <c r="B49" s="2432" t="str">
        <f>估价对象房地状况!C19</f>
        <v>较一致</v>
      </c>
      <c r="C49" s="1048"/>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1024</v>
      </c>
      <c r="B50" s="3119" t="s">
        <v>2940</v>
      </c>
      <c r="C50" s="1048"/>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1025</v>
      </c>
      <c r="B51" s="2432" t="str">
        <f>估价对象房地状况!C24</f>
        <v>主干道——兴业路</v>
      </c>
      <c r="C51" s="1048"/>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1026</v>
      </c>
      <c r="B52" s="3118" t="s">
        <v>2939</v>
      </c>
      <c r="C52" s="1048"/>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估价对象所在区域公共配套设施齐备</v>
      </c>
      <c r="C53" s="1048"/>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估价对象所在区域基础设施水平六通</v>
      </c>
      <c r="C54" s="1048"/>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区域自然环境较好；人文环境一般；综合评价环境状况较好</v>
      </c>
      <c r="C55" s="1048"/>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4" t="s">
        <v>1011</v>
      </c>
      <c r="D57" s="2455" t="s">
        <v>1012</v>
      </c>
      <c r="E57" s="2456" t="s">
        <v>1014</v>
      </c>
      <c r="F57" s="2457" t="s">
        <v>2254</v>
      </c>
      <c r="G57" s="2455" t="s">
        <v>1015</v>
      </c>
      <c r="H57" s="2438" t="s">
        <v>2422</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1031</v>
      </c>
      <c r="B58" s="2435" t="str">
        <f>估价对象房地状况!C17</f>
        <v>估价对象位于XX商圈，周边办公楼项目较多，入驻率高，办公集聚程度较好</v>
      </c>
      <c r="C58" s="1048"/>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1022</v>
      </c>
      <c r="B59" s="2432" t="str">
        <f>估价对象房地状况!C18</f>
        <v>估价对象周边道路状况、公共交通通达情况、停车便捷程度，综合评价交通便捷度较好</v>
      </c>
      <c r="C59" s="1048"/>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t="str">
        <f>估价对象房地状况!C19</f>
        <v>较一致</v>
      </c>
      <c r="C60" s="1048"/>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19" t="s">
        <v>2941</v>
      </c>
      <c r="C61" s="1048"/>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t="str">
        <f>估价对象房地状况!C24</f>
        <v>主干道——兴业路</v>
      </c>
      <c r="C62" s="1048"/>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18" t="s">
        <v>2939</v>
      </c>
      <c r="C63" s="1048"/>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33" t="str">
        <f>估价对象房地状况!C21</f>
        <v>估价对象所在区域公共配套设施齐备</v>
      </c>
      <c r="C64" s="1048"/>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估价对象所在区域基础设施水平六通</v>
      </c>
      <c r="C65" s="1048"/>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区域自然环境较好；人文环境一般；综合评价环境状况较好</v>
      </c>
      <c r="C66" s="1048"/>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4" t="s">
        <v>1011</v>
      </c>
      <c r="D68" s="2455" t="s">
        <v>1012</v>
      </c>
      <c r="E68" s="2456" t="s">
        <v>1014</v>
      </c>
      <c r="F68" s="2457" t="s">
        <v>2255</v>
      </c>
      <c r="G68" s="2455" t="s">
        <v>1015</v>
      </c>
      <c r="H68" s="2438" t="s">
        <v>2422</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1033</v>
      </c>
      <c r="B69" s="2435" t="str">
        <f>估价对象房地状况!C15</f>
        <v>估价对象周边居住用地大、居住小区规模大，社区发展完善，综合评价居住社区成熟度较好</v>
      </c>
      <c r="C69" s="1157"/>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1034</v>
      </c>
      <c r="B70" s="2432" t="str">
        <f>估价对象房地状况!C18</f>
        <v>估价对象周边道路状况、公共交通通达情况、停车便捷程度，综合评价交通便捷度较好</v>
      </c>
      <c r="C70" s="1157"/>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t="str">
        <f>估价对象房地状况!C19</f>
        <v>较一致</v>
      </c>
      <c r="C71" s="1157"/>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t="str">
        <f>估价对象房地状况!C24</f>
        <v>主干道——兴业路</v>
      </c>
      <c r="C72" s="1157"/>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33" t="str">
        <f>估价对象房地状况!C21</f>
        <v>估价对象所在区域公共配套设施齐备</v>
      </c>
      <c r="C73" s="1157"/>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估价对象所在区域基础设施水平六通</v>
      </c>
      <c r="C74" s="1157"/>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18" t="s">
        <v>2939</v>
      </c>
      <c r="C75" s="1157"/>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1029</v>
      </c>
      <c r="B76" s="2435" t="str">
        <f>估价对象房地状况!C20</f>
        <v>区域自然环境较好；人文环境一般；综合评价环境状况较好</v>
      </c>
      <c r="C76" s="1157"/>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7"/>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4"/>
      <c r="K78" s="1064"/>
      <c r="L78" s="1064"/>
      <c r="M78" s="1064"/>
      <c r="N78" s="1064"/>
      <c r="AC78" s="1404"/>
      <c r="AD78" s="1403"/>
      <c r="AJ78" s="1402"/>
      <c r="AN78" s="1403"/>
    </row>
    <row r="79" spans="1:40" ht="24">
      <c r="A79" s="1065" t="s">
        <v>1009</v>
      </c>
      <c r="B79" s="2432"/>
      <c r="C79" s="2454" t="s">
        <v>1011</v>
      </c>
      <c r="D79" s="2455" t="s">
        <v>1012</v>
      </c>
      <c r="E79" s="2456" t="s">
        <v>1014</v>
      </c>
      <c r="F79" s="2457" t="s">
        <v>2256</v>
      </c>
      <c r="G79" s="2455" t="s">
        <v>1015</v>
      </c>
      <c r="H79" s="2438" t="s">
        <v>2422</v>
      </c>
      <c r="I79" s="2455" t="s">
        <v>1013</v>
      </c>
      <c r="J79" s="2458" t="s">
        <v>1016</v>
      </c>
      <c r="K79" s="2458" t="s">
        <v>1017</v>
      </c>
      <c r="L79" s="2458" t="s">
        <v>1018</v>
      </c>
      <c r="M79" s="2458" t="s">
        <v>1019</v>
      </c>
      <c r="N79" s="2458" t="s">
        <v>1020</v>
      </c>
      <c r="AC79" s="1404"/>
      <c r="AD79" s="1403"/>
      <c r="AJ79" s="1402"/>
      <c r="AN79" s="1403"/>
    </row>
    <row r="80" spans="1:40" ht="36">
      <c r="A80" s="1065" t="s">
        <v>1038</v>
      </c>
      <c r="B80" s="2432" t="str">
        <f>估价对象房地状况!G15</f>
        <v>估价对象位于XX开发区，园区建设成熟度XX，产业集聚程度XX</v>
      </c>
      <c r="C80" s="1048"/>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5" t="s">
        <v>1023</v>
      </c>
      <c r="B82" s="2432">
        <f>估价对象房地状况!G17</f>
        <v>0</v>
      </c>
      <c r="C82" s="1048"/>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5" t="s">
        <v>1035</v>
      </c>
      <c r="B83" s="2432">
        <f>估价对象房地状况!G22</f>
        <v>0</v>
      </c>
      <c r="C83" s="1048"/>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5" t="s">
        <v>1027</v>
      </c>
      <c r="B84" s="2433" t="str">
        <f>估价对象房地状况!G19</f>
        <v>估价对象所在区域公共配套设施齐备情况</v>
      </c>
      <c r="C84" s="1048"/>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5" t="s">
        <v>1028</v>
      </c>
      <c r="B85" s="2433" t="str">
        <f>估价对象房地状况!G20</f>
        <v>估价对象所在区域基础设施水平</v>
      </c>
      <c r="C85" s="1048"/>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5" t="s">
        <v>1026</v>
      </c>
      <c r="B86" s="3118" t="s">
        <v>2939</v>
      </c>
      <c r="C86" s="1048"/>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8"/>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42" t="s">
        <v>1634</v>
      </c>
      <c r="B90" s="3442"/>
      <c r="C90" s="3442"/>
      <c r="D90" s="3442"/>
      <c r="E90" s="3442"/>
      <c r="F90" s="3442"/>
      <c r="G90" s="3442"/>
      <c r="H90" s="3442"/>
      <c r="I90" s="3442"/>
      <c r="J90" s="3442"/>
      <c r="K90" s="2474"/>
      <c r="L90" s="2474"/>
      <c r="M90" s="2474"/>
      <c r="N90" s="2474"/>
    </row>
    <row r="91" spans="1:40">
      <c r="A91" s="3443" t="s">
        <v>1444</v>
      </c>
      <c r="B91" s="3443" t="s">
        <v>1635</v>
      </c>
      <c r="C91" s="1138" t="s">
        <v>1636</v>
      </c>
      <c r="D91" s="1139"/>
      <c r="E91" s="1139"/>
      <c r="F91" s="1139"/>
      <c r="G91" s="1139"/>
      <c r="H91" s="1139"/>
      <c r="I91" s="1139"/>
      <c r="J91" s="1140"/>
      <c r="K91" s="1132"/>
      <c r="L91" s="1132"/>
      <c r="M91" s="1132"/>
      <c r="N91" s="1132"/>
    </row>
    <row r="92" spans="1:40">
      <c r="A92" s="3443"/>
      <c r="B92" s="3443"/>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32" t="s">
        <v>2768</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3"/>
      <c r="B99" s="1141" t="s">
        <v>1637</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2" t="s">
        <v>1638</v>
      </c>
      <c r="B101" s="1145" t="s">
        <v>906</v>
      </c>
      <c r="C101" s="1146">
        <f>$G$3</f>
        <v>1.6</v>
      </c>
      <c r="D101" s="1146">
        <f t="shared" ref="D101:N101" si="31">$G$3</f>
        <v>1.6</v>
      </c>
      <c r="E101" s="1146">
        <f t="shared" si="31"/>
        <v>1.6</v>
      </c>
      <c r="F101" s="1146">
        <f t="shared" si="31"/>
        <v>1.6</v>
      </c>
      <c r="G101" s="1146">
        <f t="shared" si="31"/>
        <v>1.6</v>
      </c>
      <c r="H101" s="1146">
        <f t="shared" si="31"/>
        <v>1.6</v>
      </c>
      <c r="I101" s="1146">
        <f t="shared" si="31"/>
        <v>1.6</v>
      </c>
      <c r="J101" s="1146">
        <f t="shared" si="31"/>
        <v>1.6</v>
      </c>
      <c r="K101" s="1146">
        <f t="shared" si="31"/>
        <v>1.6</v>
      </c>
      <c r="L101" s="1146">
        <f t="shared" si="31"/>
        <v>1.6</v>
      </c>
      <c r="M101" s="1146">
        <f t="shared" si="31"/>
        <v>1.6</v>
      </c>
      <c r="N101" s="1146">
        <f t="shared" si="31"/>
        <v>1.6</v>
      </c>
    </row>
    <row r="102" spans="1:14">
      <c r="A102" s="3433"/>
      <c r="B102" s="1141">
        <v>1</v>
      </c>
      <c r="C102" s="1142">
        <f>1.9362/C101</f>
        <v>1.2101249999999999</v>
      </c>
      <c r="D102" s="1142">
        <f>1.9362/D101</f>
        <v>1.2101249999999999</v>
      </c>
      <c r="E102" s="1142">
        <f>1.8629/E101</f>
        <v>1.1643124999999999</v>
      </c>
      <c r="F102" s="1142">
        <f>1.8629/F101</f>
        <v>1.1643124999999999</v>
      </c>
      <c r="G102" s="1142">
        <f>1.8629/G101</f>
        <v>1.1643124999999999</v>
      </c>
      <c r="H102" s="1142">
        <f>1.8629/H101</f>
        <v>1.1643124999999999</v>
      </c>
      <c r="I102" s="1142">
        <f>1.8629/I101</f>
        <v>1.1643124999999999</v>
      </c>
      <c r="J102" s="1142">
        <f>1.942/J101</f>
        <v>1.2137499999999999</v>
      </c>
      <c r="K102" s="1142">
        <f>1.942/K101</f>
        <v>1.2137499999999999</v>
      </c>
      <c r="L102" s="1142">
        <f>1.942/L101</f>
        <v>1.2137499999999999</v>
      </c>
      <c r="M102" s="1142">
        <f>1.942/M101</f>
        <v>1.2137499999999999</v>
      </c>
      <c r="N102" s="1142">
        <f>1.942/N101</f>
        <v>1.2137499999999999</v>
      </c>
    </row>
    <row r="103" spans="1:14">
      <c r="A103" s="3433"/>
      <c r="B103" s="1141">
        <v>2</v>
      </c>
      <c r="C103" s="1142">
        <f>1.4198/C101</f>
        <v>0.88737499999999991</v>
      </c>
      <c r="D103" s="1142">
        <f>1.4198/D101</f>
        <v>0.88737499999999991</v>
      </c>
      <c r="E103" s="1142">
        <f>1.3372/E101</f>
        <v>0.83574999999999988</v>
      </c>
      <c r="F103" s="1142">
        <f>1.3372/F101</f>
        <v>0.83574999999999988</v>
      </c>
      <c r="G103" s="1142">
        <f>1.3372/G101</f>
        <v>0.83574999999999988</v>
      </c>
      <c r="H103" s="1142">
        <f>1.3372/H101</f>
        <v>0.83574999999999988</v>
      </c>
      <c r="I103" s="1142">
        <f>1.3372/I101</f>
        <v>0.83574999999999988</v>
      </c>
      <c r="J103" s="1142">
        <f>1.2799/J101</f>
        <v>0.79993749999999997</v>
      </c>
      <c r="K103" s="1142">
        <f>1.2799/K101</f>
        <v>0.79993749999999997</v>
      </c>
      <c r="L103" s="1142">
        <f>1.2799/L101</f>
        <v>0.79993749999999997</v>
      </c>
      <c r="M103" s="1142">
        <f>1.2799/M101</f>
        <v>0.79993749999999997</v>
      </c>
      <c r="N103" s="1142">
        <f>1.2799/N101</f>
        <v>0.79993749999999997</v>
      </c>
    </row>
    <row r="104" spans="1:14">
      <c r="A104" s="3433"/>
      <c r="B104" s="1141">
        <v>3</v>
      </c>
      <c r="C104" s="1142">
        <f>1.1594/C101</f>
        <v>0.72462499999999996</v>
      </c>
      <c r="D104" s="1142">
        <f>1.1594/D101</f>
        <v>0.72462499999999996</v>
      </c>
      <c r="E104" s="1142">
        <f>1.0788/E101</f>
        <v>0.6742499999999999</v>
      </c>
      <c r="F104" s="1142">
        <f>1.0788/F101</f>
        <v>0.6742499999999999</v>
      </c>
      <c r="G104" s="1142">
        <f>1.0788/G101</f>
        <v>0.6742499999999999</v>
      </c>
      <c r="H104" s="1142">
        <f>1.0788/H101</f>
        <v>0.6742499999999999</v>
      </c>
      <c r="I104" s="1142">
        <f>1.0788/I101</f>
        <v>0.6742499999999999</v>
      </c>
      <c r="J104" s="1142">
        <f>1.0072/J101</f>
        <v>0.62950000000000006</v>
      </c>
      <c r="K104" s="1142">
        <f>1.0072/K101</f>
        <v>0.62950000000000006</v>
      </c>
      <c r="L104" s="1142">
        <f>1.0072/L101</f>
        <v>0.62950000000000006</v>
      </c>
      <c r="M104" s="1142">
        <f>1.0072/M101</f>
        <v>0.62950000000000006</v>
      </c>
      <c r="N104" s="1142">
        <f>1.0072/N101</f>
        <v>0.62950000000000006</v>
      </c>
    </row>
    <row r="105" spans="1:14">
      <c r="A105" s="3433"/>
      <c r="B105" s="1141">
        <v>4</v>
      </c>
      <c r="C105" s="1142">
        <f>0.9622/C101</f>
        <v>0.60137499999999999</v>
      </c>
      <c r="D105" s="1142">
        <f>0.9622/D101</f>
        <v>0.60137499999999999</v>
      </c>
      <c r="E105" s="1142">
        <f>0.8656/E101</f>
        <v>0.54100000000000004</v>
      </c>
      <c r="F105" s="1142">
        <f>0.8656/F101</f>
        <v>0.54100000000000004</v>
      </c>
      <c r="G105" s="1142">
        <f>0.8656/G101</f>
        <v>0.54100000000000004</v>
      </c>
      <c r="H105" s="1142">
        <f>0.8656/H101</f>
        <v>0.54100000000000004</v>
      </c>
      <c r="I105" s="1142">
        <f>0.8656/I101</f>
        <v>0.54100000000000004</v>
      </c>
      <c r="J105" s="1142">
        <f>0.7525/J101</f>
        <v>0.47031249999999997</v>
      </c>
      <c r="K105" s="1142">
        <f>0.7525/K101</f>
        <v>0.47031249999999997</v>
      </c>
      <c r="L105" s="1142">
        <f>0.7525/L101</f>
        <v>0.47031249999999997</v>
      </c>
      <c r="M105" s="1142">
        <f>0.7525/M101</f>
        <v>0.47031249999999997</v>
      </c>
      <c r="N105" s="1142">
        <f>0.7525/N101</f>
        <v>0.47031249999999997</v>
      </c>
    </row>
    <row r="106" spans="1:14">
      <c r="A106" s="3433"/>
      <c r="B106" s="1141">
        <v>5</v>
      </c>
      <c r="C106" s="1142">
        <f>0.8417/C101</f>
        <v>0.52606249999999999</v>
      </c>
      <c r="D106" s="1142">
        <f>0.8417/D101</f>
        <v>0.52606249999999999</v>
      </c>
      <c r="E106" s="1142">
        <f>0.7371/E101</f>
        <v>0.46068749999999997</v>
      </c>
      <c r="F106" s="1142">
        <f>0.7371/F101</f>
        <v>0.46068749999999997</v>
      </c>
      <c r="G106" s="1142">
        <f>0.7371/G101</f>
        <v>0.46068749999999997</v>
      </c>
      <c r="H106" s="1142">
        <f>0.7371/H101</f>
        <v>0.46068749999999997</v>
      </c>
      <c r="I106" s="1142">
        <f>0.7371/I101</f>
        <v>0.46068749999999997</v>
      </c>
      <c r="J106" s="1142">
        <f>0.5659/J101</f>
        <v>0.35368749999999993</v>
      </c>
      <c r="K106" s="1142">
        <f>0.5659/K101</f>
        <v>0.35368749999999993</v>
      </c>
      <c r="L106" s="1142">
        <f>0.5659/L101</f>
        <v>0.35368749999999993</v>
      </c>
      <c r="M106" s="1142">
        <f>0.5659/M101</f>
        <v>0.35368749999999993</v>
      </c>
      <c r="N106" s="1142">
        <f>0.5659/N101</f>
        <v>0.35368749999999993</v>
      </c>
    </row>
    <row r="107" spans="1:14">
      <c r="A107" s="3433"/>
      <c r="B107" s="1141">
        <v>6</v>
      </c>
      <c r="C107" s="1142">
        <f>0.7608/C101</f>
        <v>0.47549999999999998</v>
      </c>
      <c r="D107" s="1142">
        <f>0.7608/D101</f>
        <v>0.47549999999999998</v>
      </c>
      <c r="E107" s="1142">
        <f>0.6482/E101</f>
        <v>0.40512499999999996</v>
      </c>
      <c r="F107" s="1142">
        <f>0.6482/F101</f>
        <v>0.40512499999999996</v>
      </c>
      <c r="G107" s="1142">
        <f>0.6482/G101</f>
        <v>0.40512499999999996</v>
      </c>
      <c r="H107" s="1142">
        <f>0.6482/H101</f>
        <v>0.40512499999999996</v>
      </c>
      <c r="I107" s="1142">
        <f>0.6482/I101</f>
        <v>0.40512499999999996</v>
      </c>
      <c r="J107" s="1142">
        <f>0.4525/J101</f>
        <v>0.28281249999999997</v>
      </c>
      <c r="K107" s="1142">
        <f>0.4525/K101</f>
        <v>0.28281249999999997</v>
      </c>
      <c r="L107" s="1142">
        <f>0.4525/L101</f>
        <v>0.28281249999999997</v>
      </c>
      <c r="M107" s="1142">
        <f>0.4525/M101</f>
        <v>0.28281249999999997</v>
      </c>
      <c r="N107" s="1142">
        <f>0.4525/N101</f>
        <v>0.28281249999999997</v>
      </c>
    </row>
    <row r="108" spans="1:14">
      <c r="A108" s="3433"/>
      <c r="B108" s="3435" t="s">
        <v>1639</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4"/>
      <c r="B109" s="3436"/>
      <c r="C109" s="1144">
        <f>(-0.163*(C108^2)-0.59*C108+7617)*(10^(-4))/C101</f>
        <v>0.47511549999999997</v>
      </c>
      <c r="D109" s="1144">
        <f>(-0.163*(D108^2)-0.59*D108+7617)*(10^(-4))/D101</f>
        <v>0.47511549999999997</v>
      </c>
      <c r="E109" s="1144">
        <f>(-0.161*(E108^2)-7.509*E108+6533)*(10^(-4))/E101</f>
        <v>0.403914</v>
      </c>
      <c r="F109" s="1144">
        <f>(-0.161*(F108^2)-7.509*F108+6533)*(10^(-4))/F101</f>
        <v>0.403914</v>
      </c>
      <c r="G109" s="1144">
        <f>(-0.161*(G108^2)-7.509*G108+6533)*(10^(-4))/G101</f>
        <v>0.403914</v>
      </c>
      <c r="H109" s="1144">
        <f>(-0.161*(H108^2)-7.509*H108+6533)*(10^(-4))/H101</f>
        <v>0.403914</v>
      </c>
      <c r="I109" s="1144">
        <f>(-0.161*(I108^2)-7.509*I108+6533)*(10^(-4))/I101</f>
        <v>0.403914</v>
      </c>
      <c r="J109" s="1144">
        <f>(-0.214*(J108^2)-21.991*J108+4665)*(10^(-4))/J101</f>
        <v>0.27971099999999999</v>
      </c>
      <c r="K109" s="1144">
        <f>(-0.214*(K108^2)-21.991*K108+4665)*(10^(-4))/K101</f>
        <v>0.27971099999999999</v>
      </c>
      <c r="L109" s="1144">
        <f>(-0.214*(L108^2)-21.991*L108+4665)*(10^(-4))/L101</f>
        <v>0.27971099999999999</v>
      </c>
      <c r="M109" s="1144">
        <f>(-0.214*(M108^2)-21.991*M108+4665)*(10^(-4))/M101</f>
        <v>0.27971099999999999</v>
      </c>
      <c r="N109" s="1144">
        <f>(-0.214*(N108^2)-21.991*N108+4665)*(10^(-4))/N101</f>
        <v>0.27971099999999999</v>
      </c>
    </row>
    <row r="110" spans="1:14">
      <c r="A110" s="3437" t="s">
        <v>1640</v>
      </c>
      <c r="B110" s="3437"/>
      <c r="C110" s="3437"/>
      <c r="D110" s="3437"/>
      <c r="E110" s="3437"/>
      <c r="F110" s="3437"/>
      <c r="G110" s="3437"/>
      <c r="H110" s="3437"/>
      <c r="I110" s="3437"/>
      <c r="J110" s="3437"/>
      <c r="K110" s="2472"/>
      <c r="L110" s="2472"/>
      <c r="M110" s="2472"/>
      <c r="N110" s="2472"/>
    </row>
    <row r="112" spans="1:14" ht="12.75" thickBot="1"/>
    <row r="113" spans="1:13" ht="25.5" thickBot="1">
      <c r="A113" s="1014" t="s">
        <v>896</v>
      </c>
      <c r="B113" s="2475">
        <f>G3</f>
        <v>1.6</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0.91849999999999998</v>
      </c>
      <c r="C115" s="1028">
        <f>B115</f>
        <v>0.91849999999999998</v>
      </c>
      <c r="D115" s="1028">
        <f>ROUND(0.8331-0.0109*B113,4)</f>
        <v>0.81569999999999998</v>
      </c>
      <c r="E115" s="1028">
        <f>D115</f>
        <v>0.81569999999999998</v>
      </c>
      <c r="F115" s="1028">
        <f>E115</f>
        <v>0.81569999999999998</v>
      </c>
      <c r="G115" s="1028">
        <f>F115</f>
        <v>0.81569999999999998</v>
      </c>
      <c r="H115" s="1028">
        <f>G115</f>
        <v>0.81569999999999998</v>
      </c>
      <c r="I115" s="1028">
        <f>ROUND(0.689-0.0155*B113,4)</f>
        <v>0.66420000000000001</v>
      </c>
      <c r="J115" s="1028">
        <f t="shared" ref="J115:M118" si="33">I115</f>
        <v>0.66420000000000001</v>
      </c>
      <c r="K115" s="1028">
        <f t="shared" si="33"/>
        <v>0.66420000000000001</v>
      </c>
      <c r="L115" s="1028">
        <f t="shared" si="33"/>
        <v>0.66420000000000001</v>
      </c>
      <c r="M115" s="1029">
        <f t="shared" si="33"/>
        <v>0.66420000000000001</v>
      </c>
    </row>
    <row r="116" spans="1:13" ht="12.75">
      <c r="A116" s="1027" t="s">
        <v>901</v>
      </c>
      <c r="B116" s="1028">
        <f>ROUND(0.949-0.012*B113,4)</f>
        <v>0.92979999999999996</v>
      </c>
      <c r="C116" s="1028">
        <f>B116</f>
        <v>0.92979999999999996</v>
      </c>
      <c r="D116" s="1028">
        <f>ROUND(0.8567-0.013*B113,4)</f>
        <v>0.83589999999999998</v>
      </c>
      <c r="E116" s="1028">
        <f t="shared" ref="E116:H117" si="34">D116</f>
        <v>0.83589999999999998</v>
      </c>
      <c r="F116" s="1028">
        <f t="shared" si="34"/>
        <v>0.83589999999999998</v>
      </c>
      <c r="G116" s="1028">
        <f t="shared" si="34"/>
        <v>0.83589999999999998</v>
      </c>
      <c r="H116" s="1028">
        <f t="shared" si="34"/>
        <v>0.83589999999999998</v>
      </c>
      <c r="I116" s="1028">
        <f>ROUND(0.7694-0.014*B113,4)</f>
        <v>0.747</v>
      </c>
      <c r="J116" s="1028">
        <f t="shared" si="33"/>
        <v>0.747</v>
      </c>
      <c r="K116" s="1028">
        <f t="shared" si="33"/>
        <v>0.747</v>
      </c>
      <c r="L116" s="1028">
        <f t="shared" si="33"/>
        <v>0.747</v>
      </c>
      <c r="M116" s="1029">
        <f t="shared" si="33"/>
        <v>0.747</v>
      </c>
    </row>
    <row r="117" spans="1:13" ht="12.75">
      <c r="A117" s="1030" t="s">
        <v>902</v>
      </c>
      <c r="B117" s="1028">
        <f>ROUND(0.8808-0.006*B113,4)</f>
        <v>0.87119999999999997</v>
      </c>
      <c r="C117" s="1028">
        <f>B117</f>
        <v>0.87119999999999997</v>
      </c>
      <c r="D117" s="1028">
        <f>ROUND(0.8748-0.008*B113,4)</f>
        <v>0.86199999999999999</v>
      </c>
      <c r="E117" s="1028">
        <f t="shared" si="34"/>
        <v>0.86199999999999999</v>
      </c>
      <c r="F117" s="1028">
        <f t="shared" si="34"/>
        <v>0.86199999999999999</v>
      </c>
      <c r="G117" s="1028">
        <f t="shared" si="34"/>
        <v>0.86199999999999999</v>
      </c>
      <c r="H117" s="1028">
        <f t="shared" si="34"/>
        <v>0.86199999999999999</v>
      </c>
      <c r="I117" s="1028">
        <f>ROUND(0.7412-0.0095*B113,4)</f>
        <v>0.72599999999999998</v>
      </c>
      <c r="J117" s="1028">
        <f t="shared" si="33"/>
        <v>0.72599999999999998</v>
      </c>
      <c r="K117" s="1028">
        <f t="shared" si="33"/>
        <v>0.72599999999999998</v>
      </c>
      <c r="L117" s="1028">
        <f t="shared" si="33"/>
        <v>0.72599999999999998</v>
      </c>
      <c r="M117" s="1029">
        <f t="shared" si="33"/>
        <v>0.72599999999999998</v>
      </c>
    </row>
    <row r="118" spans="1:13" ht="13.5" thickBot="1">
      <c r="A118" s="1031" t="s">
        <v>903</v>
      </c>
      <c r="B118" s="1032">
        <f>ROUND(0.7275-0.01*B113,4)</f>
        <v>0.71150000000000002</v>
      </c>
      <c r="C118" s="1032">
        <f>B118</f>
        <v>0.71150000000000002</v>
      </c>
      <c r="D118" s="1032">
        <f>ROUND(0.7043-0.012*B113,4)</f>
        <v>0.68510000000000004</v>
      </c>
      <c r="E118" s="1032">
        <f>D118</f>
        <v>0.68510000000000004</v>
      </c>
      <c r="F118" s="1032">
        <f>E118</f>
        <v>0.68510000000000004</v>
      </c>
      <c r="G118" s="1032">
        <f>ROUND(0.6299-0.0122*B113,4)</f>
        <v>0.61040000000000005</v>
      </c>
      <c r="H118" s="1032">
        <f>G118</f>
        <v>0.61040000000000005</v>
      </c>
      <c r="I118" s="1032">
        <f>ROUND(0.5667-0.0136*B113,4)</f>
        <v>0.54490000000000005</v>
      </c>
      <c r="J118" s="1032">
        <f t="shared" si="33"/>
        <v>0.54490000000000005</v>
      </c>
      <c r="K118" s="1032">
        <f t="shared" si="33"/>
        <v>0.54490000000000005</v>
      </c>
      <c r="L118" s="1032">
        <f t="shared" si="33"/>
        <v>0.54490000000000005</v>
      </c>
      <c r="M118" s="1033">
        <f t="shared" si="33"/>
        <v>0.54490000000000005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70" priority="5" stopIfTrue="1" operator="notEqual">
      <formula>"——"</formula>
    </cfRule>
  </conditionalFormatting>
  <conditionalFormatting sqref="F58">
    <cfRule type="cellIs" dxfId="69" priority="4" stopIfTrue="1" operator="notEqual">
      <formula>"——"</formula>
    </cfRule>
  </conditionalFormatting>
  <conditionalFormatting sqref="F69">
    <cfRule type="cellIs" dxfId="68" priority="3" stopIfTrue="1" operator="notEqual">
      <formula>"——"</formula>
    </cfRule>
  </conditionalFormatting>
  <conditionalFormatting sqref="F80">
    <cfRule type="cellIs" dxfId="67" priority="2" stopIfTrue="1" operator="notEqual">
      <formula>"——"</formula>
    </cfRule>
  </conditionalFormatting>
  <conditionalFormatting sqref="H58:H66 H47:H55 H69:H77 H80:H87">
    <cfRule type="cellIs" dxfId="6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443" t="s">
        <v>1008</v>
      </c>
      <c r="B18" s="1152" t="s">
        <v>1447</v>
      </c>
      <c r="C18" s="1129" t="s">
        <v>1448</v>
      </c>
      <c r="D18" s="1130"/>
      <c r="E18" s="1152">
        <v>1</v>
      </c>
      <c r="F18" s="1131" t="s">
        <v>1449</v>
      </c>
      <c r="G18" s="1132"/>
      <c r="H18" s="1103"/>
      <c r="I18" s="1103"/>
    </row>
    <row r="19" spans="1:9" s="1598" customFormat="1" ht="19.5" customHeight="1">
      <c r="A19" s="3443"/>
      <c r="B19" s="3443" t="s">
        <v>1450</v>
      </c>
      <c r="C19" s="1129" t="s">
        <v>1451</v>
      </c>
      <c r="D19" s="1130"/>
      <c r="E19" s="1152">
        <v>0.9</v>
      </c>
      <c r="F19" s="1131" t="s">
        <v>1452</v>
      </c>
      <c r="G19" s="1132"/>
      <c r="H19" s="1103"/>
      <c r="I19" s="1103"/>
    </row>
    <row r="20" spans="1:9" s="1598" customFormat="1" ht="19.5" customHeight="1">
      <c r="A20" s="3443"/>
      <c r="B20" s="3443"/>
      <c r="C20" s="1129" t="s">
        <v>1453</v>
      </c>
      <c r="D20" s="1130"/>
      <c r="E20" s="1152">
        <v>1.1000000000000001</v>
      </c>
      <c r="F20" s="1131" t="s">
        <v>1454</v>
      </c>
      <c r="G20" s="1132"/>
      <c r="H20" s="1103"/>
      <c r="I20" s="1103"/>
    </row>
    <row r="21" spans="1:9" s="1598" customFormat="1" ht="19.5" customHeight="1">
      <c r="A21" s="3443"/>
      <c r="B21" s="3443"/>
      <c r="C21" s="1129" t="s">
        <v>1455</v>
      </c>
      <c r="D21" s="1130"/>
      <c r="E21" s="1152">
        <v>0.8</v>
      </c>
      <c r="F21" s="1131" t="s">
        <v>1456</v>
      </c>
      <c r="G21" s="1132"/>
      <c r="H21" s="1103"/>
      <c r="I21" s="1103"/>
    </row>
    <row r="22" spans="1:9" s="1598" customFormat="1" ht="19.5" customHeight="1">
      <c r="A22" s="3443"/>
      <c r="B22" s="3443"/>
      <c r="C22" s="1129" t="s">
        <v>1457</v>
      </c>
      <c r="D22" s="1130"/>
      <c r="E22" s="1152">
        <v>0.5</v>
      </c>
      <c r="F22" s="1131"/>
      <c r="G22" s="1132"/>
      <c r="H22" s="1103"/>
      <c r="I22" s="1103"/>
    </row>
    <row r="23" spans="1:9" s="1598" customFormat="1" ht="19.5" customHeight="1">
      <c r="A23" s="3443" t="s">
        <v>1030</v>
      </c>
      <c r="B23" s="1152" t="s">
        <v>1447</v>
      </c>
      <c r="C23" s="1129" t="s">
        <v>1458</v>
      </c>
      <c r="D23" s="1130"/>
      <c r="E23" s="1152">
        <v>1</v>
      </c>
      <c r="F23" s="1131" t="s">
        <v>1459</v>
      </c>
      <c r="G23" s="1132"/>
      <c r="H23" s="1103"/>
      <c r="I23" s="1103"/>
    </row>
    <row r="24" spans="1:9" s="1598" customFormat="1" ht="19.5" customHeight="1">
      <c r="A24" s="3443"/>
      <c r="B24" s="3443" t="s">
        <v>1450</v>
      </c>
      <c r="C24" s="1129" t="s">
        <v>1460</v>
      </c>
      <c r="D24" s="1130"/>
      <c r="E24" s="1152">
        <v>0.5</v>
      </c>
      <c r="F24" s="1131"/>
      <c r="G24" s="1132"/>
      <c r="H24" s="1103"/>
      <c r="I24" s="1103"/>
    </row>
    <row r="25" spans="1:9" s="1598" customFormat="1" ht="19.5" customHeight="1">
      <c r="A25" s="3443"/>
      <c r="B25" s="3443"/>
      <c r="C25" s="1129" t="s">
        <v>1461</v>
      </c>
      <c r="D25" s="1130"/>
      <c r="E25" s="1152">
        <v>1.1000000000000001</v>
      </c>
      <c r="F25" s="1131"/>
      <c r="G25" s="1132"/>
      <c r="H25" s="1103"/>
      <c r="I25" s="1103"/>
    </row>
    <row r="26" spans="1:9" s="1598" customFormat="1" ht="19.5" customHeight="1">
      <c r="A26" s="3443"/>
      <c r="B26" s="3443"/>
      <c r="C26" s="1129" t="s">
        <v>1462</v>
      </c>
      <c r="D26" s="1130"/>
      <c r="E26" s="1152">
        <v>1.1000000000000001</v>
      </c>
      <c r="F26" s="1131"/>
      <c r="G26" s="1132"/>
      <c r="H26" s="1103"/>
      <c r="I26" s="1103"/>
    </row>
    <row r="27" spans="1:9" s="1598" customFormat="1" ht="19.5" customHeight="1">
      <c r="A27" s="3443"/>
      <c r="B27" s="3443"/>
      <c r="C27" s="1129" t="s">
        <v>1463</v>
      </c>
      <c r="D27" s="1130"/>
      <c r="E27" s="1152">
        <v>0.9</v>
      </c>
      <c r="F27" s="1131" t="s">
        <v>1464</v>
      </c>
      <c r="G27" s="1132"/>
      <c r="H27" s="1103"/>
      <c r="I27" s="1103"/>
    </row>
    <row r="28" spans="1:9" s="1598" customFormat="1" ht="19.5" customHeight="1">
      <c r="A28" s="3443"/>
      <c r="B28" s="3443"/>
      <c r="C28" s="1129" t="s">
        <v>1465</v>
      </c>
      <c r="D28" s="1130"/>
      <c r="E28" s="1152">
        <v>0.9</v>
      </c>
      <c r="F28" s="1131" t="s">
        <v>1466</v>
      </c>
      <c r="G28" s="1132"/>
      <c r="H28" s="1103"/>
      <c r="I28" s="1103"/>
    </row>
    <row r="29" spans="1:9" s="1598" customFormat="1" ht="19.5" customHeight="1">
      <c r="A29" s="3443"/>
      <c r="B29" s="3443"/>
      <c r="C29" s="1129" t="s">
        <v>1467</v>
      </c>
      <c r="D29" s="1130"/>
      <c r="E29" s="1152">
        <v>0.9</v>
      </c>
      <c r="F29" s="1131" t="s">
        <v>1468</v>
      </c>
      <c r="G29" s="1132"/>
      <c r="H29" s="1103"/>
      <c r="I29" s="1103"/>
    </row>
    <row r="30" spans="1:9" s="1598" customFormat="1" ht="19.5" customHeight="1">
      <c r="A30" s="3443"/>
      <c r="B30" s="3443"/>
      <c r="C30" s="1129" t="s">
        <v>1469</v>
      </c>
      <c r="D30" s="1130"/>
      <c r="E30" s="1152">
        <v>0.9</v>
      </c>
      <c r="F30" s="1131" t="s">
        <v>1470</v>
      </c>
      <c r="G30" s="1132"/>
      <c r="H30" s="1103"/>
      <c r="I30" s="1103"/>
    </row>
    <row r="31" spans="1:9" s="1598" customFormat="1" ht="19.5" customHeight="1">
      <c r="A31" s="3443"/>
      <c r="B31" s="3443"/>
      <c r="C31" s="1129" t="s">
        <v>1471</v>
      </c>
      <c r="D31" s="1130"/>
      <c r="E31" s="1152">
        <v>0.8</v>
      </c>
      <c r="F31" s="1131" t="s">
        <v>1472</v>
      </c>
      <c r="G31" s="1132"/>
      <c r="H31" s="1103"/>
      <c r="I31" s="1103"/>
    </row>
    <row r="32" spans="1:9" s="1598" customFormat="1" ht="19.5" customHeight="1">
      <c r="A32" s="3443"/>
      <c r="B32" s="3443"/>
      <c r="C32" s="1129" t="s">
        <v>1473</v>
      </c>
      <c r="D32" s="1130"/>
      <c r="E32" s="1152">
        <v>0.8</v>
      </c>
      <c r="F32" s="1131" t="s">
        <v>1474</v>
      </c>
      <c r="G32" s="1132"/>
      <c r="H32" s="1103"/>
      <c r="I32" s="1103"/>
    </row>
    <row r="33" spans="1:9" s="1598" customFormat="1" ht="19.5" customHeight="1">
      <c r="A33" s="3443" t="s">
        <v>1475</v>
      </c>
      <c r="B33" s="1152" t="s">
        <v>1447</v>
      </c>
      <c r="C33" s="1129" t="s">
        <v>1476</v>
      </c>
      <c r="D33" s="1130"/>
      <c r="E33" s="1152">
        <v>1</v>
      </c>
      <c r="F33" s="1131" t="s">
        <v>1477</v>
      </c>
      <c r="G33" s="1132"/>
      <c r="H33" s="1103"/>
      <c r="I33" s="1103"/>
    </row>
    <row r="34" spans="1:9" s="1598" customFormat="1" ht="19.5" customHeight="1">
      <c r="A34" s="3443"/>
      <c r="B34" s="1152" t="s">
        <v>1450</v>
      </c>
      <c r="C34" s="1129" t="s">
        <v>1478</v>
      </c>
      <c r="D34" s="1130"/>
      <c r="E34" s="1152">
        <v>1.5</v>
      </c>
      <c r="F34" s="1131" t="s">
        <v>1479</v>
      </c>
      <c r="G34" s="1132"/>
      <c r="H34" s="1103"/>
      <c r="I34" s="1103"/>
    </row>
    <row r="35" spans="1:9" s="1598" customFormat="1" ht="19.5" customHeight="1">
      <c r="A35" s="3443" t="s">
        <v>1433</v>
      </c>
      <c r="B35" s="1152" t="s">
        <v>1447</v>
      </c>
      <c r="C35" s="1129" t="s">
        <v>1480</v>
      </c>
      <c r="D35" s="1130"/>
      <c r="E35" s="1152">
        <v>1</v>
      </c>
      <c r="F35" s="1131" t="s">
        <v>1481</v>
      </c>
      <c r="G35" s="1132"/>
      <c r="H35" s="1103"/>
      <c r="I35" s="1103"/>
    </row>
    <row r="36" spans="1:9" s="1598" customFormat="1" ht="19.5" customHeight="1">
      <c r="A36" s="3443"/>
      <c r="B36" s="3443" t="s">
        <v>1450</v>
      </c>
      <c r="C36" s="1129" t="s">
        <v>1482</v>
      </c>
      <c r="D36" s="1130"/>
      <c r="E36" s="1152">
        <v>1</v>
      </c>
      <c r="F36" s="1131" t="s">
        <v>1483</v>
      </c>
      <c r="G36" s="1132"/>
      <c r="H36" s="1103"/>
      <c r="I36" s="1103"/>
    </row>
    <row r="37" spans="1:9" s="1598" customFormat="1" ht="19.5" customHeight="1">
      <c r="A37" s="3443"/>
      <c r="B37" s="3443"/>
      <c r="C37" s="1129" t="s">
        <v>1484</v>
      </c>
      <c r="D37" s="1130"/>
      <c r="E37" s="1152">
        <v>1.5</v>
      </c>
      <c r="F37" s="1131" t="s">
        <v>1485</v>
      </c>
      <c r="G37" s="1132"/>
      <c r="H37" s="1103"/>
      <c r="I37" s="1103"/>
    </row>
    <row r="38" spans="1:9" s="1598" customFormat="1" ht="19.5" customHeight="1">
      <c r="A38" s="3443"/>
      <c r="B38" s="3443"/>
      <c r="C38" s="1129" t="s">
        <v>1486</v>
      </c>
      <c r="D38" s="1130"/>
      <c r="E38" s="1152">
        <v>1</v>
      </c>
      <c r="F38" s="1131" t="s">
        <v>1487</v>
      </c>
      <c r="G38" s="1132"/>
      <c r="H38" s="1103"/>
      <c r="I38" s="1103"/>
    </row>
    <row r="39" spans="1:9" s="1598" customFormat="1" ht="19.5" customHeight="1">
      <c r="A39" s="3443"/>
      <c r="B39" s="3443"/>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443" t="s">
        <v>1502</v>
      </c>
      <c r="C61" s="1066" t="s">
        <v>1503</v>
      </c>
      <c r="D61" s="1066" t="s">
        <v>1504</v>
      </c>
      <c r="E61" s="1137">
        <v>0.5</v>
      </c>
      <c r="F61" s="1152">
        <v>80</v>
      </c>
      <c r="H61" s="1103">
        <f>SUMIF(C59:C119,基准地价!C8,E59:E119)</f>
        <v>0</v>
      </c>
    </row>
    <row r="62" spans="1:8" s="1103" customFormat="1" ht="24">
      <c r="A62" s="1152">
        <v>2</v>
      </c>
      <c r="B62" s="3443"/>
      <c r="C62" s="1066" t="s">
        <v>1505</v>
      </c>
      <c r="D62" s="1066" t="s">
        <v>1506</v>
      </c>
      <c r="E62" s="1137">
        <v>0.5</v>
      </c>
      <c r="F62" s="1152">
        <v>80</v>
      </c>
    </row>
    <row r="63" spans="1:8" s="1103" customFormat="1" ht="36">
      <c r="A63" s="1152">
        <v>3</v>
      </c>
      <c r="B63" s="3443"/>
      <c r="C63" s="1066" t="s">
        <v>1507</v>
      </c>
      <c r="D63" s="1066" t="s">
        <v>1508</v>
      </c>
      <c r="E63" s="1137">
        <v>0.5</v>
      </c>
      <c r="F63" s="1152">
        <v>80</v>
      </c>
    </row>
    <row r="64" spans="1:8" s="1103" customFormat="1" ht="36">
      <c r="A64" s="1152">
        <v>4</v>
      </c>
      <c r="B64" s="3443"/>
      <c r="C64" s="1066" t="s">
        <v>1509</v>
      </c>
      <c r="D64" s="1066" t="s">
        <v>1510</v>
      </c>
      <c r="E64" s="1137">
        <v>0.4</v>
      </c>
      <c r="F64" s="1152">
        <v>60</v>
      </c>
    </row>
    <row r="65" spans="1:6" s="1103" customFormat="1" ht="36">
      <c r="A65" s="1152">
        <v>5</v>
      </c>
      <c r="B65" s="3443"/>
      <c r="C65" s="1066" t="s">
        <v>1511</v>
      </c>
      <c r="D65" s="1066" t="s">
        <v>1512</v>
      </c>
      <c r="E65" s="1137">
        <v>0.2</v>
      </c>
      <c r="F65" s="1152">
        <v>30</v>
      </c>
    </row>
    <row r="66" spans="1:6" s="1103" customFormat="1" ht="36">
      <c r="A66" s="1152">
        <v>6</v>
      </c>
      <c r="B66" s="3443"/>
      <c r="C66" s="1066" t="s">
        <v>1513</v>
      </c>
      <c r="D66" s="1066" t="s">
        <v>1514</v>
      </c>
      <c r="E66" s="1137">
        <v>0.3</v>
      </c>
      <c r="F66" s="1152">
        <v>50</v>
      </c>
    </row>
    <row r="67" spans="1:6" s="1103" customFormat="1" ht="36">
      <c r="A67" s="1152">
        <v>7</v>
      </c>
      <c r="B67" s="3443"/>
      <c r="C67" s="1066" t="s">
        <v>1515</v>
      </c>
      <c r="D67" s="1066" t="s">
        <v>1516</v>
      </c>
      <c r="E67" s="1137">
        <v>0.2</v>
      </c>
      <c r="F67" s="1152">
        <v>30</v>
      </c>
    </row>
    <row r="68" spans="1:6" s="1103" customFormat="1" ht="36">
      <c r="A68" s="1152">
        <v>8</v>
      </c>
      <c r="B68" s="3443"/>
      <c r="C68" s="1066" t="s">
        <v>1517</v>
      </c>
      <c r="D68" s="1066" t="s">
        <v>1518</v>
      </c>
      <c r="E68" s="1137">
        <v>0.2</v>
      </c>
      <c r="F68" s="1152">
        <v>30</v>
      </c>
    </row>
    <row r="69" spans="1:6" s="1103" customFormat="1" ht="36">
      <c r="A69" s="1152">
        <v>9</v>
      </c>
      <c r="B69" s="3443"/>
      <c r="C69" s="1066" t="s">
        <v>1519</v>
      </c>
      <c r="D69" s="1066" t="s">
        <v>1520</v>
      </c>
      <c r="E69" s="1137">
        <v>0.2</v>
      </c>
      <c r="F69" s="1152">
        <v>30</v>
      </c>
    </row>
    <row r="70" spans="1:6" s="1103" customFormat="1" ht="48">
      <c r="A70" s="1152">
        <v>10</v>
      </c>
      <c r="B70" s="3443"/>
      <c r="C70" s="1066" t="s">
        <v>1521</v>
      </c>
      <c r="D70" s="1066" t="s">
        <v>1522</v>
      </c>
      <c r="E70" s="1137">
        <v>0.2</v>
      </c>
      <c r="F70" s="1152">
        <v>30</v>
      </c>
    </row>
    <row r="71" spans="1:6" s="1103" customFormat="1" ht="48">
      <c r="A71" s="1152">
        <v>11</v>
      </c>
      <c r="B71" s="3443"/>
      <c r="C71" s="1066" t="s">
        <v>1523</v>
      </c>
      <c r="D71" s="1066" t="s">
        <v>1524</v>
      </c>
      <c r="E71" s="1137">
        <v>0.2</v>
      </c>
      <c r="F71" s="1152">
        <v>30</v>
      </c>
    </row>
    <row r="72" spans="1:6" s="1103" customFormat="1" ht="36">
      <c r="A72" s="1152">
        <v>12</v>
      </c>
      <c r="B72" s="3443"/>
      <c r="C72" s="1066" t="s">
        <v>1525</v>
      </c>
      <c r="D72" s="1066" t="s">
        <v>1526</v>
      </c>
      <c r="E72" s="1137">
        <v>0.5</v>
      </c>
      <c r="F72" s="1152">
        <v>80</v>
      </c>
    </row>
    <row r="73" spans="1:6" s="1103" customFormat="1" ht="24">
      <c r="A73" s="1152">
        <v>13</v>
      </c>
      <c r="B73" s="3443"/>
      <c r="C73" s="1066" t="s">
        <v>1527</v>
      </c>
      <c r="D73" s="1066" t="s">
        <v>1528</v>
      </c>
      <c r="E73" s="1137">
        <v>0.4</v>
      </c>
      <c r="F73" s="1152">
        <v>60</v>
      </c>
    </row>
    <row r="74" spans="1:6" s="1103" customFormat="1" ht="24">
      <c r="A74" s="1152">
        <v>14</v>
      </c>
      <c r="B74" s="3443"/>
      <c r="C74" s="1066" t="s">
        <v>1529</v>
      </c>
      <c r="D74" s="1066" t="s">
        <v>1530</v>
      </c>
      <c r="E74" s="1137">
        <v>0.2</v>
      </c>
      <c r="F74" s="1152">
        <v>30</v>
      </c>
    </row>
    <row r="75" spans="1:6" s="1103" customFormat="1" ht="24">
      <c r="A75" s="1152">
        <v>15</v>
      </c>
      <c r="B75" s="3443"/>
      <c r="C75" s="1066" t="s">
        <v>1531</v>
      </c>
      <c r="D75" s="1066" t="s">
        <v>1532</v>
      </c>
      <c r="E75" s="1137">
        <v>0.2</v>
      </c>
      <c r="F75" s="1152">
        <v>30</v>
      </c>
    </row>
    <row r="76" spans="1:6" s="1103" customFormat="1" ht="24">
      <c r="A76" s="1152">
        <v>16</v>
      </c>
      <c r="B76" s="3443" t="s">
        <v>1533</v>
      </c>
      <c r="C76" s="1066" t="s">
        <v>1534</v>
      </c>
      <c r="D76" s="1066" t="s">
        <v>1535</v>
      </c>
      <c r="E76" s="1137">
        <v>0.5</v>
      </c>
      <c r="F76" s="1152">
        <v>80</v>
      </c>
    </row>
    <row r="77" spans="1:6" s="1103" customFormat="1" ht="24">
      <c r="A77" s="1152">
        <v>17</v>
      </c>
      <c r="B77" s="3443"/>
      <c r="C77" s="1066" t="s">
        <v>1536</v>
      </c>
      <c r="D77" s="1066" t="s">
        <v>1537</v>
      </c>
      <c r="E77" s="1137">
        <v>0.5</v>
      </c>
      <c r="F77" s="1152">
        <v>80</v>
      </c>
    </row>
    <row r="78" spans="1:6" s="1103" customFormat="1" ht="24">
      <c r="A78" s="1152">
        <v>18</v>
      </c>
      <c r="B78" s="3443"/>
      <c r="C78" s="1066" t="s">
        <v>1538</v>
      </c>
      <c r="D78" s="1066" t="s">
        <v>1539</v>
      </c>
      <c r="E78" s="1137">
        <v>0.2</v>
      </c>
      <c r="F78" s="1152">
        <v>30</v>
      </c>
    </row>
    <row r="79" spans="1:6" s="1103" customFormat="1" ht="24">
      <c r="A79" s="1152">
        <v>19</v>
      </c>
      <c r="B79" s="3443"/>
      <c r="C79" s="1066" t="s">
        <v>1540</v>
      </c>
      <c r="D79" s="1066" t="s">
        <v>1541</v>
      </c>
      <c r="E79" s="1137">
        <v>0.5</v>
      </c>
      <c r="F79" s="1152">
        <v>80</v>
      </c>
    </row>
    <row r="80" spans="1:6" s="1103" customFormat="1" ht="36">
      <c r="A80" s="1152">
        <v>20</v>
      </c>
      <c r="B80" s="3443"/>
      <c r="C80" s="1066" t="s">
        <v>1542</v>
      </c>
      <c r="D80" s="1066" t="s">
        <v>1543</v>
      </c>
      <c r="E80" s="1137">
        <v>0.2</v>
      </c>
      <c r="F80" s="1152">
        <v>30</v>
      </c>
    </row>
    <row r="81" spans="1:6" s="1103" customFormat="1" ht="36">
      <c r="A81" s="1152">
        <v>21</v>
      </c>
      <c r="B81" s="3443"/>
      <c r="C81" s="1066" t="s">
        <v>1544</v>
      </c>
      <c r="D81" s="1066" t="s">
        <v>1545</v>
      </c>
      <c r="E81" s="1137">
        <v>0.2</v>
      </c>
      <c r="F81" s="1152">
        <v>30</v>
      </c>
    </row>
    <row r="82" spans="1:6" s="1103" customFormat="1" ht="48">
      <c r="A82" s="1152">
        <v>22</v>
      </c>
      <c r="B82" s="3443"/>
      <c r="C82" s="1066" t="s">
        <v>1546</v>
      </c>
      <c r="D82" s="1066" t="s">
        <v>1547</v>
      </c>
      <c r="E82" s="1137">
        <v>0.2</v>
      </c>
      <c r="F82" s="1152">
        <v>30</v>
      </c>
    </row>
    <row r="83" spans="1:6" s="1103" customFormat="1" ht="48">
      <c r="A83" s="1152">
        <v>23</v>
      </c>
      <c r="B83" s="3443"/>
      <c r="C83" s="1066" t="s">
        <v>1548</v>
      </c>
      <c r="D83" s="1066" t="s">
        <v>1549</v>
      </c>
      <c r="E83" s="1137">
        <v>0.2</v>
      </c>
      <c r="F83" s="1152">
        <v>30</v>
      </c>
    </row>
    <row r="84" spans="1:6" s="1103" customFormat="1" ht="36">
      <c r="A84" s="1152">
        <v>24</v>
      </c>
      <c r="B84" s="3443"/>
      <c r="C84" s="1066" t="s">
        <v>1550</v>
      </c>
      <c r="D84" s="1066" t="s">
        <v>1551</v>
      </c>
      <c r="E84" s="1137">
        <v>0.2</v>
      </c>
      <c r="F84" s="1152">
        <v>30</v>
      </c>
    </row>
    <row r="85" spans="1:6" s="1103" customFormat="1" ht="36">
      <c r="A85" s="1152">
        <v>25</v>
      </c>
      <c r="B85" s="3443"/>
      <c r="C85" s="1066" t="s">
        <v>1552</v>
      </c>
      <c r="D85" s="1066" t="s">
        <v>1553</v>
      </c>
      <c r="E85" s="1137">
        <v>0.5</v>
      </c>
      <c r="F85" s="1152">
        <v>80</v>
      </c>
    </row>
    <row r="86" spans="1:6" s="1103" customFormat="1" ht="36">
      <c r="A86" s="1152">
        <v>26</v>
      </c>
      <c r="B86" s="3443"/>
      <c r="C86" s="1066" t="s">
        <v>1554</v>
      </c>
      <c r="D86" s="1066" t="s">
        <v>1555</v>
      </c>
      <c r="E86" s="1137">
        <v>0.2</v>
      </c>
      <c r="F86" s="1152">
        <v>30</v>
      </c>
    </row>
    <row r="87" spans="1:6" s="1103" customFormat="1" ht="36">
      <c r="A87" s="1152">
        <v>27</v>
      </c>
      <c r="B87" s="3443"/>
      <c r="C87" s="1066" t="s">
        <v>1556</v>
      </c>
      <c r="D87" s="1066" t="s">
        <v>1557</v>
      </c>
      <c r="E87" s="1137">
        <v>0.2</v>
      </c>
      <c r="F87" s="1152">
        <v>30</v>
      </c>
    </row>
    <row r="88" spans="1:6" s="1103" customFormat="1" ht="36">
      <c r="A88" s="1152">
        <v>28</v>
      </c>
      <c r="B88" s="3443"/>
      <c r="C88" s="1066" t="s">
        <v>1558</v>
      </c>
      <c r="D88" s="1066" t="s">
        <v>1559</v>
      </c>
      <c r="E88" s="1137">
        <v>0.2</v>
      </c>
      <c r="F88" s="1152">
        <v>30</v>
      </c>
    </row>
    <row r="89" spans="1:6" s="1103" customFormat="1" ht="24">
      <c r="A89" s="1152">
        <v>29</v>
      </c>
      <c r="B89" s="3443"/>
      <c r="C89" s="1066" t="s">
        <v>1560</v>
      </c>
      <c r="D89" s="1066" t="s">
        <v>1561</v>
      </c>
      <c r="E89" s="1137">
        <v>0.2</v>
      </c>
      <c r="F89" s="1152">
        <v>30</v>
      </c>
    </row>
    <row r="90" spans="1:6" s="1103" customFormat="1" ht="24">
      <c r="A90" s="1152">
        <v>30</v>
      </c>
      <c r="B90" s="3443"/>
      <c r="C90" s="1066" t="s">
        <v>1562</v>
      </c>
      <c r="D90" s="1066" t="s">
        <v>1563</v>
      </c>
      <c r="E90" s="1137">
        <v>0.2</v>
      </c>
      <c r="F90" s="1152">
        <v>30</v>
      </c>
    </row>
    <row r="91" spans="1:6" s="1103" customFormat="1" ht="36">
      <c r="A91" s="1152">
        <v>31</v>
      </c>
      <c r="B91" s="3443"/>
      <c r="C91" s="1066" t="s">
        <v>1564</v>
      </c>
      <c r="D91" s="1066" t="s">
        <v>1565</v>
      </c>
      <c r="E91" s="1137">
        <v>0.2</v>
      </c>
      <c r="F91" s="1152">
        <v>30</v>
      </c>
    </row>
    <row r="92" spans="1:6" s="1103" customFormat="1" ht="24">
      <c r="A92" s="1152">
        <v>32</v>
      </c>
      <c r="B92" s="3443" t="s">
        <v>1566</v>
      </c>
      <c r="C92" s="1152" t="s">
        <v>1567</v>
      </c>
      <c r="D92" s="1066" t="s">
        <v>1568</v>
      </c>
      <c r="E92" s="1137">
        <v>0.2</v>
      </c>
      <c r="F92" s="1152">
        <v>30</v>
      </c>
    </row>
    <row r="93" spans="1:6" s="1103" customFormat="1" ht="36">
      <c r="A93" s="1152">
        <v>33</v>
      </c>
      <c r="B93" s="3443"/>
      <c r="C93" s="1152" t="s">
        <v>1569</v>
      </c>
      <c r="D93" s="1066" t="s">
        <v>1570</v>
      </c>
      <c r="E93" s="1137">
        <v>0.2</v>
      </c>
      <c r="F93" s="1152">
        <v>30</v>
      </c>
    </row>
    <row r="94" spans="1:6" s="1103" customFormat="1" ht="48">
      <c r="A94" s="1152">
        <v>34</v>
      </c>
      <c r="B94" s="3443"/>
      <c r="C94" s="1152" t="s">
        <v>1571</v>
      </c>
      <c r="D94" s="1066" t="s">
        <v>1572</v>
      </c>
      <c r="E94" s="1137">
        <v>0.2</v>
      </c>
      <c r="F94" s="1152">
        <v>30</v>
      </c>
    </row>
    <row r="95" spans="1:6" s="1103" customFormat="1" ht="36">
      <c r="A95" s="1152">
        <v>35</v>
      </c>
      <c r="B95" s="3443"/>
      <c r="C95" s="1152" t="s">
        <v>1573</v>
      </c>
      <c r="D95" s="1066" t="s">
        <v>1574</v>
      </c>
      <c r="E95" s="1137">
        <v>0.2</v>
      </c>
      <c r="F95" s="1152">
        <v>30</v>
      </c>
    </row>
    <row r="96" spans="1:6" s="1103" customFormat="1" ht="48">
      <c r="A96" s="1152">
        <v>36</v>
      </c>
      <c r="B96" s="3443"/>
      <c r="C96" s="1066" t="s">
        <v>1575</v>
      </c>
      <c r="D96" s="1066" t="s">
        <v>1576</v>
      </c>
      <c r="E96" s="1137">
        <v>0.2</v>
      </c>
      <c r="F96" s="1152">
        <v>30</v>
      </c>
    </row>
    <row r="97" spans="1:6" s="1103" customFormat="1" ht="36">
      <c r="A97" s="1152">
        <v>37</v>
      </c>
      <c r="B97" s="3443"/>
      <c r="C97" s="1152" t="s">
        <v>1577</v>
      </c>
      <c r="D97" s="1066" t="s">
        <v>1578</v>
      </c>
      <c r="E97" s="1137">
        <v>0.2</v>
      </c>
      <c r="F97" s="1152">
        <v>30</v>
      </c>
    </row>
    <row r="98" spans="1:6" s="1103" customFormat="1" ht="36">
      <c r="A98" s="1152">
        <v>38</v>
      </c>
      <c r="B98" s="3443"/>
      <c r="C98" s="1152" t="s">
        <v>1579</v>
      </c>
      <c r="D98" s="1066" t="s">
        <v>1580</v>
      </c>
      <c r="E98" s="1137">
        <v>0.2</v>
      </c>
      <c r="F98" s="1152">
        <v>30</v>
      </c>
    </row>
    <row r="99" spans="1:6" s="1103" customFormat="1" ht="36">
      <c r="A99" s="1152">
        <v>39</v>
      </c>
      <c r="B99" s="3443" t="s">
        <v>1581</v>
      </c>
      <c r="C99" s="1152" t="s">
        <v>1582</v>
      </c>
      <c r="D99" s="1066" t="s">
        <v>1583</v>
      </c>
      <c r="E99" s="1137">
        <v>0.3</v>
      </c>
      <c r="F99" s="1152">
        <v>50</v>
      </c>
    </row>
    <row r="100" spans="1:6" s="1103" customFormat="1" ht="24">
      <c r="A100" s="1152">
        <v>40</v>
      </c>
      <c r="B100" s="3443"/>
      <c r="C100" s="1152" t="s">
        <v>1584</v>
      </c>
      <c r="D100" s="1066" t="s">
        <v>1585</v>
      </c>
      <c r="E100" s="1137">
        <v>0.2</v>
      </c>
      <c r="F100" s="1152">
        <v>30</v>
      </c>
    </row>
    <row r="101" spans="1:6" s="1103" customFormat="1" ht="36">
      <c r="A101" s="1152">
        <v>41</v>
      </c>
      <c r="B101" s="3443"/>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443" t="s">
        <v>1596</v>
      </c>
      <c r="C105" s="1152" t="s">
        <v>1597</v>
      </c>
      <c r="D105" s="1066" t="s">
        <v>1598</v>
      </c>
      <c r="E105" s="1137">
        <v>0.2</v>
      </c>
      <c r="F105" s="1152">
        <v>30</v>
      </c>
    </row>
    <row r="106" spans="1:6" s="1103" customFormat="1" ht="36">
      <c r="A106" s="1152">
        <v>46</v>
      </c>
      <c r="B106" s="3443"/>
      <c r="C106" s="1152" t="s">
        <v>1599</v>
      </c>
      <c r="D106" s="1066" t="s">
        <v>1600</v>
      </c>
      <c r="E106" s="1137">
        <v>0.2</v>
      </c>
      <c r="F106" s="1152">
        <v>30</v>
      </c>
    </row>
    <row r="107" spans="1:6" s="1103" customFormat="1" ht="36">
      <c r="A107" s="1152">
        <v>47</v>
      </c>
      <c r="B107" s="3443" t="s">
        <v>1601</v>
      </c>
      <c r="C107" s="1152" t="s">
        <v>1602</v>
      </c>
      <c r="D107" s="1066" t="s">
        <v>1603</v>
      </c>
      <c r="E107" s="1137">
        <v>0.3</v>
      </c>
      <c r="F107" s="1152">
        <v>50</v>
      </c>
    </row>
    <row r="108" spans="1:6" s="1103" customFormat="1" ht="36">
      <c r="A108" s="1152">
        <v>48</v>
      </c>
      <c r="B108" s="3443"/>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443" t="s">
        <v>1612</v>
      </c>
      <c r="C111" s="1152" t="s">
        <v>1613</v>
      </c>
      <c r="D111" s="1066" t="s">
        <v>1614</v>
      </c>
      <c r="E111" s="1137">
        <v>0.2</v>
      </c>
      <c r="F111" s="1152">
        <v>30</v>
      </c>
    </row>
    <row r="112" spans="1:6" s="1103" customFormat="1" ht="24">
      <c r="A112" s="1152">
        <v>52</v>
      </c>
      <c r="B112" s="3443"/>
      <c r="C112" s="1152" t="s">
        <v>1615</v>
      </c>
      <c r="D112" s="1066" t="s">
        <v>1616</v>
      </c>
      <c r="E112" s="1137">
        <v>0.2</v>
      </c>
      <c r="F112" s="1152">
        <v>30</v>
      </c>
    </row>
    <row r="113" spans="1:14" s="1103" customFormat="1" ht="24">
      <c r="A113" s="1152">
        <v>53</v>
      </c>
      <c r="B113" s="3443"/>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443" t="s">
        <v>1625</v>
      </c>
      <c r="C116" s="1152" t="s">
        <v>1626</v>
      </c>
      <c r="D116" s="1066" t="s">
        <v>1627</v>
      </c>
      <c r="E116" s="1137">
        <v>0.2</v>
      </c>
      <c r="F116" s="1152">
        <v>30</v>
      </c>
    </row>
    <row r="117" spans="1:14" ht="36">
      <c r="A117" s="1152">
        <v>57</v>
      </c>
      <c r="B117" s="3443"/>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442" t="s">
        <v>1634</v>
      </c>
      <c r="B121" s="3442"/>
      <c r="C121" s="3442"/>
      <c r="D121" s="3442"/>
      <c r="E121" s="3442"/>
      <c r="F121" s="3442"/>
      <c r="G121" s="3442"/>
      <c r="H121" s="3442"/>
      <c r="I121" s="3442"/>
      <c r="J121" s="344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7" t="s">
        <v>1040</v>
      </c>
      <c r="B1" s="3447"/>
      <c r="C1" s="3447"/>
      <c r="D1" s="3447"/>
      <c r="E1" s="3447"/>
      <c r="F1" s="3447"/>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448" t="s">
        <v>1053</v>
      </c>
      <c r="B2" s="3448"/>
      <c r="C2" s="3448"/>
      <c r="D2" s="3448"/>
      <c r="E2" s="3448"/>
      <c r="F2" s="3448"/>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449"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450"/>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苏州市梁雨庭置业有限公司：</v>
      </c>
    </row>
    <row r="4" spans="1:4" ht="56.25">
      <c r="A4" s="1791" t="str">
        <f>"受贵公司委托，我公司对"&amp;项目基本情况!K2&amp;项目基本情况!B9&amp;"进行了预评估。"</f>
        <v>受贵公司委托，我公司对江苏省宜兴市环科园绿园路北侧兴业路东侧一宗住宅、商业及地下车库用途出让国有建设用地使用权出让国有建设用地使用权抵押价格进行了预评估。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53350.36平方米。</v>
      </c>
    </row>
    <row r="7" spans="1:4" ht="56.25">
      <c r="A7" s="1795" t="s">
        <v>2751</v>
      </c>
    </row>
    <row r="8" spans="1:4" ht="18.75">
      <c r="A8" s="1794" t="s">
        <v>1907</v>
      </c>
    </row>
    <row r="9" spans="1:4" ht="75">
      <c r="A9" s="179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2018年5月29日（评估专业人员勘察现场之日）</v>
      </c>
    </row>
    <row r="12" spans="1:4" ht="18.75">
      <c r="A12" s="1797" t="s">
        <v>2028</v>
      </c>
    </row>
    <row r="13" spans="1:4" ht="18.75">
      <c r="A13" s="1791" t="s">
        <v>2944</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根据《国有土地使用证》[]，估价对象（分摊）出让国有建设用地使用权面积为25829平方米。根据《建设工程规划许可证》[]、《出让合同》[]，估价对象规划建筑面积为53350.36平方米。</v>
      </c>
    </row>
    <row r="21" spans="1:1" ht="18.75">
      <c r="A21" s="1791" t="s">
        <v>2077</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5月29日、商业2058年5月29日地下车库2068年5月29日。截至估价期日，出让国有建设用地使用权剩余土地使用年限为住宅69.9年，商业39.9年，地下车库49.9年。</v>
      </c>
    </row>
    <row r="23" spans="1:1" ht="37.5">
      <c r="A23" s="1791" t="str">
        <f>IF(项目基本情况!B16="出让","本次评估设定估价对象剩余土地使用年限为"&amp;项目基本情况!D20&amp;"。","")</f>
        <v>本次评估设定估价对象剩余土地使用年限为住宅69.9年，商业39.9年，地下车库49.9年。</v>
      </c>
    </row>
    <row r="24" spans="1:1" ht="18.75">
      <c r="A24" s="1791" t="s">
        <v>2078</v>
      </c>
    </row>
    <row r="25" spans="1:1" ht="93.75">
      <c r="A25" s="1791"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51" t="s">
        <v>2082</v>
      </c>
      <c r="B1" s="3451"/>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2952</v>
      </c>
      <c r="B1" s="3131"/>
      <c r="C1" s="3131"/>
      <c r="D1" s="3131"/>
      <c r="E1" s="3131"/>
      <c r="F1" s="3131"/>
    </row>
    <row r="2" spans="1:6" ht="14.25">
      <c r="A2" s="3132" t="s">
        <v>2947</v>
      </c>
      <c r="B2" s="3133" t="e">
        <f ca="1">SUMIF(B7:B14,"&lt;&gt;#ref!",B7:B14)</f>
        <v>#DIV/0!</v>
      </c>
      <c r="C2" s="3132" t="s">
        <v>2948</v>
      </c>
      <c r="D2" s="3131"/>
      <c r="E2" s="3131"/>
      <c r="F2" s="3131"/>
    </row>
    <row r="3" spans="1:6" ht="14.25">
      <c r="A3" s="3132" t="s">
        <v>2982</v>
      </c>
      <c r="B3" s="3133" t="e">
        <f ca="1">ROUND(B2*10000/E3,0)</f>
        <v>#DIV/0!</v>
      </c>
      <c r="C3" s="3132" t="s">
        <v>2081</v>
      </c>
      <c r="D3" s="3132" t="s">
        <v>2949</v>
      </c>
      <c r="E3" s="3133">
        <f ca="1">SUMIF(E7:E14,"&lt;&gt;#ref!",E7:E14)</f>
        <v>0</v>
      </c>
      <c r="F3" s="3131"/>
    </row>
    <row r="4" spans="1:6" ht="14.25">
      <c r="A4" s="3132" t="s">
        <v>2956</v>
      </c>
      <c r="B4" s="3133" t="e">
        <f ca="1">ROUND(B2*10000/E4,0)</f>
        <v>#DIV/0!</v>
      </c>
      <c r="C4" s="3132" t="s">
        <v>2081</v>
      </c>
      <c r="D4" s="3132" t="s">
        <v>2957</v>
      </c>
      <c r="E4" s="3133">
        <f ca="1">SUMIF(F7:F14,"&lt;&gt;#ref!",F7:F14)</f>
        <v>0</v>
      </c>
      <c r="F4" s="3131"/>
    </row>
    <row r="5" spans="1:6" ht="14.25">
      <c r="A5" s="3134"/>
      <c r="B5" s="1881"/>
      <c r="C5" s="1881"/>
      <c r="D5" s="1881"/>
      <c r="E5" s="1881"/>
      <c r="F5" s="3131"/>
    </row>
    <row r="6" spans="1:6" ht="28.5">
      <c r="A6" s="3135" t="s">
        <v>2953</v>
      </c>
      <c r="B6" s="3132" t="s">
        <v>2950</v>
      </c>
      <c r="C6" s="3133"/>
      <c r="D6" s="1881"/>
      <c r="E6" s="3132" t="s">
        <v>2951</v>
      </c>
      <c r="F6" s="3132" t="s">
        <v>2955</v>
      </c>
    </row>
    <row r="7" spans="1:6" ht="14.25">
      <c r="A7" s="259" t="s">
        <v>2954</v>
      </c>
      <c r="B7" s="3136" t="e">
        <f ca="1">SUMIF(INDIRECT("'"&amp;A7&amp;"'"&amp;"!A:A"),"总价",INDIRECT("'"&amp;A7&amp;"'"&amp;"!B:B"))</f>
        <v>#DIV/0!</v>
      </c>
      <c r="C7" s="3132" t="s">
        <v>2948</v>
      </c>
      <c r="D7" s="1881"/>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2948</v>
      </c>
      <c r="D8" s="1881"/>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2948</v>
      </c>
      <c r="D9" s="1881"/>
      <c r="E9" s="3137" t="e">
        <f t="shared" ca="1" si="1"/>
        <v>#REF!</v>
      </c>
      <c r="F9" s="3137" t="e">
        <f t="shared" ca="1" si="2"/>
        <v>#REF!</v>
      </c>
    </row>
    <row r="10" spans="1:6" ht="14.25">
      <c r="A10" s="259"/>
      <c r="B10" s="3136" t="e">
        <f t="shared" ca="1" si="0"/>
        <v>#REF!</v>
      </c>
      <c r="C10" s="3132" t="s">
        <v>2948</v>
      </c>
      <c r="D10" s="1881"/>
      <c r="E10" s="3137" t="e">
        <f t="shared" ca="1" si="1"/>
        <v>#REF!</v>
      </c>
      <c r="F10" s="3137" t="e">
        <f t="shared" ca="1" si="2"/>
        <v>#REF!</v>
      </c>
    </row>
    <row r="11" spans="1:6" ht="14.25">
      <c r="A11" s="259"/>
      <c r="B11" s="3136" t="e">
        <f t="shared" ca="1" si="0"/>
        <v>#REF!</v>
      </c>
      <c r="C11" s="3132" t="s">
        <v>2948</v>
      </c>
      <c r="D11" s="1881"/>
      <c r="E11" s="3137" t="e">
        <f t="shared" ca="1" si="1"/>
        <v>#REF!</v>
      </c>
      <c r="F11" s="3137" t="e">
        <f t="shared" ca="1" si="2"/>
        <v>#REF!</v>
      </c>
    </row>
    <row r="12" spans="1:6" ht="14.25">
      <c r="A12" s="259"/>
      <c r="B12" s="3136" t="e">
        <f t="shared" ca="1" si="0"/>
        <v>#REF!</v>
      </c>
      <c r="C12" s="3132" t="s">
        <v>2948</v>
      </c>
      <c r="D12" s="1881"/>
      <c r="E12" s="3137" t="e">
        <f t="shared" ca="1" si="1"/>
        <v>#REF!</v>
      </c>
      <c r="F12" s="3137" t="e">
        <f t="shared" ca="1" si="2"/>
        <v>#REF!</v>
      </c>
    </row>
    <row r="13" spans="1:6" ht="14.25">
      <c r="A13" s="259"/>
      <c r="B13" s="3136" t="e">
        <f t="shared" ca="1" si="0"/>
        <v>#REF!</v>
      </c>
      <c r="C13" s="3132" t="s">
        <v>2948</v>
      </c>
      <c r="D13" s="1881"/>
      <c r="E13" s="3137" t="e">
        <f t="shared" ca="1" si="1"/>
        <v>#REF!</v>
      </c>
      <c r="F13" s="3137" t="e">
        <f t="shared" ca="1" si="2"/>
        <v>#REF!</v>
      </c>
    </row>
    <row r="14" spans="1:6" ht="14.25">
      <c r="A14" s="3130"/>
      <c r="B14" s="3136" t="e">
        <f t="shared" ca="1" si="0"/>
        <v>#REF!</v>
      </c>
      <c r="C14" s="3132" t="s">
        <v>2948</v>
      </c>
      <c r="D14" s="1881"/>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6" sqref="I6:L6"/>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411" t="s">
        <v>2378</v>
      </c>
      <c r="F1" s="2412">
        <f ca="1">J54</f>
        <v>0</v>
      </c>
      <c r="G1" s="773">
        <f>MATCH(C1,'数据-取费表'!A6:A16,0)+5</f>
        <v>9</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5" t="s">
        <v>695</v>
      </c>
      <c r="I3" s="2057"/>
      <c r="J3" s="2057"/>
      <c r="K3" s="2058"/>
      <c r="L3" s="2057"/>
      <c r="M3" s="2057"/>
    </row>
    <row r="4" spans="1:25" ht="18" customHeight="1">
      <c r="A4" s="1645" t="s">
        <v>696</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2462</v>
      </c>
      <c r="C7" s="53">
        <f ca="1">C8+C12+C14</f>
        <v>0</v>
      </c>
      <c r="D7" s="2520" t="s">
        <v>2465</v>
      </c>
      <c r="E7" s="2514"/>
      <c r="F7" s="2515"/>
      <c r="G7" s="1591"/>
      <c r="H7" s="780">
        <v>1</v>
      </c>
      <c r="I7" s="781" t="s">
        <v>2462</v>
      </c>
      <c r="J7" s="53">
        <f ca="1">J8+J12+J14</f>
        <v>0</v>
      </c>
      <c r="K7" s="2520" t="s">
        <v>2465</v>
      </c>
      <c r="L7" s="2514"/>
      <c r="M7" s="2515"/>
    </row>
    <row r="8" spans="1:25" ht="18" customHeight="1">
      <c r="A8" s="1830" t="s">
        <v>1825</v>
      </c>
      <c r="B8" s="3419" t="s">
        <v>2467</v>
      </c>
      <c r="C8" s="1825">
        <f ca="1">ROUND(F8*F10*F9*(1-F11)/10000,0)</f>
        <v>0</v>
      </c>
      <c r="D8" s="1822" t="s">
        <v>2538</v>
      </c>
      <c r="E8" s="61" t="s">
        <v>637</v>
      </c>
      <c r="F8" s="784">
        <f ca="1">INDIRECT("'数据-取费表'!u"&amp;$G$1)</f>
        <v>0</v>
      </c>
      <c r="G8" s="1591"/>
      <c r="H8" s="2528" t="s">
        <v>1825</v>
      </c>
      <c r="I8" s="3419" t="s">
        <v>2467</v>
      </c>
      <c r="J8" s="782">
        <f ca="1">ROUND(M8*M10*M9*(1-M11)/10000,0)</f>
        <v>0</v>
      </c>
      <c r="K8" s="340" t="s">
        <v>2538</v>
      </c>
      <c r="L8" s="783" t="s">
        <v>1739</v>
      </c>
      <c r="M8" s="784">
        <f ca="1">INDIRECT("'数据-取费表'!z"&amp;$G$1)</f>
        <v>0</v>
      </c>
    </row>
    <row r="9" spans="1:25" ht="18" customHeight="1">
      <c r="A9" s="2524"/>
      <c r="B9" s="3420"/>
      <c r="C9" s="1826"/>
      <c r="D9" s="1823"/>
      <c r="E9" s="61" t="s">
        <v>638</v>
      </c>
      <c r="F9" s="784">
        <f ca="1">IF(INDIRECT("'数据-取费表'!ah"&amp;$G$1)="",INDIRECT("'数据-取费表'!k"&amp;$G$1),INDIRECT("'数据-取费表'!ah"&amp;$G$1))</f>
        <v>0</v>
      </c>
      <c r="G9" s="1591"/>
      <c r="H9" s="2513"/>
      <c r="I9" s="3420"/>
      <c r="J9" s="787"/>
      <c r="K9" s="788"/>
      <c r="L9" s="783" t="s">
        <v>1740</v>
      </c>
      <c r="M9" s="784">
        <f ca="1">F9</f>
        <v>0</v>
      </c>
    </row>
    <row r="10" spans="1:25" ht="18" customHeight="1">
      <c r="A10" s="2517"/>
      <c r="B10" s="3421"/>
      <c r="C10" s="1826"/>
      <c r="D10" s="1823"/>
      <c r="E10" s="61" t="s">
        <v>639</v>
      </c>
      <c r="F10" s="784">
        <f ca="1">INDIRECT("'数据-取费表'!ai"&amp;$G$1)</f>
        <v>0</v>
      </c>
      <c r="G10" s="1591"/>
      <c r="H10" s="2513"/>
      <c r="I10" s="3421"/>
      <c r="J10" s="787"/>
      <c r="K10" s="788"/>
      <c r="L10" s="783" t="s">
        <v>1741</v>
      </c>
      <c r="M10" s="784">
        <f ca="1">INDIRECT("'数据-取费表'!ai"&amp;$G$1)</f>
        <v>0</v>
      </c>
    </row>
    <row r="11" spans="1:25" ht="18" customHeight="1">
      <c r="A11" s="785"/>
      <c r="B11" s="3422"/>
      <c r="C11" s="1826"/>
      <c r="D11" s="1823"/>
      <c r="E11" s="61" t="s">
        <v>640</v>
      </c>
      <c r="F11" s="793">
        <f ca="1">INDIRECT("'数据-取费表'!w"&amp;$G$1)</f>
        <v>0</v>
      </c>
      <c r="G11" s="1591"/>
      <c r="H11" s="2529"/>
      <c r="I11" s="3421"/>
      <c r="J11" s="787"/>
      <c r="K11" s="788"/>
      <c r="L11" s="794" t="s">
        <v>1742</v>
      </c>
      <c r="M11" s="795">
        <f ca="1">INDIRECT("'数据-取费表'!ab"&amp;$G$1)</f>
        <v>0</v>
      </c>
    </row>
    <row r="12" spans="1:25" ht="18" customHeight="1">
      <c r="A12" s="1830" t="s">
        <v>1826</v>
      </c>
      <c r="B12" s="2518" t="s">
        <v>2463</v>
      </c>
      <c r="C12" s="798">
        <f ca="1">ROUND(IF(F12="押一",C8/12*F13,IF(F12="押二",C8/12*2*F13,IF(F12="押三",C8/12*3*F13,C13*F13))),0)</f>
        <v>0</v>
      </c>
      <c r="D12" s="2525" t="s">
        <v>2977</v>
      </c>
      <c r="E12" s="2522" t="s">
        <v>2468</v>
      </c>
      <c r="F12" s="2645"/>
      <c r="G12" s="1591"/>
      <c r="H12" s="2585" t="s">
        <v>1826</v>
      </c>
      <c r="I12" s="2590" t="s">
        <v>2463</v>
      </c>
      <c r="J12" s="782">
        <f ca="1">ROUND(IF(M12="押一",J8/12*M13,IF(M12="押二",J8/12*2*M13,IF(M12="押三",J8/12*3*M13,J13*M13))),0)</f>
        <v>0</v>
      </c>
      <c r="K12" s="2525" t="s">
        <v>2977</v>
      </c>
      <c r="L12" s="2522" t="s">
        <v>2468</v>
      </c>
      <c r="M12" s="2645"/>
    </row>
    <row r="13" spans="1:25" ht="18" customHeight="1">
      <c r="A13" s="789"/>
      <c r="B13" s="2519" t="s">
        <v>2577</v>
      </c>
      <c r="C13" s="2523"/>
      <c r="D13" s="788"/>
      <c r="E13" s="2522" t="s">
        <v>2460</v>
      </c>
      <c r="F13" s="795">
        <f ca="1">'数据-取费表'!B39</f>
        <v>1.4999999999999999E-2</v>
      </c>
      <c r="G13" s="1591"/>
      <c r="H13" s="2586"/>
      <c r="I13" s="2519" t="s">
        <v>2577</v>
      </c>
      <c r="J13" s="2523"/>
      <c r="K13" s="2587"/>
      <c r="L13" s="2522" t="s">
        <v>2460</v>
      </c>
      <c r="M13" s="2516">
        <f ca="1">'数据-取费表'!B39</f>
        <v>1.4999999999999999E-2</v>
      </c>
    </row>
    <row r="14" spans="1:25" ht="18" customHeight="1" thickBot="1">
      <c r="A14" s="2561" t="s">
        <v>2471</v>
      </c>
      <c r="B14" s="2562" t="s">
        <v>2464</v>
      </c>
      <c r="C14" s="2563"/>
      <c r="D14" s="2564"/>
      <c r="E14" s="2565"/>
      <c r="F14" s="2566"/>
      <c r="G14" s="1591"/>
      <c r="H14" s="2575" t="s">
        <v>2471</v>
      </c>
      <c r="I14" s="2588" t="s">
        <v>2464</v>
      </c>
      <c r="J14" s="2589"/>
      <c r="K14" s="2564"/>
      <c r="L14" s="2565"/>
      <c r="M14" s="2578"/>
    </row>
    <row r="15" spans="1:25" ht="18" customHeight="1" thickTop="1">
      <c r="A15" s="1829" t="s">
        <v>1875</v>
      </c>
      <c r="B15" s="1827" t="s">
        <v>641</v>
      </c>
      <c r="C15" s="791">
        <f ca="1">ROUND(C31*F15,0)</f>
        <v>0</v>
      </c>
      <c r="D15" s="1834" t="s">
        <v>642</v>
      </c>
      <c r="E15" s="794" t="s">
        <v>643</v>
      </c>
      <c r="F15" s="799">
        <f ca="1">INDIRECT("'数据-取费表'!y"&amp;$G$1)</f>
        <v>0</v>
      </c>
      <c r="G15" s="1591"/>
      <c r="H15" s="1829" t="s">
        <v>1827</v>
      </c>
      <c r="I15" s="1827" t="s">
        <v>644</v>
      </c>
      <c r="J15" s="1819">
        <f ca="1">ROUND(J16*J17,0)</f>
        <v>0</v>
      </c>
      <c r="K15" s="1821" t="s">
        <v>642</v>
      </c>
      <c r="L15" s="800"/>
      <c r="M15" s="801"/>
    </row>
    <row r="16" spans="1:25" ht="18" customHeight="1">
      <c r="A16" s="802" t="s">
        <v>1876</v>
      </c>
      <c r="B16" s="783" t="s">
        <v>645</v>
      </c>
      <c r="C16" s="803">
        <f ca="1">INDIRECT("'数据-取费表'!m"&amp;$G$1)+INDIRECT("'数据-取费表'!t"&amp;$G$1)</f>
        <v>0</v>
      </c>
      <c r="D16" s="1979" t="s">
        <v>646</v>
      </c>
      <c r="E16" s="1980"/>
      <c r="F16" s="804"/>
      <c r="G16" s="1591"/>
      <c r="H16" s="802" t="s">
        <v>2072</v>
      </c>
      <c r="I16" s="2231" t="s">
        <v>2829</v>
      </c>
      <c r="J16" s="53">
        <f ca="1">C31</f>
        <v>0</v>
      </c>
      <c r="K16" s="26"/>
      <c r="L16" s="800"/>
      <c r="M16" s="801"/>
    </row>
    <row r="17" spans="1:25" s="2064" customFormat="1" ht="18" customHeight="1">
      <c r="A17" s="802" t="s">
        <v>1850</v>
      </c>
      <c r="B17" s="783" t="s">
        <v>647</v>
      </c>
      <c r="C17" s="53">
        <f ca="1">ROUND(C16*F17,0)</f>
        <v>0</v>
      </c>
      <c r="D17" s="805" t="s">
        <v>648</v>
      </c>
      <c r="E17" s="805" t="s">
        <v>649</v>
      </c>
      <c r="F17" s="806">
        <f>'数据-取费表'!B33</f>
        <v>0.03</v>
      </c>
      <c r="G17" s="1592"/>
      <c r="H17" s="802" t="s">
        <v>2073</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2"/>
      <c r="M18" s="56"/>
    </row>
    <row r="19" spans="1:25" s="2064" customFormat="1" ht="18" customHeight="1">
      <c r="A19" s="802" t="s">
        <v>1852</v>
      </c>
      <c r="B19" s="783" t="s">
        <v>653</v>
      </c>
      <c r="C19" s="53">
        <f ca="1">ROUND(F19*(INDIRECT("'数据-取费表'!k"&amp;$G$1)+INDIRECT("'数据-取费表'!S"&amp;$G$1))/10000,0)</f>
        <v>0</v>
      </c>
      <c r="D19" s="783" t="s">
        <v>654</v>
      </c>
      <c r="E19" s="783" t="s">
        <v>655</v>
      </c>
      <c r="F19" s="56">
        <f>'数据-取费表'!B35</f>
        <v>150</v>
      </c>
      <c r="G19" s="1592"/>
      <c r="H19" s="802" t="s">
        <v>2072</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1877</v>
      </c>
      <c r="B21" s="783" t="s">
        <v>662</v>
      </c>
      <c r="C21" s="53">
        <f ca="1">SUM(C16:C20)</f>
        <v>0</v>
      </c>
      <c r="D21" s="260" t="s">
        <v>663</v>
      </c>
      <c r="E21" s="1982"/>
      <c r="F21" s="56"/>
      <c r="G21" s="1591"/>
      <c r="H21" s="1830" t="s">
        <v>1850</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1878</v>
      </c>
      <c r="B22" s="783" t="s">
        <v>666</v>
      </c>
      <c r="C22" s="53">
        <f ca="1">ROUND(C21*F22,0)</f>
        <v>0</v>
      </c>
      <c r="D22" s="811" t="s">
        <v>667</v>
      </c>
      <c r="E22" s="783" t="s">
        <v>649</v>
      </c>
      <c r="F22" s="808">
        <f>'数据-取费表'!B37</f>
        <v>0.02</v>
      </c>
      <c r="G22" s="1592"/>
      <c r="H22" s="1832" t="s">
        <v>1851</v>
      </c>
      <c r="I22" s="1822" t="s">
        <v>668</v>
      </c>
      <c r="J22" s="54">
        <f ca="1">ROUND(M22*M23/10000,0)</f>
        <v>0</v>
      </c>
      <c r="K22" s="813" t="s">
        <v>669</v>
      </c>
      <c r="L22" s="783" t="s">
        <v>670</v>
      </c>
      <c r="M22" s="639">
        <f>'数据-取费表'!B52</f>
        <v>6</v>
      </c>
      <c r="N22" s="2063"/>
      <c r="O22" s="2063"/>
      <c r="P22" s="2063"/>
      <c r="Q22" s="2063"/>
      <c r="R22" s="2063"/>
      <c r="S22" s="2063"/>
      <c r="T22" s="2063"/>
      <c r="U22" s="2063"/>
      <c r="V22" s="2063"/>
      <c r="W22" s="2063"/>
      <c r="X22" s="2063"/>
      <c r="Y22" s="2063"/>
    </row>
    <row r="23" spans="1:25" s="2064" customFormat="1" ht="18" customHeight="1">
      <c r="A23" s="802" t="s">
        <v>1879</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1880</v>
      </c>
      <c r="B24" s="783" t="s">
        <v>675</v>
      </c>
      <c r="C24" s="53"/>
      <c r="D24" s="2596" t="str">
        <f>IF(F25&lt;=1,"单利计息。","复利计息。")&amp;"建造成本、管理费用、销售费用产生的利息。"</f>
        <v>复利计息。建造成本、管理费用、销售费用产生的利息。</v>
      </c>
      <c r="E24" s="1982"/>
      <c r="F24" s="56"/>
      <c r="G24" s="1591"/>
      <c r="H24" s="1831" t="s">
        <v>2073</v>
      </c>
      <c r="I24" s="783" t="s">
        <v>676</v>
      </c>
      <c r="J24" s="53">
        <f ca="1">ROUND(J16*M24,0)</f>
        <v>0</v>
      </c>
      <c r="K24" s="1977" t="s">
        <v>677</v>
      </c>
      <c r="L24" s="783" t="s">
        <v>649</v>
      </c>
      <c r="M24" s="816">
        <f ca="1">INDIRECT("'数据-取费表'!Ak"&amp;$G$1)</f>
        <v>0</v>
      </c>
    </row>
    <row r="25" spans="1:25" s="2064" customFormat="1" ht="18" customHeight="1">
      <c r="A25" s="802" t="s">
        <v>1876</v>
      </c>
      <c r="B25" s="783" t="s">
        <v>2441</v>
      </c>
      <c r="C25" s="53">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1850</v>
      </c>
      <c r="B26" s="783" t="s">
        <v>681</v>
      </c>
      <c r="C26" s="53">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1882</v>
      </c>
      <c r="B27" s="783" t="s">
        <v>684</v>
      </c>
      <c r="C27" s="53"/>
      <c r="D27" s="260" t="s">
        <v>685</v>
      </c>
      <c r="E27" s="1982"/>
      <c r="F27" s="56"/>
      <c r="G27" s="1591"/>
      <c r="H27" s="796" t="s">
        <v>1829</v>
      </c>
      <c r="I27" s="3034" t="s">
        <v>2826</v>
      </c>
      <c r="J27" s="798">
        <f ca="1">J7-J18</f>
        <v>0</v>
      </c>
      <c r="K27" s="1979" t="s">
        <v>700</v>
      </c>
      <c r="L27" s="1981"/>
      <c r="M27" s="819"/>
    </row>
    <row r="28" spans="1:25" ht="18" customHeight="1">
      <c r="A28" s="802" t="s">
        <v>1876</v>
      </c>
      <c r="B28" s="783" t="s">
        <v>2442</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1883</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2827</v>
      </c>
      <c r="C31" s="2568">
        <f ca="1">ROUND((C21+C22+C25+C28)/(1-F23-C26-C29-C30),0)</f>
        <v>0</v>
      </c>
      <c r="D31" s="2569"/>
      <c r="E31" s="2570"/>
      <c r="F31" s="2571"/>
      <c r="G31" s="1592"/>
      <c r="H31" s="822" t="s">
        <v>1873</v>
      </c>
      <c r="I31" s="3035" t="s">
        <v>2828</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1877</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1876</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1881</v>
      </c>
      <c r="B36" s="340" t="s">
        <v>668</v>
      </c>
      <c r="C36" s="54">
        <f ca="1">ROUND(F36*F37/10000,1)</f>
        <v>0</v>
      </c>
      <c r="D36" s="813" t="s">
        <v>669</v>
      </c>
      <c r="E36" s="783" t="s">
        <v>670</v>
      </c>
      <c r="F36" s="639">
        <f>'数据-取费表'!B52</f>
        <v>6</v>
      </c>
      <c r="G36" s="2062"/>
      <c r="H36" s="2065"/>
      <c r="I36" s="3452"/>
      <c r="J36" s="2079"/>
      <c r="K36" s="2080"/>
      <c r="L36" s="2079"/>
      <c r="M36" s="2079"/>
    </row>
    <row r="37" spans="1:18" ht="18" customHeight="1">
      <c r="A37" s="814"/>
      <c r="B37" s="792"/>
      <c r="C37" s="69"/>
      <c r="D37" s="815"/>
      <c r="E37" s="783" t="s">
        <v>674</v>
      </c>
      <c r="F37" s="784">
        <f ca="1">INDIRECT("'数据-取费表'!r"&amp;$G$1)</f>
        <v>0</v>
      </c>
      <c r="G37" s="2062"/>
      <c r="H37" s="2065"/>
      <c r="I37" s="3452"/>
      <c r="J37" s="2077"/>
      <c r="K37" s="2078"/>
      <c r="L37" s="2077"/>
      <c r="M37" s="2077"/>
    </row>
    <row r="38" spans="1:18" ht="18" customHeight="1">
      <c r="A38" s="802" t="s">
        <v>1878</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1879</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84" t="s">
        <v>1880</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2" t="s">
        <v>1877</v>
      </c>
      <c r="B42" s="834" t="s">
        <v>693</v>
      </c>
      <c r="C42" s="828">
        <f ca="1">C7-C32</f>
        <v>0</v>
      </c>
      <c r="D42" s="1979" t="s">
        <v>694</v>
      </c>
      <c r="E42" s="1981"/>
      <c r="F42" s="819"/>
      <c r="G42" s="2062"/>
      <c r="H42" s="2062"/>
      <c r="I42" s="2062"/>
      <c r="J42" s="2062"/>
      <c r="K42" s="2083"/>
      <c r="L42" s="2062"/>
      <c r="M42" s="2062"/>
    </row>
    <row r="43" spans="1:18" ht="18" customHeight="1">
      <c r="A43" s="802" t="s">
        <v>1878</v>
      </c>
      <c r="B43" s="834" t="s">
        <v>711</v>
      </c>
      <c r="C43" s="835">
        <f ca="1">ROUND(C15*F43,0)</f>
        <v>0</v>
      </c>
      <c r="D43" s="1354" t="s">
        <v>712</v>
      </c>
      <c r="E43" s="3150" t="s">
        <v>2965</v>
      </c>
      <c r="F43" s="3151">
        <f ca="1">INDIRECT("'数据-取费表'!j"&amp;$G$1)</f>
        <v>0</v>
      </c>
      <c r="G43" s="2062"/>
      <c r="H43" s="2062"/>
      <c r="I43" s="2062"/>
      <c r="J43" s="2062"/>
      <c r="K43" s="2083"/>
      <c r="L43" s="2062"/>
      <c r="M43" s="2062"/>
    </row>
    <row r="44" spans="1:18" ht="18" customHeight="1">
      <c r="A44" s="802" t="s">
        <v>1879</v>
      </c>
      <c r="B44" s="834" t="s">
        <v>713</v>
      </c>
      <c r="C44" s="1355">
        <f ca="1">C42-C43</f>
        <v>0</v>
      </c>
      <c r="D44" s="462" t="s">
        <v>714</v>
      </c>
      <c r="E44" s="463"/>
      <c r="F44" s="464"/>
      <c r="G44" s="2062"/>
      <c r="H44" s="2062"/>
      <c r="I44" s="2062"/>
      <c r="J44" s="2062"/>
      <c r="K44" s="2083"/>
      <c r="L44" s="2062"/>
      <c r="M44" s="2062"/>
    </row>
    <row r="45" spans="1:18" ht="18" customHeight="1">
      <c r="A45" s="802" t="s">
        <v>1880</v>
      </c>
      <c r="B45" s="1354" t="s">
        <v>715</v>
      </c>
      <c r="C45" s="3061">
        <f ca="1">ROUND(-PV(F45,F46,C44,0),0)</f>
        <v>0</v>
      </c>
      <c r="D45" s="1356" t="s">
        <v>716</v>
      </c>
      <c r="E45" s="805" t="s">
        <v>717</v>
      </c>
      <c r="F45" s="829">
        <f ca="1">INDIRECT("'数据-取费表'!h"&amp;$G$1)</f>
        <v>0</v>
      </c>
      <c r="G45" s="2062"/>
      <c r="H45" s="2062"/>
      <c r="I45" s="2062"/>
      <c r="J45" s="2062"/>
      <c r="K45" s="2083"/>
      <c r="L45" s="2062"/>
      <c r="M45" s="2062"/>
    </row>
    <row r="46" spans="1:18" ht="18" customHeight="1" thickBot="1">
      <c r="A46" s="830"/>
      <c r="B46" s="1357"/>
      <c r="C46" s="1358"/>
      <c r="D46" s="1359"/>
      <c r="E46" s="3152" t="s">
        <v>2968</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str">
        <f ca="1">IF(M48="住宅",0,IF(L49&gt;J52,L61,J61))</f>
        <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0</v>
      </c>
      <c r="M48" s="3147"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453"/>
      <c r="L54" s="3454"/>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4" t="s">
        <v>2359</v>
      </c>
      <c r="J56" s="3148"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47" t="s">
        <v>1679</v>
      </c>
      <c r="K57" s="2383" t="s">
        <v>2366</v>
      </c>
      <c r="L57" s="2392">
        <f ca="1">IF(L49&lt;J52,"——",L49-J52)</f>
        <v>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49"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6" t="s">
        <v>2945</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27">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28">
        <v>0</v>
      </c>
      <c r="O65" s="2428" t="s">
        <v>2419</v>
      </c>
      <c r="P65" s="1591"/>
      <c r="Q65" s="1603"/>
      <c r="R65" s="1591"/>
    </row>
    <row r="66" spans="1:18" s="2059" customFormat="1" ht="15.75" thickBot="1">
      <c r="A66" s="2096"/>
      <c r="B66" s="2097"/>
      <c r="C66" s="2097"/>
      <c r="I66" s="2409" t="s">
        <v>2376</v>
      </c>
      <c r="J66" s="2410">
        <v>40</v>
      </c>
      <c r="K66" s="2410">
        <v>30</v>
      </c>
      <c r="L66" s="2410">
        <v>50</v>
      </c>
      <c r="M66" s="3127">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65" priority="6">
      <formula>$F$12="自定义"</formula>
    </cfRule>
  </conditionalFormatting>
  <conditionalFormatting sqref="J13">
    <cfRule type="expression" dxfId="64" priority="5">
      <formula>$M$10="自定义"</formula>
    </cfRule>
  </conditionalFormatting>
  <conditionalFormatting sqref="K56">
    <cfRule type="expression" dxfId="63" priority="3">
      <formula>$L$48&gt;$J$51</formula>
    </cfRule>
  </conditionalFormatting>
  <conditionalFormatting sqref="I56">
    <cfRule type="expression" dxfId="62" priority="4">
      <formula>$J$51&gt;$L$48</formula>
    </cfRule>
  </conditionalFormatting>
  <conditionalFormatting sqref="I61">
    <cfRule type="expression" dxfId="61" priority="2">
      <formula>$J$51&gt;$L$48</formula>
    </cfRule>
  </conditionalFormatting>
  <conditionalFormatting sqref="K61">
    <cfRule type="expression" dxfId="6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1" t="s">
        <v>2580</v>
      </c>
      <c r="C1" s="3461"/>
      <c r="D1" s="3461"/>
      <c r="E1" s="3461"/>
      <c r="F1" s="3461"/>
      <c r="G1" s="3460" t="s">
        <v>2581</v>
      </c>
      <c r="H1" s="3460"/>
      <c r="I1" s="3460"/>
      <c r="J1" s="3460"/>
      <c r="K1" s="3460"/>
      <c r="L1" s="3460"/>
      <c r="N1" s="3460" t="s">
        <v>2582</v>
      </c>
      <c r="O1" s="3460"/>
      <c r="P1" s="3460"/>
      <c r="Q1" s="3460"/>
      <c r="R1" s="2678"/>
      <c r="S1" s="3460" t="s">
        <v>2583</v>
      </c>
      <c r="T1" s="3460"/>
      <c r="U1" s="3460"/>
      <c r="V1" s="3460"/>
      <c r="X1" s="3459" t="s">
        <v>2643</v>
      </c>
      <c r="Y1" s="3460"/>
      <c r="Z1" s="3460"/>
      <c r="AA1" s="3460"/>
      <c r="AB1" s="3460"/>
      <c r="AD1" s="3459" t="s">
        <v>2647</v>
      </c>
      <c r="AE1" s="3460"/>
      <c r="AF1" s="3460"/>
      <c r="AG1" s="3460"/>
      <c r="AH1" s="3460"/>
    </row>
    <row r="2" spans="1:34" s="2780" customFormat="1" ht="14.25" thickBot="1">
      <c r="B2" s="2788" t="s">
        <v>2584</v>
      </c>
      <c r="C2" s="2788" t="s">
        <v>2645</v>
      </c>
      <c r="D2" s="2781" t="s">
        <v>1645</v>
      </c>
      <c r="E2" s="2781" t="s">
        <v>1952</v>
      </c>
      <c r="F2" s="2788" t="s">
        <v>2646</v>
      </c>
      <c r="G2" s="2784"/>
      <c r="H2" s="2783"/>
      <c r="I2" s="2788" t="s">
        <v>2959</v>
      </c>
      <c r="J2" s="2781" t="s">
        <v>2961</v>
      </c>
      <c r="K2" s="2781" t="s">
        <v>2962</v>
      </c>
      <c r="L2" s="2788" t="s">
        <v>2963</v>
      </c>
      <c r="N2" s="2788" t="s">
        <v>2584</v>
      </c>
      <c r="O2" s="2781" t="s">
        <v>2960</v>
      </c>
      <c r="P2" s="2781" t="s">
        <v>1952</v>
      </c>
      <c r="Q2" s="2788" t="s">
        <v>2646</v>
      </c>
      <c r="R2" s="2782"/>
      <c r="S2" s="2788" t="s">
        <v>2584</v>
      </c>
      <c r="T2" s="2781" t="s">
        <v>2960</v>
      </c>
      <c r="U2" s="2781" t="s">
        <v>1952</v>
      </c>
      <c r="V2" s="2788" t="s">
        <v>2646</v>
      </c>
      <c r="X2" s="2788" t="s">
        <v>2584</v>
      </c>
      <c r="Y2" s="2788" t="s">
        <v>2645</v>
      </c>
      <c r="Z2" s="2781" t="s">
        <v>1645</v>
      </c>
      <c r="AA2" s="2781" t="s">
        <v>1952</v>
      </c>
      <c r="AB2" s="2788" t="s">
        <v>2646</v>
      </c>
      <c r="AD2" s="2788" t="s">
        <v>2584</v>
      </c>
      <c r="AE2" s="2788" t="s">
        <v>2645</v>
      </c>
      <c r="AF2" s="2781" t="s">
        <v>1645</v>
      </c>
      <c r="AG2" s="2781" t="s">
        <v>1952</v>
      </c>
      <c r="AH2" s="2788" t="s">
        <v>2646</v>
      </c>
    </row>
    <row r="3" spans="1:34" s="3162" customFormat="1" ht="14.25">
      <c r="A3" s="3174" t="s">
        <v>2972</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c r="A5" s="3139" t="s">
        <v>2979</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0">
        <v>2</v>
      </c>
      <c r="I5" s="3156">
        <v>0</v>
      </c>
      <c r="J5" s="3156">
        <v>0</v>
      </c>
      <c r="K5" s="3156">
        <v>0</v>
      </c>
      <c r="L5" s="3156">
        <v>0</v>
      </c>
      <c r="N5" s="2786">
        <f t="shared" ref="N5" si="6">I5/100</f>
        <v>0</v>
      </c>
      <c r="O5" s="2786">
        <f t="shared" ref="O5" si="7">J5/100</f>
        <v>0</v>
      </c>
      <c r="P5" s="2786">
        <f t="shared" ref="P5" si="8">K5/100</f>
        <v>0</v>
      </c>
      <c r="Q5" s="2786">
        <f t="shared" ref="Q5" si="9">L5/100</f>
        <v>0</v>
      </c>
      <c r="R5" s="3142"/>
      <c r="S5" s="3143"/>
      <c r="T5" s="3142"/>
      <c r="U5" s="3142"/>
      <c r="V5" s="3142"/>
      <c r="W5" s="3172" t="s">
        <v>2973</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5" customFormat="1" ht="13.5" thickBot="1">
      <c r="A6" s="2679" t="s">
        <v>2980</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1">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2970</v>
      </c>
      <c r="B7" s="3176">
        <v>439</v>
      </c>
      <c r="C7" s="3176">
        <v>327</v>
      </c>
      <c r="D7" s="3176">
        <f t="shared" si="13"/>
        <v>327</v>
      </c>
      <c r="E7" s="3176">
        <v>627</v>
      </c>
      <c r="F7" s="3177">
        <v>283</v>
      </c>
      <c r="G7" s="3159">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2974</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1"/>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2585</v>
      </c>
      <c r="B9" s="2693">
        <f t="shared" si="25"/>
        <v>419.31181600000002</v>
      </c>
      <c r="C9" s="2693">
        <f t="shared" si="25"/>
        <v>313.95436800000004</v>
      </c>
      <c r="D9" s="2693">
        <f t="shared" si="13"/>
        <v>313.95436800000004</v>
      </c>
      <c r="E9" s="2693">
        <f t="shared" si="26"/>
        <v>596.63028431999999</v>
      </c>
      <c r="F9" s="2693">
        <f t="shared" si="26"/>
        <v>274.74220703999998</v>
      </c>
      <c r="G9" s="3160"/>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2586</v>
      </c>
      <c r="B10" s="2693">
        <f t="shared" si="25"/>
        <v>405.524</v>
      </c>
      <c r="C10" s="2693">
        <f t="shared" si="25"/>
        <v>307.79840000000002</v>
      </c>
      <c r="D10" s="2693">
        <f t="shared" si="13"/>
        <v>307.79840000000002</v>
      </c>
      <c r="E10" s="2693">
        <f t="shared" si="26"/>
        <v>574.67759999999998</v>
      </c>
      <c r="F10" s="2693">
        <f t="shared" si="26"/>
        <v>270.20280000000002</v>
      </c>
      <c r="G10" s="3161"/>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58">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56"/>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56"/>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57"/>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55">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56"/>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56"/>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57"/>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55">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56"/>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56"/>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57"/>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2644</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2587</v>
      </c>
      <c r="B23" s="2685">
        <v>299</v>
      </c>
      <c r="C23" s="2685">
        <v>252</v>
      </c>
      <c r="D23" s="2685">
        <f t="shared" si="35"/>
        <v>252</v>
      </c>
      <c r="E23" s="2685">
        <v>409</v>
      </c>
      <c r="F23" s="2686">
        <v>227</v>
      </c>
      <c r="G23" s="3462">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2588</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63"/>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2589</v>
      </c>
      <c r="B25" s="2693">
        <f t="shared" si="44"/>
        <v>288.2649053828776</v>
      </c>
      <c r="C25" s="2693">
        <f t="shared" si="44"/>
        <v>243.64564425013293</v>
      </c>
      <c r="D25" s="2693">
        <f t="shared" si="35"/>
        <v>243.64564425013293</v>
      </c>
      <c r="E25" s="2693">
        <f t="shared" si="45"/>
        <v>393.31080825986544</v>
      </c>
      <c r="F25" s="2693">
        <f t="shared" si="45"/>
        <v>223.07903790551154</v>
      </c>
      <c r="G25" s="3463"/>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2590</v>
      </c>
      <c r="B26" s="2693">
        <f t="shared" si="44"/>
        <v>282.50186729015837</v>
      </c>
      <c r="C26" s="2693">
        <f t="shared" si="44"/>
        <v>238.09796174155468</v>
      </c>
      <c r="D26" s="2693">
        <f t="shared" si="35"/>
        <v>238.09796174155468</v>
      </c>
      <c r="E26" s="2693">
        <f t="shared" si="45"/>
        <v>385.33438646014054</v>
      </c>
      <c r="F26" s="2693">
        <f t="shared" si="45"/>
        <v>221.55034055567739</v>
      </c>
      <c r="G26" s="3464"/>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2591</v>
      </c>
      <c r="B27" s="2723">
        <v>278</v>
      </c>
      <c r="C27" s="2723">
        <v>234</v>
      </c>
      <c r="D27" s="2723">
        <f t="shared" si="35"/>
        <v>234</v>
      </c>
      <c r="E27" s="2723">
        <v>379</v>
      </c>
      <c r="F27" s="2724">
        <v>220</v>
      </c>
      <c r="G27" s="3455">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2592</v>
      </c>
      <c r="B28" s="2693">
        <f>B27/(1+N27)</f>
        <v>275.49301357645425</v>
      </c>
      <c r="C28" s="2693">
        <f>C27/(1+O27)</f>
        <v>232.41954707985698</v>
      </c>
      <c r="D28" s="2693">
        <f t="shared" si="35"/>
        <v>232.41954707985698</v>
      </c>
      <c r="E28" s="2693">
        <f t="shared" ref="E28:F30" si="46">E27/(1+P27)</f>
        <v>375.32184591008121</v>
      </c>
      <c r="F28" s="2693">
        <f t="shared" si="46"/>
        <v>218.03766105054513</v>
      </c>
      <c r="G28" s="3456"/>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2593</v>
      </c>
      <c r="B29" s="2693">
        <f>B28/(1+N28)</f>
        <v>275.24529281292263</v>
      </c>
      <c r="C29" s="2693">
        <f>C28/(1+O28)</f>
        <v>231.74747938962707</v>
      </c>
      <c r="D29" s="2693">
        <f t="shared" si="35"/>
        <v>231.74747938962707</v>
      </c>
      <c r="E29" s="2693">
        <f t="shared" si="46"/>
        <v>375.35938184826603</v>
      </c>
      <c r="F29" s="2693">
        <f t="shared" si="46"/>
        <v>216.78033510692495</v>
      </c>
      <c r="G29" s="3456"/>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2594</v>
      </c>
      <c r="B30" s="2693">
        <f>B29/(1+N29)</f>
        <v>275.19025476197027</v>
      </c>
      <c r="C30" s="2725">
        <v>232</v>
      </c>
      <c r="D30" s="2725">
        <f t="shared" si="35"/>
        <v>232</v>
      </c>
      <c r="E30" s="2693">
        <f t="shared" si="46"/>
        <v>375.65990977608692</v>
      </c>
      <c r="F30" s="2693">
        <f t="shared" si="46"/>
        <v>214.12518283971252</v>
      </c>
      <c r="G30" s="3457"/>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2595</v>
      </c>
      <c r="B31" s="2685">
        <v>275</v>
      </c>
      <c r="C31" s="2685">
        <v>232</v>
      </c>
      <c r="D31" s="2685">
        <f t="shared" si="35"/>
        <v>232</v>
      </c>
      <c r="E31" s="2685">
        <v>376</v>
      </c>
      <c r="F31" s="2686">
        <v>213</v>
      </c>
      <c r="G31" s="3455">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2596</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56">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2597</v>
      </c>
      <c r="B33" s="2693">
        <f t="shared" si="47"/>
        <v>275.19335084830601</v>
      </c>
      <c r="C33" s="2693">
        <f t="shared" si="47"/>
        <v>230.18088050139744</v>
      </c>
      <c r="D33" s="2693">
        <f t="shared" si="35"/>
        <v>230.18088050139744</v>
      </c>
      <c r="E33" s="2693">
        <f t="shared" si="48"/>
        <v>377.58482925212331</v>
      </c>
      <c r="F33" s="2693">
        <f t="shared" si="48"/>
        <v>210.90687997847917</v>
      </c>
      <c r="G33" s="3456">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2598</v>
      </c>
      <c r="B34" s="2693">
        <f t="shared" si="47"/>
        <v>276.29854502841971</v>
      </c>
      <c r="C34" s="2693">
        <f t="shared" si="47"/>
        <v>229.79023709833027</v>
      </c>
      <c r="D34" s="2693">
        <f t="shared" si="35"/>
        <v>229.79023709833027</v>
      </c>
      <c r="E34" s="2693">
        <f t="shared" si="48"/>
        <v>379.78759731655936</v>
      </c>
      <c r="F34" s="2693">
        <f t="shared" si="48"/>
        <v>211.32953905659235</v>
      </c>
      <c r="G34" s="3457">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2599</v>
      </c>
      <c r="B35" s="2685">
        <v>269</v>
      </c>
      <c r="C35" s="2685">
        <v>221</v>
      </c>
      <c r="D35" s="2685">
        <f t="shared" si="35"/>
        <v>221</v>
      </c>
      <c r="E35" s="2685">
        <v>373</v>
      </c>
      <c r="F35" s="2686">
        <v>196</v>
      </c>
      <c r="G35" s="3455">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2600</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56">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2601</v>
      </c>
      <c r="B37" s="2693">
        <f t="shared" si="49"/>
        <v>242.95398227588385</v>
      </c>
      <c r="C37" s="2693">
        <f t="shared" si="49"/>
        <v>199.59137053614126</v>
      </c>
      <c r="D37" s="2693">
        <f t="shared" si="35"/>
        <v>199.59137053614126</v>
      </c>
      <c r="E37" s="2693">
        <f t="shared" si="50"/>
        <v>335.92189522342125</v>
      </c>
      <c r="F37" s="2693">
        <f t="shared" si="50"/>
        <v>183.10139991109489</v>
      </c>
      <c r="G37" s="3456">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2602</v>
      </c>
      <c r="B38" s="2693">
        <f t="shared" si="49"/>
        <v>232.06990378821649</v>
      </c>
      <c r="C38" s="2693">
        <f t="shared" si="49"/>
        <v>192.74878854286936</v>
      </c>
      <c r="D38" s="2693">
        <f t="shared" si="35"/>
        <v>192.74878854286936</v>
      </c>
      <c r="E38" s="2693">
        <f t="shared" si="50"/>
        <v>319.71247284992984</v>
      </c>
      <c r="F38" s="2693">
        <f t="shared" si="50"/>
        <v>175.67053622862409</v>
      </c>
      <c r="G38" s="3457">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2603</v>
      </c>
      <c r="B39" s="2685">
        <v>220</v>
      </c>
      <c r="C39" s="2685">
        <v>187</v>
      </c>
      <c r="D39" s="2685">
        <f t="shared" si="35"/>
        <v>187</v>
      </c>
      <c r="E39" s="2685">
        <v>301</v>
      </c>
      <c r="F39" s="2686">
        <v>168</v>
      </c>
      <c r="G39" s="3455">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2604</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56">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2605</v>
      </c>
      <c r="B41" s="2693">
        <f t="shared" si="51"/>
        <v>210.630522469011</v>
      </c>
      <c r="C41" s="2693">
        <f t="shared" si="51"/>
        <v>181.69567812247232</v>
      </c>
      <c r="D41" s="2693">
        <f t="shared" si="35"/>
        <v>181.69567812247232</v>
      </c>
      <c r="E41" s="2693">
        <f t="shared" si="52"/>
        <v>286.13517466736738</v>
      </c>
      <c r="F41" s="2693">
        <f t="shared" si="52"/>
        <v>165.47535084591149</v>
      </c>
      <c r="G41" s="3456">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2606</v>
      </c>
      <c r="B42" s="2693">
        <f t="shared" si="51"/>
        <v>208.83454537875372</v>
      </c>
      <c r="C42" s="2693">
        <f t="shared" si="51"/>
        <v>183.77230517090351</v>
      </c>
      <c r="D42" s="2693">
        <f t="shared" si="35"/>
        <v>183.77230517090351</v>
      </c>
      <c r="E42" s="2693">
        <f t="shared" si="52"/>
        <v>281.10342338870947</v>
      </c>
      <c r="F42" s="2693">
        <f t="shared" si="52"/>
        <v>168.97309388942256</v>
      </c>
      <c r="G42" s="3457">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2607</v>
      </c>
      <c r="B43" s="2723">
        <v>214</v>
      </c>
      <c r="C43" s="2723">
        <v>188</v>
      </c>
      <c r="D43" s="2723">
        <f t="shared" si="35"/>
        <v>188</v>
      </c>
      <c r="E43" s="2723">
        <v>289</v>
      </c>
      <c r="F43" s="2724">
        <v>166</v>
      </c>
      <c r="G43" s="3455">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2608</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56">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2609</v>
      </c>
      <c r="B45" s="2693">
        <f t="shared" si="53"/>
        <v>206.31694671589116</v>
      </c>
      <c r="C45" s="2693">
        <f t="shared" si="53"/>
        <v>183.61041121036101</v>
      </c>
      <c r="D45" s="2693">
        <f t="shared" si="35"/>
        <v>183.61041121036101</v>
      </c>
      <c r="E45" s="2693">
        <f t="shared" si="54"/>
        <v>276.66850301795557</v>
      </c>
      <c r="F45" s="2693">
        <f t="shared" si="54"/>
        <v>165.1360938278614</v>
      </c>
      <c r="G45" s="3456">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2610</v>
      </c>
      <c r="B46" s="2726">
        <f t="shared" si="53"/>
        <v>196.62341248059772</v>
      </c>
      <c r="C46" s="2726">
        <f t="shared" si="53"/>
        <v>170.99125648199012</v>
      </c>
      <c r="D46" s="2726">
        <f t="shared" si="35"/>
        <v>170.99125648199012</v>
      </c>
      <c r="E46" s="2726">
        <f t="shared" si="54"/>
        <v>266.07857570490052</v>
      </c>
      <c r="F46" s="2726">
        <f t="shared" si="54"/>
        <v>154.53499328828505</v>
      </c>
      <c r="G46" s="3457">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2611</v>
      </c>
      <c r="B47" s="2685">
        <v>188</v>
      </c>
      <c r="C47" s="2685">
        <v>165</v>
      </c>
      <c r="D47" s="2685">
        <f t="shared" si="35"/>
        <v>165</v>
      </c>
      <c r="E47" s="2685">
        <v>254</v>
      </c>
      <c r="F47" s="2686">
        <v>148</v>
      </c>
      <c r="G47" s="3455">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2612</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56">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2613</v>
      </c>
      <c r="B49" s="2693">
        <f t="shared" si="57"/>
        <v>168.82017748715555</v>
      </c>
      <c r="C49" s="2693">
        <f t="shared" si="57"/>
        <v>148.06267029972753</v>
      </c>
      <c r="D49" s="2693">
        <f t="shared" si="35"/>
        <v>148.06267029972753</v>
      </c>
      <c r="E49" s="2693">
        <f t="shared" si="58"/>
        <v>216.46288379323747</v>
      </c>
      <c r="F49" s="2693">
        <f t="shared" si="58"/>
        <v>134.23529411764704</v>
      </c>
      <c r="G49" s="3456">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2614</v>
      </c>
      <c r="B50" s="2693">
        <f t="shared" si="57"/>
        <v>163.84913591779542</v>
      </c>
      <c r="C50" s="2693">
        <f t="shared" si="57"/>
        <v>145.0283378746594</v>
      </c>
      <c r="D50" s="2693">
        <f t="shared" si="35"/>
        <v>145.0283378746594</v>
      </c>
      <c r="E50" s="2693">
        <f t="shared" si="58"/>
        <v>204.95180722891567</v>
      </c>
      <c r="F50" s="2693">
        <f t="shared" si="58"/>
        <v>125.95920303605313</v>
      </c>
      <c r="G50" s="3457">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2615</v>
      </c>
      <c r="B51" s="2707">
        <v>159</v>
      </c>
      <c r="C51" s="2707">
        <v>141</v>
      </c>
      <c r="D51" s="2707">
        <f t="shared" si="35"/>
        <v>141</v>
      </c>
      <c r="E51" s="2707">
        <v>195</v>
      </c>
      <c r="F51" s="2708">
        <v>122</v>
      </c>
      <c r="G51" s="3455">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2616</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56">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2617</v>
      </c>
      <c r="B53" s="2693">
        <f t="shared" si="61"/>
        <v>146.57412060301507</v>
      </c>
      <c r="C53" s="2693">
        <f t="shared" si="61"/>
        <v>136.46831955922866</v>
      </c>
      <c r="D53" s="2693">
        <f t="shared" si="35"/>
        <v>136.46831955922866</v>
      </c>
      <c r="E53" s="2693">
        <f t="shared" si="62"/>
        <v>166.73864894795128</v>
      </c>
      <c r="F53" s="2693">
        <f t="shared" si="62"/>
        <v>115.05882352941177</v>
      </c>
      <c r="G53" s="3456">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2618</v>
      </c>
      <c r="B54" s="2693">
        <f t="shared" si="61"/>
        <v>144.04145728643215</v>
      </c>
      <c r="C54" s="2693">
        <f t="shared" si="61"/>
        <v>136.12396694214877</v>
      </c>
      <c r="D54" s="2693">
        <f t="shared" si="35"/>
        <v>136.12396694214877</v>
      </c>
      <c r="E54" s="2693">
        <f t="shared" si="62"/>
        <v>158.32225913621264</v>
      </c>
      <c r="F54" s="2693">
        <f t="shared" si="62"/>
        <v>114.04278074866311</v>
      </c>
      <c r="G54" s="3457">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2619</v>
      </c>
      <c r="B55" s="2707">
        <v>138</v>
      </c>
      <c r="C55" s="2707">
        <v>131</v>
      </c>
      <c r="D55" s="2707">
        <f t="shared" si="35"/>
        <v>131</v>
      </c>
      <c r="E55" s="2707">
        <v>155</v>
      </c>
      <c r="F55" s="2708">
        <v>114</v>
      </c>
      <c r="G55" s="3455">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2620</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56">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2621</v>
      </c>
      <c r="B57" s="2693">
        <f t="shared" si="65"/>
        <v>124.29032258064517</v>
      </c>
      <c r="C57" s="2693">
        <f t="shared" si="65"/>
        <v>123.8968609865471</v>
      </c>
      <c r="D57" s="2693">
        <f t="shared" si="35"/>
        <v>123.8968609865471</v>
      </c>
      <c r="E57" s="2693">
        <f t="shared" si="66"/>
        <v>138.00507614213197</v>
      </c>
      <c r="F57" s="2693">
        <f t="shared" si="66"/>
        <v>107.96106557377048</v>
      </c>
      <c r="G57" s="3456">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2622</v>
      </c>
      <c r="B58" s="2693">
        <f t="shared" si="65"/>
        <v>122.57204301075269</v>
      </c>
      <c r="C58" s="2693">
        <f t="shared" si="65"/>
        <v>123.4932735426009</v>
      </c>
      <c r="D58" s="2693">
        <f t="shared" si="35"/>
        <v>123.4932735426009</v>
      </c>
      <c r="E58" s="2693">
        <f t="shared" si="66"/>
        <v>129.82233502538071</v>
      </c>
      <c r="F58" s="2693">
        <f t="shared" si="66"/>
        <v>107.39446721311475</v>
      </c>
      <c r="G58" s="3457">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2623</v>
      </c>
      <c r="B59" s="2723">
        <v>121</v>
      </c>
      <c r="C59" s="2723">
        <v>122</v>
      </c>
      <c r="D59" s="2723">
        <f t="shared" si="35"/>
        <v>122</v>
      </c>
      <c r="E59" s="2723">
        <v>124</v>
      </c>
      <c r="F59" s="2724">
        <v>107</v>
      </c>
      <c r="G59" s="3455">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2624</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56">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2625</v>
      </c>
      <c r="B61" s="2693">
        <f t="shared" si="69"/>
        <v>116.99099099099099</v>
      </c>
      <c r="C61" s="2693">
        <f t="shared" si="69"/>
        <v>118.84848484848486</v>
      </c>
      <c r="D61" s="2693">
        <f t="shared" si="35"/>
        <v>118.84848484848486</v>
      </c>
      <c r="E61" s="2693">
        <f t="shared" si="70"/>
        <v>117.60960960960961</v>
      </c>
      <c r="F61" s="2693">
        <f t="shared" si="70"/>
        <v>104</v>
      </c>
      <c r="G61" s="3456">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2626</v>
      </c>
      <c r="B62" s="2726">
        <f t="shared" si="69"/>
        <v>112.48648648648648</v>
      </c>
      <c r="C62" s="2726">
        <f t="shared" si="69"/>
        <v>115.21212121212122</v>
      </c>
      <c r="D62" s="2726">
        <f t="shared" si="35"/>
        <v>115.21212121212122</v>
      </c>
      <c r="E62" s="2726">
        <f t="shared" si="70"/>
        <v>110.4024024024024</v>
      </c>
      <c r="F62" s="2726">
        <f t="shared" si="70"/>
        <v>104</v>
      </c>
      <c r="G62" s="3457">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2627</v>
      </c>
      <c r="B63" s="2744">
        <v>111</v>
      </c>
      <c r="C63" s="2744">
        <v>114</v>
      </c>
      <c r="D63" s="2744">
        <f t="shared" si="35"/>
        <v>114</v>
      </c>
      <c r="E63" s="2744">
        <v>108</v>
      </c>
      <c r="F63" s="2745">
        <v>104</v>
      </c>
      <c r="G63" s="3455">
        <v>2003</v>
      </c>
      <c r="H63" s="2734">
        <v>4</v>
      </c>
      <c r="I63" s="2746"/>
      <c r="J63" s="2746"/>
      <c r="K63" s="2746"/>
      <c r="L63" s="2746"/>
      <c r="N63" s="2747"/>
      <c r="O63" s="2746"/>
      <c r="P63" s="2746"/>
      <c r="Q63" s="2746"/>
      <c r="S63" s="2747"/>
      <c r="T63" s="2746"/>
      <c r="U63" s="2746"/>
      <c r="V63" s="2746"/>
      <c r="X63" s="2738"/>
      <c r="Y63" s="2738"/>
      <c r="Z63" s="2738"/>
    </row>
    <row r="64" spans="1:26">
      <c r="A64" s="2679" t="s">
        <v>2628</v>
      </c>
      <c r="B64" s="2748">
        <f t="shared" ref="B64:C66" si="71">B65+(B$63-B$67)/4</f>
        <v>109.75</v>
      </c>
      <c r="C64" s="2748">
        <f t="shared" si="71"/>
        <v>112.25</v>
      </c>
      <c r="D64" s="2748">
        <f t="shared" si="35"/>
        <v>112.25</v>
      </c>
      <c r="E64" s="2748">
        <f t="shared" ref="E64:F66" si="72">E65+(E$63-E$67)/4</f>
        <v>107.25</v>
      </c>
      <c r="F64" s="2748">
        <f t="shared" si="72"/>
        <v>103.5</v>
      </c>
      <c r="G64" s="3456">
        <v>2003</v>
      </c>
      <c r="H64" s="2704">
        <v>3</v>
      </c>
      <c r="I64" s="2746"/>
      <c r="J64" s="2746"/>
      <c r="K64" s="2746"/>
      <c r="L64" s="2746"/>
      <c r="X64" s="2738"/>
      <c r="Y64" s="2738"/>
      <c r="Z64" s="2738"/>
    </row>
    <row r="65" spans="1:26">
      <c r="A65" s="2679" t="s">
        <v>2629</v>
      </c>
      <c r="B65" s="2748">
        <f t="shared" si="71"/>
        <v>108.5</v>
      </c>
      <c r="C65" s="2748">
        <f t="shared" si="71"/>
        <v>110.5</v>
      </c>
      <c r="D65" s="2748">
        <f t="shared" si="35"/>
        <v>110.5</v>
      </c>
      <c r="E65" s="2748">
        <f t="shared" si="72"/>
        <v>106.5</v>
      </c>
      <c r="F65" s="2748">
        <f t="shared" si="72"/>
        <v>103</v>
      </c>
      <c r="G65" s="3456">
        <v>2003</v>
      </c>
      <c r="H65" s="2684">
        <v>2</v>
      </c>
      <c r="I65" s="2746"/>
      <c r="J65" s="2746"/>
      <c r="K65" s="2746"/>
      <c r="L65" s="2746"/>
      <c r="X65" s="2738"/>
      <c r="Y65" s="2738"/>
      <c r="Z65" s="2738"/>
    </row>
    <row r="66" spans="1:26" ht="13.5" thickBot="1">
      <c r="A66" s="2679" t="s">
        <v>2630</v>
      </c>
      <c r="B66" s="2748">
        <f t="shared" si="71"/>
        <v>107.25</v>
      </c>
      <c r="C66" s="2748">
        <f t="shared" si="71"/>
        <v>108.75</v>
      </c>
      <c r="D66" s="2748">
        <f t="shared" si="35"/>
        <v>108.75</v>
      </c>
      <c r="E66" s="2748">
        <f t="shared" si="72"/>
        <v>105.75</v>
      </c>
      <c r="F66" s="2748">
        <f t="shared" si="72"/>
        <v>102.5</v>
      </c>
      <c r="G66" s="3457">
        <v>2003</v>
      </c>
      <c r="H66" s="2749">
        <v>1</v>
      </c>
      <c r="I66" s="2746"/>
      <c r="J66" s="2746"/>
      <c r="K66" s="2746"/>
      <c r="L66" s="2746"/>
      <c r="S66" s="2688"/>
      <c r="T66" s="2689"/>
      <c r="U66" s="2689"/>
      <c r="X66" s="2738"/>
      <c r="Y66" s="2738"/>
      <c r="Z66" s="2738"/>
    </row>
    <row r="67" spans="1:26" ht="13.5" thickBot="1">
      <c r="A67" s="2679" t="s">
        <v>2631</v>
      </c>
      <c r="B67" s="2750">
        <v>106</v>
      </c>
      <c r="C67" s="2750">
        <v>107</v>
      </c>
      <c r="D67" s="2750">
        <f t="shared" si="35"/>
        <v>107</v>
      </c>
      <c r="E67" s="2750">
        <v>105</v>
      </c>
      <c r="F67" s="2751">
        <v>102</v>
      </c>
      <c r="G67" s="3455">
        <v>2002</v>
      </c>
      <c r="H67" s="2699">
        <v>4</v>
      </c>
      <c r="I67" s="2746"/>
      <c r="J67" s="2746"/>
      <c r="K67" s="2746"/>
      <c r="L67" s="2746"/>
      <c r="N67" s="2747"/>
      <c r="O67" s="2746"/>
      <c r="P67" s="2746"/>
      <c r="Q67" s="2746"/>
      <c r="S67" s="2747"/>
      <c r="T67" s="2746"/>
      <c r="U67" s="2746"/>
      <c r="V67" s="2746"/>
      <c r="X67" s="2738"/>
      <c r="Y67" s="2738"/>
      <c r="Z67" s="2738"/>
    </row>
    <row r="68" spans="1:26">
      <c r="A68" s="2679" t="s">
        <v>2632</v>
      </c>
      <c r="B68" s="2748">
        <f t="shared" ref="B68:C70" si="73">B69+(B$67-B$71)/4</f>
        <v>105</v>
      </c>
      <c r="C68" s="2748">
        <f t="shared" si="73"/>
        <v>106</v>
      </c>
      <c r="D68" s="2748">
        <f t="shared" si="35"/>
        <v>106</v>
      </c>
      <c r="E68" s="2748">
        <f t="shared" ref="E68:F70" si="74">E69+(E$67-E$71)/4</f>
        <v>104.5</v>
      </c>
      <c r="F68" s="2748">
        <f t="shared" si="74"/>
        <v>101.5</v>
      </c>
      <c r="G68" s="3456">
        <v>2002</v>
      </c>
      <c r="H68" s="2704">
        <v>3</v>
      </c>
      <c r="I68" s="2746"/>
      <c r="J68" s="2746"/>
      <c r="K68" s="2746"/>
      <c r="L68" s="2746"/>
      <c r="X68" s="2738"/>
      <c r="Y68" s="2738"/>
      <c r="Z68" s="2738"/>
    </row>
    <row r="69" spans="1:26">
      <c r="A69" s="2679" t="s">
        <v>2633</v>
      </c>
      <c r="B69" s="2748">
        <f t="shared" si="73"/>
        <v>104</v>
      </c>
      <c r="C69" s="2748">
        <f t="shared" si="73"/>
        <v>105</v>
      </c>
      <c r="D69" s="2748">
        <f t="shared" si="35"/>
        <v>105</v>
      </c>
      <c r="E69" s="2748">
        <f t="shared" si="74"/>
        <v>104</v>
      </c>
      <c r="F69" s="2748">
        <f t="shared" si="74"/>
        <v>101</v>
      </c>
      <c r="G69" s="3456">
        <v>2002</v>
      </c>
      <c r="H69" s="2684">
        <v>2</v>
      </c>
      <c r="I69" s="2746"/>
      <c r="J69" s="2746"/>
      <c r="K69" s="2746"/>
      <c r="L69" s="2746"/>
      <c r="X69" s="2738"/>
      <c r="Y69" s="2738"/>
      <c r="Z69" s="2738"/>
    </row>
    <row r="70" spans="1:26" s="2715" customFormat="1" ht="13.5" thickBot="1">
      <c r="A70" s="2711" t="s">
        <v>2634</v>
      </c>
      <c r="B70" s="2752">
        <f t="shared" si="73"/>
        <v>103</v>
      </c>
      <c r="C70" s="2752">
        <f t="shared" si="73"/>
        <v>104</v>
      </c>
      <c r="D70" s="2752">
        <f t="shared" si="35"/>
        <v>104</v>
      </c>
      <c r="E70" s="2752">
        <f t="shared" si="74"/>
        <v>103.5</v>
      </c>
      <c r="F70" s="2752">
        <f t="shared" si="74"/>
        <v>100.5</v>
      </c>
      <c r="G70" s="3457">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2635</v>
      </c>
      <c r="G73" s="2762"/>
      <c r="N73" s="2762"/>
      <c r="S73" s="2762"/>
    </row>
    <row r="74" spans="1:26" s="2761" customFormat="1">
      <c r="A74" s="2761" t="s">
        <v>2636</v>
      </c>
      <c r="G74" s="2762"/>
      <c r="N74" s="2762"/>
      <c r="S74" s="2762"/>
    </row>
    <row r="75" spans="1:26" s="2761" customFormat="1">
      <c r="A75" s="2761" t="s">
        <v>2637</v>
      </c>
      <c r="G75" s="2762"/>
      <c r="I75" s="2763"/>
      <c r="J75" s="2763"/>
      <c r="K75" s="2763"/>
      <c r="L75" s="2763"/>
      <c r="N75" s="2764"/>
      <c r="O75" s="2763"/>
      <c r="P75" s="2763"/>
      <c r="Q75" s="2763"/>
      <c r="S75" s="2764"/>
      <c r="T75" s="2763"/>
      <c r="U75" s="2763"/>
      <c r="V75" s="2763"/>
    </row>
    <row r="76" spans="1:26" s="2761" customFormat="1">
      <c r="A76" s="2761" t="s">
        <v>2638</v>
      </c>
      <c r="G76" s="2762"/>
      <c r="N76" s="2762"/>
      <c r="S76" s="2762"/>
    </row>
    <row r="83" spans="7:22" ht="13.5" thickBot="1"/>
    <row r="84" spans="7:22">
      <c r="G84" s="2687"/>
      <c r="S84" s="2765" t="s">
        <v>2639</v>
      </c>
      <c r="T84" s="2766" t="s">
        <v>2640</v>
      </c>
      <c r="U84" s="2766" t="s">
        <v>2641</v>
      </c>
      <c r="V84" s="2766" t="s">
        <v>2642</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5" t="s">
        <v>2475</v>
      </c>
      <c r="B1" s="3466"/>
      <c r="C1" s="3467"/>
      <c r="D1" s="3468">
        <f>SUM(I10,I15,I20,I21,I23)</f>
        <v>0</v>
      </c>
      <c r="E1" s="3468"/>
      <c r="F1" s="3468"/>
      <c r="G1" s="3468"/>
      <c r="H1" s="3468"/>
      <c r="I1" s="3469"/>
    </row>
    <row r="2" spans="1:9">
      <c r="A2" s="3470" t="s">
        <v>2476</v>
      </c>
      <c r="B2" s="3471" t="s">
        <v>2477</v>
      </c>
      <c r="C2" s="3471"/>
      <c r="D2" s="2531" t="s">
        <v>2478</v>
      </c>
      <c r="E2" s="2531" t="s">
        <v>2479</v>
      </c>
      <c r="F2" s="2531" t="s">
        <v>2480</v>
      </c>
      <c r="G2" s="2531" t="s">
        <v>2481</v>
      </c>
      <c r="H2" s="2531" t="s">
        <v>2482</v>
      </c>
      <c r="I2" s="2532" t="s">
        <v>2483</v>
      </c>
    </row>
    <row r="3" spans="1:9">
      <c r="A3" s="3470"/>
      <c r="B3" s="3471" t="s">
        <v>2484</v>
      </c>
      <c r="C3" s="3471"/>
      <c r="D3" s="2533"/>
      <c r="E3" s="2531"/>
      <c r="F3" s="2534"/>
      <c r="G3" s="2534"/>
      <c r="H3" s="2535"/>
      <c r="I3" s="2536">
        <f>ROUND(D3*E3*F3*G3*H3/10000,0)</f>
        <v>0</v>
      </c>
    </row>
    <row r="4" spans="1:9">
      <c r="A4" s="3470"/>
      <c r="B4" s="3471" t="s">
        <v>2485</v>
      </c>
      <c r="C4" s="3471"/>
      <c r="D4" s="2533"/>
      <c r="E4" s="2531"/>
      <c r="F4" s="2534"/>
      <c r="G4" s="2534"/>
      <c r="H4" s="2535"/>
      <c r="I4" s="2536">
        <f t="shared" ref="I4:I9" si="0">ROUND(D4*E4*F4*G4*H4/10000,0)</f>
        <v>0</v>
      </c>
    </row>
    <row r="5" spans="1:9">
      <c r="A5" s="3470"/>
      <c r="B5" s="3471" t="s">
        <v>2486</v>
      </c>
      <c r="C5" s="3471"/>
      <c r="D5" s="2533"/>
      <c r="E5" s="2531"/>
      <c r="F5" s="2534"/>
      <c r="G5" s="2534"/>
      <c r="H5" s="2535"/>
      <c r="I5" s="2536">
        <f t="shared" si="0"/>
        <v>0</v>
      </c>
    </row>
    <row r="6" spans="1:9">
      <c r="A6" s="3470"/>
      <c r="B6" s="3471" t="s">
        <v>2487</v>
      </c>
      <c r="C6" s="3471"/>
      <c r="D6" s="2533"/>
      <c r="E6" s="2531"/>
      <c r="F6" s="2534"/>
      <c r="G6" s="2534"/>
      <c r="H6" s="2535"/>
      <c r="I6" s="2536">
        <f t="shared" si="0"/>
        <v>0</v>
      </c>
    </row>
    <row r="7" spans="1:9">
      <c r="A7" s="3470"/>
      <c r="B7" s="3471" t="s">
        <v>2488</v>
      </c>
      <c r="C7" s="3471"/>
      <c r="D7" s="2533"/>
      <c r="E7" s="2531"/>
      <c r="F7" s="2534"/>
      <c r="G7" s="2534"/>
      <c r="H7" s="2535"/>
      <c r="I7" s="2536">
        <f t="shared" si="0"/>
        <v>0</v>
      </c>
    </row>
    <row r="8" spans="1:9">
      <c r="A8" s="3470"/>
      <c r="B8" s="3471" t="s">
        <v>2489</v>
      </c>
      <c r="C8" s="3471"/>
      <c r="D8" s="2533"/>
      <c r="E8" s="2531"/>
      <c r="F8" s="2534"/>
      <c r="G8" s="2534"/>
      <c r="H8" s="2535"/>
      <c r="I8" s="2536">
        <f t="shared" si="0"/>
        <v>0</v>
      </c>
    </row>
    <row r="9" spans="1:9">
      <c r="A9" s="3470"/>
      <c r="B9" s="3471" t="s">
        <v>2490</v>
      </c>
      <c r="C9" s="3471"/>
      <c r="D9" s="2533"/>
      <c r="E9" s="2531"/>
      <c r="F9" s="2534"/>
      <c r="G9" s="2534"/>
      <c r="H9" s="2535"/>
      <c r="I9" s="2536">
        <f t="shared" si="0"/>
        <v>0</v>
      </c>
    </row>
    <row r="10" spans="1:9">
      <c r="A10" s="3470"/>
      <c r="B10" s="3472" t="s">
        <v>2491</v>
      </c>
      <c r="C10" s="3472"/>
      <c r="D10" s="2537">
        <v>527</v>
      </c>
      <c r="E10" s="2537" t="e">
        <f>ROUND(D1*10000/D10/H9,0)</f>
        <v>#DIV/0!</v>
      </c>
      <c r="F10" s="2538"/>
      <c r="G10" s="2538"/>
      <c r="H10" s="2539"/>
      <c r="I10" s="2540">
        <f>SUM(I3:I9)</f>
        <v>0</v>
      </c>
    </row>
    <row r="11" spans="1:9" ht="14.25">
      <c r="A11" s="3470" t="s">
        <v>2492</v>
      </c>
      <c r="B11" s="3471" t="s">
        <v>2493</v>
      </c>
      <c r="C11" s="3471"/>
      <c r="D11" s="2533" t="s">
        <v>2494</v>
      </c>
      <c r="E11" s="2533" t="s">
        <v>2495</v>
      </c>
      <c r="F11" s="2534" t="s">
        <v>2496</v>
      </c>
      <c r="G11" s="2534" t="s">
        <v>2497</v>
      </c>
      <c r="H11" s="2541" t="s">
        <v>2498</v>
      </c>
      <c r="I11" s="2532" t="s">
        <v>2499</v>
      </c>
    </row>
    <row r="12" spans="1:9">
      <c r="A12" s="3470"/>
      <c r="B12" s="3471" t="s">
        <v>2500</v>
      </c>
      <c r="C12" s="3471"/>
      <c r="D12" s="2533"/>
      <c r="E12" s="2533"/>
      <c r="F12" s="2534"/>
      <c r="G12" s="2535"/>
      <c r="H12" s="2542"/>
      <c r="I12" s="2532">
        <f>ROUND(D12*E12*F12*G12/10000,0)</f>
        <v>0</v>
      </c>
    </row>
    <row r="13" spans="1:9">
      <c r="A13" s="3470"/>
      <c r="B13" s="3471" t="s">
        <v>2501</v>
      </c>
      <c r="C13" s="3471"/>
      <c r="D13" s="2533"/>
      <c r="E13" s="2533"/>
      <c r="F13" s="2534"/>
      <c r="G13" s="2535"/>
      <c r="H13" s="2542"/>
      <c r="I13" s="2532">
        <f>ROUND(D13*E13*F13*G13/10000,0)</f>
        <v>0</v>
      </c>
    </row>
    <row r="14" spans="1:9">
      <c r="A14" s="3470"/>
      <c r="B14" s="3471" t="s">
        <v>2502</v>
      </c>
      <c r="C14" s="3471"/>
      <c r="D14" s="2533"/>
      <c r="E14" s="2533"/>
      <c r="F14" s="2534"/>
      <c r="G14" s="2535"/>
      <c r="H14" s="2542"/>
      <c r="I14" s="2532">
        <f>ROUND(D14*E14*F14*G14/10000,0)</f>
        <v>0</v>
      </c>
    </row>
    <row r="15" spans="1:9">
      <c r="A15" s="3470"/>
      <c r="B15" s="3472" t="s">
        <v>2491</v>
      </c>
      <c r="C15" s="3472"/>
      <c r="D15" s="2537"/>
      <c r="E15" s="2537">
        <f>SUM(E12:E14)</f>
        <v>0</v>
      </c>
      <c r="F15" s="2538"/>
      <c r="G15" s="2535"/>
      <c r="H15" s="2542"/>
      <c r="I15" s="2543">
        <f>SUM(I12:I14)</f>
        <v>0</v>
      </c>
    </row>
    <row r="16" spans="1:9" ht="24">
      <c r="A16" s="3470" t="s">
        <v>2503</v>
      </c>
      <c r="B16" s="3471" t="s">
        <v>2504</v>
      </c>
      <c r="C16" s="3471"/>
      <c r="D16" s="2533" t="s">
        <v>2505</v>
      </c>
      <c r="E16" s="2544" t="s">
        <v>2506</v>
      </c>
      <c r="F16" s="2534" t="s">
        <v>2507</v>
      </c>
      <c r="G16" s="2535" t="s">
        <v>2497</v>
      </c>
      <c r="H16" s="2541" t="s">
        <v>2498</v>
      </c>
      <c r="I16" s="2532" t="s">
        <v>2499</v>
      </c>
    </row>
    <row r="17" spans="1:9" ht="14.25">
      <c r="A17" s="3470"/>
      <c r="B17" s="3471" t="s">
        <v>2508</v>
      </c>
      <c r="C17" s="3471"/>
      <c r="D17" s="2533"/>
      <c r="E17" s="2533"/>
      <c r="F17" s="2534"/>
      <c r="G17" s="2535"/>
      <c r="H17" s="2545"/>
      <c r="I17" s="2546">
        <f>ROUND(D17*E17*F17*G17/10000,0)</f>
        <v>0</v>
      </c>
    </row>
    <row r="18" spans="1:9" ht="14.25">
      <c r="A18" s="3470"/>
      <c r="B18" s="3471" t="s">
        <v>2509</v>
      </c>
      <c r="C18" s="3471"/>
      <c r="D18" s="2533"/>
      <c r="E18" s="2533"/>
      <c r="F18" s="2534"/>
      <c r="G18" s="2535"/>
      <c r="H18" s="2545"/>
      <c r="I18" s="2546">
        <f>ROUND(D18*E18*F18*G18/10000,0)</f>
        <v>0</v>
      </c>
    </row>
    <row r="19" spans="1:9" ht="14.25">
      <c r="A19" s="3470"/>
      <c r="B19" s="3471" t="s">
        <v>2510</v>
      </c>
      <c r="C19" s="3471"/>
      <c r="D19" s="2533"/>
      <c r="E19" s="2533"/>
      <c r="F19" s="2534"/>
      <c r="G19" s="2535"/>
      <c r="H19" s="2545"/>
      <c r="I19" s="2546">
        <f>ROUND(D19*E19*F19*G19/10000,0)</f>
        <v>0</v>
      </c>
    </row>
    <row r="20" spans="1:9">
      <c r="A20" s="3470"/>
      <c r="B20" s="3472" t="s">
        <v>2491</v>
      </c>
      <c r="C20" s="3472"/>
      <c r="D20" s="2537">
        <f>SUM(D17:D19)</f>
        <v>0</v>
      </c>
      <c r="E20" s="2537"/>
      <c r="F20" s="2538"/>
      <c r="G20" s="2535"/>
      <c r="H20" s="2542"/>
      <c r="I20" s="2543">
        <f>SUM(I17:I19)</f>
        <v>0</v>
      </c>
    </row>
    <row r="21" spans="1:9">
      <c r="A21" s="3470" t="s">
        <v>2511</v>
      </c>
      <c r="B21" s="3474"/>
      <c r="C21" s="3474"/>
      <c r="D21" s="3474"/>
      <c r="E21" s="3474"/>
      <c r="F21" s="3474"/>
      <c r="G21" s="3474"/>
      <c r="H21" s="2547">
        <v>0.1</v>
      </c>
      <c r="I21" s="2540">
        <f>ROUND(I10*H21,0)</f>
        <v>0</v>
      </c>
    </row>
    <row r="22" spans="1:9" ht="14.25">
      <c r="A22" s="3475" t="s">
        <v>2512</v>
      </c>
      <c r="B22" s="3476"/>
      <c r="C22" s="3477"/>
      <c r="D22" s="2548" t="s">
        <v>2513</v>
      </c>
      <c r="E22" s="2548" t="s">
        <v>2514</v>
      </c>
      <c r="F22" s="2549" t="s">
        <v>2515</v>
      </c>
      <c r="G22" s="2549" t="s">
        <v>2516</v>
      </c>
      <c r="H22" s="2541" t="s">
        <v>2517</v>
      </c>
      <c r="I22" s="2532" t="s">
        <v>2518</v>
      </c>
    </row>
    <row r="23" spans="1:9" ht="14.25" thickBot="1">
      <c r="A23" s="3478"/>
      <c r="B23" s="3479"/>
      <c r="C23" s="3480"/>
      <c r="D23" s="2550"/>
      <c r="E23" s="2550"/>
      <c r="F23" s="2550"/>
      <c r="G23" s="2551"/>
      <c r="H23" s="2552"/>
      <c r="I23" s="2553">
        <f>ROUND(E23*D23*F23*(1-G23)/10000,0)</f>
        <v>0</v>
      </c>
    </row>
    <row r="26" spans="1:9">
      <c r="A26" s="2554" t="s">
        <v>2519</v>
      </c>
      <c r="B26" s="2554"/>
      <c r="C26" s="2554"/>
      <c r="D26" s="2554"/>
      <c r="E26" s="3481">
        <f>C27-C30-C31-C32</f>
        <v>0</v>
      </c>
      <c r="F26" s="3481"/>
      <c r="G26" s="3481"/>
      <c r="H26" s="3067" t="s">
        <v>2847</v>
      </c>
    </row>
    <row r="27" spans="1:9">
      <c r="A27" s="2555">
        <v>1</v>
      </c>
      <c r="B27" s="2556" t="s">
        <v>2520</v>
      </c>
      <c r="C27" s="2556"/>
      <c r="D27" s="2556"/>
      <c r="E27" s="3482"/>
      <c r="F27" s="3482"/>
      <c r="G27" s="3482"/>
    </row>
    <row r="28" spans="1:9">
      <c r="A28" s="2557" t="s">
        <v>2521</v>
      </c>
      <c r="B28" s="2556" t="s">
        <v>2522</v>
      </c>
      <c r="C28" s="2556"/>
      <c r="D28" s="2556"/>
      <c r="E28" s="3482"/>
      <c r="F28" s="3482"/>
      <c r="G28" s="3482"/>
    </row>
    <row r="29" spans="1:9">
      <c r="A29" s="2557" t="s">
        <v>2523</v>
      </c>
      <c r="B29" s="2556" t="s">
        <v>2464</v>
      </c>
      <c r="C29" s="2556"/>
      <c r="D29" s="2556"/>
      <c r="E29" s="2556" t="s">
        <v>2524</v>
      </c>
      <c r="F29" s="2556"/>
      <c r="G29" s="2556"/>
    </row>
    <row r="30" spans="1:9">
      <c r="A30" s="2555">
        <v>2</v>
      </c>
      <c r="B30" s="2556" t="s">
        <v>2525</v>
      </c>
      <c r="C30" s="2556">
        <f>C27*D30</f>
        <v>0</v>
      </c>
      <c r="D30" s="2558">
        <v>0.2</v>
      </c>
      <c r="E30" s="2556" t="s">
        <v>2526</v>
      </c>
      <c r="F30" s="2556"/>
      <c r="G30" s="2556"/>
    </row>
    <row r="31" spans="1:9">
      <c r="A31" s="2555">
        <v>3</v>
      </c>
      <c r="B31" s="2556" t="s">
        <v>2527</v>
      </c>
      <c r="C31" s="2556">
        <f>C25*D31</f>
        <v>0</v>
      </c>
      <c r="D31" s="2558">
        <v>0.15</v>
      </c>
      <c r="E31" s="2556" t="s">
        <v>2528</v>
      </c>
      <c r="F31" s="2556"/>
      <c r="G31" s="2556"/>
    </row>
    <row r="32" spans="1:9">
      <c r="A32" s="2555">
        <v>4</v>
      </c>
      <c r="B32" s="2556" t="s">
        <v>2529</v>
      </c>
      <c r="C32" s="2556">
        <f>C27*D32</f>
        <v>0</v>
      </c>
      <c r="D32" s="2558">
        <v>0.05</v>
      </c>
      <c r="E32" s="3473"/>
      <c r="F32" s="3473"/>
      <c r="G32" s="3473"/>
    </row>
    <row r="33" spans="1:7" hidden="1">
      <c r="A33" s="3483" t="s">
        <v>2530</v>
      </c>
      <c r="B33" s="3484"/>
      <c r="C33" s="3484"/>
      <c r="D33" s="3485"/>
      <c r="E33" s="3481"/>
      <c r="F33" s="3481"/>
      <c r="G33" s="3481"/>
    </row>
    <row r="34" spans="1:7" hidden="1">
      <c r="A34" s="2559">
        <v>1</v>
      </c>
      <c r="B34" s="2556" t="s">
        <v>2531</v>
      </c>
      <c r="C34" s="2556"/>
      <c r="D34" s="2556"/>
      <c r="E34" s="3482"/>
      <c r="F34" s="3482"/>
      <c r="G34" s="3482"/>
    </row>
    <row r="35" spans="1:7" hidden="1">
      <c r="A35" s="2559">
        <v>2</v>
      </c>
      <c r="B35" s="2556" t="s">
        <v>2532</v>
      </c>
      <c r="C35" s="2556"/>
      <c r="D35" s="2556"/>
      <c r="E35" s="3482"/>
      <c r="F35" s="3482"/>
      <c r="G35" s="3482"/>
    </row>
    <row r="36" spans="1:7" hidden="1">
      <c r="A36" s="2559">
        <v>3</v>
      </c>
      <c r="B36" s="2556" t="s">
        <v>2533</v>
      </c>
      <c r="C36" s="2556"/>
      <c r="D36" s="2556"/>
      <c r="E36" s="3482"/>
      <c r="F36" s="3482"/>
      <c r="G36" s="3482"/>
    </row>
    <row r="37" spans="1:7" hidden="1">
      <c r="A37" s="2559">
        <v>4</v>
      </c>
      <c r="B37" s="2556" t="s">
        <v>2534</v>
      </c>
      <c r="C37" s="2556"/>
      <c r="D37" s="2556"/>
      <c r="E37" s="3482"/>
      <c r="F37" s="3482"/>
      <c r="G37" s="3482"/>
    </row>
    <row r="38" spans="1:7" hidden="1">
      <c r="A38" s="3483" t="s">
        <v>2535</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1686</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row>
    <row r="8" spans="1:25" s="2183" customFormat="1" ht="13.5" customHeight="1">
      <c r="A8" s="2493" t="s">
        <v>2444</v>
      </c>
      <c r="B8" s="2496" t="s">
        <v>2446</v>
      </c>
      <c r="C8" s="2497"/>
      <c r="D8" s="748"/>
      <c r="E8" s="749"/>
      <c r="F8" s="749"/>
      <c r="G8" s="750"/>
    </row>
    <row r="9" spans="1:25" s="2183" customFormat="1" ht="13.5" customHeight="1">
      <c r="A9" s="2493" t="s">
        <v>2445</v>
      </c>
      <c r="B9" s="2496" t="s">
        <v>2447</v>
      </c>
      <c r="C9" s="2497"/>
      <c r="D9" s="748"/>
      <c r="E9" s="749"/>
      <c r="F9" s="749"/>
      <c r="G9" s="750"/>
    </row>
    <row r="10" spans="1:25" s="2183" customFormat="1" ht="36">
      <c r="A10" s="2493">
        <v>2</v>
      </c>
      <c r="B10" s="747" t="s">
        <v>613</v>
      </c>
      <c r="C10" s="748">
        <f>C11+C14+C15</f>
        <v>0</v>
      </c>
      <c r="D10" s="759">
        <f>'数据-汇总表'!E3</f>
        <v>53350.36</v>
      </c>
      <c r="E10" s="748">
        <f>'数据-取费表'!B31</f>
        <v>50</v>
      </c>
      <c r="F10" s="760"/>
      <c r="G10" s="758" t="s">
        <v>614</v>
      </c>
    </row>
    <row r="11" spans="1:25" s="2183" customFormat="1" ht="13.5" customHeight="1">
      <c r="A11" s="2493" t="s">
        <v>2444</v>
      </c>
      <c r="B11" s="751" t="s">
        <v>610</v>
      </c>
      <c r="C11" s="752">
        <f>'数据-取费表'!B29</f>
        <v>0</v>
      </c>
      <c r="D11" s="753"/>
      <c r="E11" s="752"/>
      <c r="F11" s="754"/>
      <c r="G11" s="2502" t="s">
        <v>2455</v>
      </c>
    </row>
    <row r="12" spans="1:25" s="2183" customFormat="1" ht="13.5" customHeight="1">
      <c r="A12" s="2500" t="s">
        <v>2452</v>
      </c>
      <c r="B12" s="755" t="s">
        <v>611</v>
      </c>
      <c r="C12" s="756">
        <f>ROUND(D12*E12/10000,0)</f>
        <v>299</v>
      </c>
      <c r="D12" s="757">
        <f>'数据-汇总表'!E5</f>
        <v>39893.33</v>
      </c>
      <c r="E12" s="756">
        <f>'数据-取费表'!B27</f>
        <v>75</v>
      </c>
      <c r="F12" s="754"/>
      <c r="G12" s="758"/>
    </row>
    <row r="13" spans="1:25" s="2183" customFormat="1" ht="13.5" customHeight="1">
      <c r="A13" s="2500" t="s">
        <v>2451</v>
      </c>
      <c r="B13" s="755" t="s">
        <v>612</v>
      </c>
      <c r="C13" s="756">
        <f>ROUND(D13*E13/10000,0)</f>
        <v>101</v>
      </c>
      <c r="D13" s="757">
        <f>'数据-汇总表'!E6</f>
        <v>13457.029999999999</v>
      </c>
      <c r="E13" s="756">
        <f>'数据-取费表'!B28</f>
        <v>75</v>
      </c>
      <c r="F13" s="754"/>
      <c r="G13" s="758"/>
    </row>
    <row r="14" spans="1:25" s="2183" customFormat="1" ht="13.5" customHeight="1">
      <c r="A14" s="2493" t="s">
        <v>2445</v>
      </c>
      <c r="B14" s="2499" t="s">
        <v>2448</v>
      </c>
      <c r="C14" s="2497"/>
      <c r="D14" s="757"/>
      <c r="E14" s="756"/>
      <c r="F14" s="2498"/>
      <c r="G14" s="2501" t="s">
        <v>2453</v>
      </c>
    </row>
    <row r="15" spans="1:25" s="2183" customFormat="1" ht="13.5" customHeight="1">
      <c r="A15" s="2493" t="s">
        <v>2450</v>
      </c>
      <c r="B15" s="2499" t="s">
        <v>2449</v>
      </c>
      <c r="C15" s="2497"/>
      <c r="D15" s="757"/>
      <c r="E15" s="756"/>
      <c r="F15" s="2498"/>
      <c r="G15" s="2501" t="s">
        <v>2454</v>
      </c>
    </row>
    <row r="16" spans="1:25" s="2184" customFormat="1" ht="48">
      <c r="A16" s="2493">
        <v>3</v>
      </c>
      <c r="B16" s="747" t="s">
        <v>615</v>
      </c>
      <c r="C16" s="2497"/>
      <c r="D16" s="759"/>
      <c r="E16" s="748"/>
      <c r="F16" s="760"/>
      <c r="G16" s="758"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0.13</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7"/>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0.94799999999999995</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375" t="s">
        <v>522</v>
      </c>
      <c r="D4" s="3376"/>
      <c r="E4" s="3410" t="s">
        <v>523</v>
      </c>
      <c r="F4" s="3411"/>
      <c r="G4" s="3375" t="s">
        <v>524</v>
      </c>
      <c r="H4" s="3376"/>
      <c r="I4" s="3375" t="s">
        <v>525</v>
      </c>
      <c r="J4" s="3376"/>
      <c r="K4" s="513" t="s">
        <v>526</v>
      </c>
      <c r="L4" s="2133"/>
      <c r="M4" s="2134"/>
      <c r="N4" s="2134"/>
      <c r="O4" s="2134"/>
      <c r="P4" s="3487" t="s">
        <v>527</v>
      </c>
      <c r="Q4" s="3378"/>
      <c r="R4" s="3383" t="s">
        <v>523</v>
      </c>
      <c r="S4" s="3384"/>
      <c r="T4" s="3383" t="s">
        <v>524</v>
      </c>
      <c r="U4" s="3384"/>
      <c r="V4" s="3370" t="s">
        <v>525</v>
      </c>
      <c r="W4" s="3370"/>
      <c r="X4" s="1566"/>
      <c r="Y4" s="3383" t="s">
        <v>527</v>
      </c>
      <c r="Z4" s="3384"/>
      <c r="AA4" s="3372" t="s">
        <v>523</v>
      </c>
      <c r="AB4" s="3372" t="s">
        <v>524</v>
      </c>
      <c r="AC4" s="3372" t="s">
        <v>525</v>
      </c>
    </row>
    <row r="5" spans="1:29" ht="15">
      <c r="A5" s="514"/>
      <c r="B5" s="515"/>
      <c r="C5" s="3391" t="s">
        <v>2930</v>
      </c>
      <c r="D5" s="3392"/>
      <c r="E5" s="3423" t="s">
        <v>2931</v>
      </c>
      <c r="F5" s="3416"/>
      <c r="G5" s="3391" t="s">
        <v>2932</v>
      </c>
      <c r="H5" s="3392"/>
      <c r="I5" s="3391" t="s">
        <v>2933</v>
      </c>
      <c r="J5" s="3392"/>
      <c r="K5" s="513"/>
      <c r="L5" s="2133"/>
      <c r="M5" s="2134"/>
      <c r="N5" s="2134"/>
      <c r="O5" s="2134"/>
      <c r="P5" s="3488"/>
      <c r="Q5" s="3380"/>
      <c r="R5" s="3385"/>
      <c r="S5" s="3386"/>
      <c r="T5" s="3385"/>
      <c r="U5" s="3386"/>
      <c r="V5" s="3370"/>
      <c r="W5" s="3370"/>
      <c r="X5" s="1566"/>
      <c r="Y5" s="3385"/>
      <c r="Z5" s="3386"/>
      <c r="AA5" s="3373"/>
      <c r="AB5" s="3373"/>
      <c r="AC5" s="3373"/>
    </row>
    <row r="6" spans="1:29" ht="15.75" thickBot="1">
      <c r="A6" s="516"/>
      <c r="B6" s="517"/>
      <c r="C6" s="3389" t="s">
        <v>2934</v>
      </c>
      <c r="D6" s="3390"/>
      <c r="E6" s="3413" t="s">
        <v>2934</v>
      </c>
      <c r="F6" s="3414"/>
      <c r="G6" s="3389" t="s">
        <v>2934</v>
      </c>
      <c r="H6" s="3390"/>
      <c r="I6" s="3389" t="s">
        <v>2934</v>
      </c>
      <c r="J6" s="3390"/>
      <c r="K6" s="513" t="s">
        <v>528</v>
      </c>
      <c r="L6" s="2133"/>
      <c r="M6" s="2134"/>
      <c r="N6" s="2134"/>
      <c r="O6" s="2134"/>
      <c r="P6" s="3489"/>
      <c r="Q6" s="3382"/>
      <c r="R6" s="3385"/>
      <c r="S6" s="3386"/>
      <c r="T6" s="3387"/>
      <c r="U6" s="3388"/>
      <c r="V6" s="3370"/>
      <c r="W6" s="3370"/>
      <c r="X6" s="1566"/>
      <c r="Y6" s="3387"/>
      <c r="Z6" s="3388"/>
      <c r="AA6" s="3374"/>
      <c r="AB6" s="3374"/>
      <c r="AC6" s="3374"/>
    </row>
    <row r="7" spans="1:29" s="1218" customFormat="1" ht="15.75" thickBot="1">
      <c r="A7" s="2935"/>
      <c r="B7" s="2942" t="s">
        <v>529</v>
      </c>
      <c r="C7" s="518">
        <f>'数据-取费表'!B2</f>
        <v>43249</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2" t="s">
        <v>530</v>
      </c>
      <c r="Q7" s="3402"/>
      <c r="R7" s="1567" t="s">
        <v>8</v>
      </c>
      <c r="S7" s="1568">
        <f t="shared" ref="S7:S15" si="0">F7</f>
        <v>0</v>
      </c>
      <c r="T7" s="1567" t="s">
        <v>8</v>
      </c>
      <c r="U7" s="1568">
        <f t="shared" ref="U7:U15" si="1">H7</f>
        <v>0</v>
      </c>
      <c r="V7" s="1567" t="s">
        <v>8</v>
      </c>
      <c r="W7" s="1568">
        <f t="shared" ref="W7:W15" si="2">J7</f>
        <v>0</v>
      </c>
      <c r="X7" s="1569"/>
      <c r="Y7" s="3400" t="s">
        <v>530</v>
      </c>
      <c r="Z7" s="3401"/>
      <c r="AA7" s="1570" t="e">
        <f>D7/F7</f>
        <v>#DIV/0!</v>
      </c>
      <c r="AB7" s="1570" t="e">
        <f>D7/H7</f>
        <v>#DIV/0!</v>
      </c>
      <c r="AC7" s="1570" t="e">
        <f>D7/J7</f>
        <v>#DIV/0!</v>
      </c>
    </row>
    <row r="8" spans="1:29" s="1218"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2" t="s">
        <v>533</v>
      </c>
      <c r="Q8" s="3401"/>
      <c r="R8" s="1567" t="s">
        <v>8</v>
      </c>
      <c r="S8" s="1568">
        <f t="shared" si="0"/>
        <v>0</v>
      </c>
      <c r="T8" s="1567" t="s">
        <v>8</v>
      </c>
      <c r="U8" s="1568">
        <f t="shared" si="1"/>
        <v>0</v>
      </c>
      <c r="V8" s="1567" t="s">
        <v>8</v>
      </c>
      <c r="W8" s="1568">
        <f t="shared" si="2"/>
        <v>0</v>
      </c>
      <c r="X8" s="1569"/>
      <c r="Y8" s="3400" t="s">
        <v>533</v>
      </c>
      <c r="Z8" s="3401"/>
      <c r="AA8" s="1570" t="e">
        <f t="shared" ref="AA8:AA47" si="3">D8/F8</f>
        <v>#DIV/0!</v>
      </c>
      <c r="AB8" s="1570" t="e">
        <f t="shared" ref="AB8:AB47" si="4">D8/H8</f>
        <v>#DIV/0!</v>
      </c>
      <c r="AC8" s="1570" t="e">
        <f t="shared" ref="AC8:AC47" si="5">D8/J8</f>
        <v>#DIV/0!</v>
      </c>
    </row>
    <row r="9" spans="1:29" s="1218" customFormat="1" ht="15">
      <c r="A9" s="2937"/>
      <c r="B9" s="2944" t="s">
        <v>2760</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9" t="s">
        <v>535</v>
      </c>
      <c r="Q9" s="1149" t="str">
        <f t="shared" ref="Q9:Q15" si="6">B9</f>
        <v>用途</v>
      </c>
      <c r="R9" s="1567" t="s">
        <v>8</v>
      </c>
      <c r="S9" s="1568">
        <f t="shared" si="0"/>
        <v>100</v>
      </c>
      <c r="T9" s="1567" t="s">
        <v>8</v>
      </c>
      <c r="U9" s="1568">
        <f t="shared" si="1"/>
        <v>100</v>
      </c>
      <c r="V9" s="1567" t="s">
        <v>8</v>
      </c>
      <c r="W9" s="1568">
        <f t="shared" si="2"/>
        <v>100</v>
      </c>
      <c r="X9" s="1569"/>
      <c r="Y9" s="3315" t="s">
        <v>536</v>
      </c>
      <c r="Z9" s="1148" t="str">
        <f t="shared" ref="Z9:Z15" si="7">Q9</f>
        <v>用途</v>
      </c>
      <c r="AA9" s="1570">
        <f t="shared" si="3"/>
        <v>1</v>
      </c>
      <c r="AB9" s="1570">
        <f t="shared" si="4"/>
        <v>1</v>
      </c>
      <c r="AC9" s="1570">
        <f t="shared" si="5"/>
        <v>1</v>
      </c>
    </row>
    <row r="10" spans="1:29" s="1336" customFormat="1" ht="27">
      <c r="A10" s="2938"/>
      <c r="B10" s="2943" t="s">
        <v>2761</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9"/>
      <c r="Q10" s="1149" t="str">
        <f t="shared" si="6"/>
        <v>土地使用年限（年）</v>
      </c>
      <c r="R10" s="1567" t="s">
        <v>8</v>
      </c>
      <c r="S10" s="1568">
        <f t="shared" si="0"/>
        <v>100</v>
      </c>
      <c r="T10" s="1567" t="s">
        <v>8</v>
      </c>
      <c r="U10" s="1568">
        <f t="shared" si="1"/>
        <v>100</v>
      </c>
      <c r="V10" s="1567" t="s">
        <v>8</v>
      </c>
      <c r="W10" s="1568">
        <f t="shared" si="2"/>
        <v>100</v>
      </c>
      <c r="X10" s="1569"/>
      <c r="Y10" s="3315"/>
      <c r="Z10" s="1148" t="str">
        <f t="shared" si="7"/>
        <v>土地使用年限（年）</v>
      </c>
      <c r="AA10" s="1570">
        <f t="shared" si="3"/>
        <v>1</v>
      </c>
      <c r="AB10" s="1570">
        <f t="shared" si="4"/>
        <v>1</v>
      </c>
      <c r="AC10" s="1570">
        <f t="shared" si="5"/>
        <v>1</v>
      </c>
    </row>
    <row r="11" spans="1:29" ht="15">
      <c r="A11" s="2939"/>
      <c r="B11" s="2943" t="s">
        <v>2762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9"/>
      <c r="Q11" s="1149" t="str">
        <f t="shared" si="6"/>
        <v>容积率</v>
      </c>
      <c r="R11" s="1567" t="s">
        <v>8</v>
      </c>
      <c r="S11" s="1568" t="e">
        <f t="shared" si="0"/>
        <v>#N/A</v>
      </c>
      <c r="T11" s="1567" t="s">
        <v>8</v>
      </c>
      <c r="U11" s="1568" t="e">
        <f t="shared" si="1"/>
        <v>#N/A</v>
      </c>
      <c r="V11" s="1567" t="s">
        <v>8</v>
      </c>
      <c r="W11" s="1568" t="e">
        <f t="shared" si="2"/>
        <v>#N/A</v>
      </c>
      <c r="X11" s="1569"/>
      <c r="Y11" s="3315"/>
      <c r="Z11" s="1148" t="str">
        <f t="shared" si="7"/>
        <v>容积率</v>
      </c>
      <c r="AA11" s="1570" t="e">
        <f t="shared" si="3"/>
        <v>#N/A</v>
      </c>
      <c r="AB11" s="1570" t="e">
        <f t="shared" si="4"/>
        <v>#N/A</v>
      </c>
      <c r="AC11" s="1570" t="e">
        <f t="shared" si="5"/>
        <v>#N/A</v>
      </c>
    </row>
    <row r="12" spans="1:29" s="1218" customFormat="1" ht="15">
      <c r="A12" s="2940"/>
      <c r="B12" s="2946">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369"/>
      <c r="Q12" s="1149">
        <f t="shared" si="6"/>
        <v>111</v>
      </c>
      <c r="R12" s="1567" t="s">
        <v>8</v>
      </c>
      <c r="S12" s="1568">
        <f t="shared" si="0"/>
        <v>100</v>
      </c>
      <c r="T12" s="1567" t="s">
        <v>8</v>
      </c>
      <c r="U12" s="1568">
        <f t="shared" si="1"/>
        <v>100</v>
      </c>
      <c r="V12" s="1567" t="s">
        <v>8</v>
      </c>
      <c r="W12" s="1568">
        <f t="shared" si="2"/>
        <v>100</v>
      </c>
      <c r="X12" s="1569"/>
      <c r="Y12" s="3315"/>
      <c r="Z12" s="1148">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369"/>
      <c r="Q13" s="1149">
        <f t="shared" si="6"/>
        <v>111</v>
      </c>
      <c r="R13" s="1567" t="s">
        <v>8</v>
      </c>
      <c r="S13" s="1568">
        <f t="shared" si="0"/>
        <v>100</v>
      </c>
      <c r="T13" s="1567" t="s">
        <v>8</v>
      </c>
      <c r="U13" s="1568">
        <f t="shared" si="1"/>
        <v>100</v>
      </c>
      <c r="V13" s="1567" t="s">
        <v>8</v>
      </c>
      <c r="W13" s="1568">
        <f t="shared" si="2"/>
        <v>100</v>
      </c>
      <c r="X13" s="1569"/>
      <c r="Y13" s="3315"/>
      <c r="Z13" s="1148">
        <f t="shared" si="7"/>
        <v>111</v>
      </c>
      <c r="AA13" s="1570">
        <f t="shared" si="3"/>
        <v>1</v>
      </c>
      <c r="AB13" s="1570">
        <f t="shared" si="4"/>
        <v>1</v>
      </c>
      <c r="AC13" s="1570">
        <f t="shared" si="5"/>
        <v>1</v>
      </c>
    </row>
    <row r="14" spans="1:29" ht="15.75" thickBot="1">
      <c r="A14" s="2941"/>
      <c r="B14" s="2947">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369"/>
      <c r="Q14" s="1149">
        <f t="shared" si="6"/>
        <v>111</v>
      </c>
      <c r="R14" s="1567" t="s">
        <v>8</v>
      </c>
      <c r="S14" s="1568">
        <f t="shared" si="0"/>
        <v>100</v>
      </c>
      <c r="T14" s="1567" t="s">
        <v>8</v>
      </c>
      <c r="U14" s="1568">
        <f t="shared" si="1"/>
        <v>100</v>
      </c>
      <c r="V14" s="1567" t="s">
        <v>8</v>
      </c>
      <c r="W14" s="1568">
        <f t="shared" si="2"/>
        <v>100</v>
      </c>
      <c r="X14" s="1569"/>
      <c r="Y14" s="3315"/>
      <c r="Z14" s="1148">
        <f t="shared" si="7"/>
        <v>111</v>
      </c>
      <c r="AA14" s="1570">
        <f t="shared" si="3"/>
        <v>1</v>
      </c>
      <c r="AB14" s="1570">
        <f t="shared" si="4"/>
        <v>1</v>
      </c>
      <c r="AC14" s="1570">
        <f t="shared" si="5"/>
        <v>1</v>
      </c>
    </row>
    <row r="15" spans="1:29" ht="71.25">
      <c r="A15" s="2933" t="s">
        <v>2758</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3" t="s">
        <v>540</v>
      </c>
      <c r="Q15" s="1571" t="str">
        <f t="shared" si="6"/>
        <v>办公集聚程度</v>
      </c>
      <c r="R15" s="1572" t="s">
        <v>8</v>
      </c>
      <c r="S15" s="1573">
        <f t="shared" si="0"/>
        <v>100</v>
      </c>
      <c r="T15" s="1572" t="s">
        <v>8</v>
      </c>
      <c r="U15" s="1573">
        <f t="shared" si="1"/>
        <v>100</v>
      </c>
      <c r="V15" s="1572" t="s">
        <v>8</v>
      </c>
      <c r="W15" s="1573">
        <f t="shared" si="2"/>
        <v>100</v>
      </c>
      <c r="X15" s="1566"/>
      <c r="Y15" s="3403"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4"/>
      <c r="Q16" s="1571"/>
      <c r="R16" s="1572"/>
      <c r="S16" s="1573"/>
      <c r="T16" s="1572"/>
      <c r="U16" s="1573"/>
      <c r="V16" s="1572"/>
      <c r="W16" s="1573"/>
      <c r="X16" s="1566"/>
      <c r="Y16" s="3404"/>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4"/>
      <c r="Q18" s="1571"/>
      <c r="R18" s="1572"/>
      <c r="S18" s="1573"/>
      <c r="T18" s="1572"/>
      <c r="U18" s="1573"/>
      <c r="V18" s="1572"/>
      <c r="W18" s="1573"/>
      <c r="X18" s="1566"/>
      <c r="Y18" s="3404"/>
      <c r="Z18" s="1574"/>
      <c r="AA18" s="1575">
        <v>1</v>
      </c>
      <c r="AB18" s="1575">
        <v>1</v>
      </c>
      <c r="AC18" s="1575">
        <v>1</v>
      </c>
    </row>
    <row r="19" spans="1:29" ht="42.75">
      <c r="A19" s="531"/>
      <c r="B19" s="2627" t="s">
        <v>2550</v>
      </c>
      <c r="C19" s="572" t="str">
        <f>估价对象房地状况!C7</f>
        <v>估价对象所在区域公共配套设施齐备</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4"/>
      <c r="Q20" s="1571"/>
      <c r="R20" s="1572"/>
      <c r="S20" s="1573"/>
      <c r="T20" s="1572"/>
      <c r="U20" s="1573"/>
      <c r="V20" s="1572"/>
      <c r="W20" s="1573"/>
      <c r="X20" s="1566"/>
      <c r="Y20" s="3404"/>
      <c r="Z20" s="1574"/>
      <c r="AA20" s="1575">
        <v>1</v>
      </c>
      <c r="AB20" s="1575">
        <v>1</v>
      </c>
      <c r="AC20" s="1575">
        <v>1</v>
      </c>
    </row>
    <row r="21" spans="1:29" ht="42.75">
      <c r="A21" s="531"/>
      <c r="B21" s="2615" t="s">
        <v>2562</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4"/>
      <c r="Q21" s="2603" t="str">
        <f>B21</f>
        <v>基础设施水平</v>
      </c>
      <c r="R21" s="1572" t="s">
        <v>8</v>
      </c>
      <c r="S21" s="1573">
        <f>F21</f>
        <v>100</v>
      </c>
      <c r="T21" s="1572" t="s">
        <v>8</v>
      </c>
      <c r="U21" s="1573">
        <f>H21</f>
        <v>100</v>
      </c>
      <c r="V21" s="1572" t="s">
        <v>8</v>
      </c>
      <c r="W21" s="1573">
        <f>J21</f>
        <v>100</v>
      </c>
      <c r="X21" s="2605"/>
      <c r="Y21" s="3404"/>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04"/>
      <c r="Q22" s="2603"/>
      <c r="R22" s="1572"/>
      <c r="S22" s="1573"/>
      <c r="T22" s="1572"/>
      <c r="U22" s="1573"/>
      <c r="V22" s="1572"/>
      <c r="W22" s="1573"/>
      <c r="X22" s="2605"/>
      <c r="Y22" s="3404"/>
      <c r="Z22" s="2604"/>
      <c r="AA22" s="1575">
        <v>1</v>
      </c>
      <c r="AB22" s="1575">
        <v>1</v>
      </c>
      <c r="AC22" s="1575">
        <v>1</v>
      </c>
    </row>
    <row r="23" spans="1:29" ht="57">
      <c r="A23" s="531"/>
      <c r="B23" s="559" t="s">
        <v>778</v>
      </c>
      <c r="C23" s="572" t="str">
        <f>估价对象房地状况!C9</f>
        <v>区域自然环境较好；人文环境一般；综合评价环境状况较好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4"/>
      <c r="Q24" s="1571"/>
      <c r="R24" s="1572"/>
      <c r="S24" s="1573"/>
      <c r="T24" s="1572"/>
      <c r="U24" s="1573"/>
      <c r="V24" s="1572"/>
      <c r="W24" s="1573"/>
      <c r="X24" s="1566"/>
      <c r="Y24" s="3404"/>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7"/>
      <c r="L25" s="2142"/>
      <c r="M25" s="2134"/>
      <c r="N25" s="2134"/>
      <c r="O25" s="2134"/>
      <c r="P25" s="3404"/>
      <c r="Q25" s="1571" t="str">
        <f>B25</f>
        <v>毗邻道路的类型与等级</v>
      </c>
      <c r="R25" s="1572" t="s">
        <v>8</v>
      </c>
      <c r="S25" s="1573">
        <f>F25</f>
        <v>100</v>
      </c>
      <c r="T25" s="1572" t="s">
        <v>8</v>
      </c>
      <c r="U25" s="1573">
        <f>H25</f>
        <v>100</v>
      </c>
      <c r="V25" s="1572" t="s">
        <v>8</v>
      </c>
      <c r="W25" s="1573">
        <f>J25</f>
        <v>100</v>
      </c>
      <c r="X25" s="1566"/>
      <c r="Y25" s="340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04"/>
      <c r="Q26" s="1571"/>
      <c r="R26" s="1572"/>
      <c r="S26" s="1573"/>
      <c r="T26" s="1572"/>
      <c r="U26" s="1573"/>
      <c r="V26" s="1572"/>
      <c r="W26" s="1573"/>
      <c r="X26" s="1566"/>
      <c r="Y26" s="3404"/>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4"/>
      <c r="Q27" s="1571" t="str">
        <f t="shared" ref="Q27:Q47" si="11">B27</f>
        <v>楼层</v>
      </c>
      <c r="R27" s="1572" t="s">
        <v>8</v>
      </c>
      <c r="S27" s="1573">
        <f>F27</f>
        <v>100</v>
      </c>
      <c r="T27" s="1572" t="s">
        <v>8</v>
      </c>
      <c r="U27" s="1573">
        <f>H27</f>
        <v>100</v>
      </c>
      <c r="V27" s="1572" t="s">
        <v>8</v>
      </c>
      <c r="W27" s="1573">
        <f>J27</f>
        <v>100</v>
      </c>
      <c r="X27" s="1566"/>
      <c r="Y27" s="3404"/>
      <c r="Z27" s="1574" t="str">
        <f>Q27</f>
        <v>楼层</v>
      </c>
      <c r="AA27" s="1575">
        <f t="shared" si="3"/>
        <v>1</v>
      </c>
      <c r="AB27" s="1575">
        <f t="shared" si="4"/>
        <v>1</v>
      </c>
      <c r="AC27" s="1575">
        <f t="shared" si="5"/>
        <v>1</v>
      </c>
    </row>
    <row r="28" spans="1:29" s="1218" customFormat="1" ht="15">
      <c r="A28" s="535"/>
      <c r="B28" s="559" t="s">
        <v>779</v>
      </c>
      <c r="C28" s="911"/>
      <c r="D28" s="874">
        <v>100</v>
      </c>
      <c r="E28" s="900"/>
      <c r="F28" s="874">
        <f>SUMIF(91:91,E28,92:92)-SUMIF(91:91,C28,92:92)+100</f>
        <v>100</v>
      </c>
      <c r="G28" s="911"/>
      <c r="H28" s="874">
        <f>SUMIF(91:91,G28,92:92)-SUMIF(91:91,C28,92:92)+100</f>
        <v>100</v>
      </c>
      <c r="I28" s="900"/>
      <c r="J28" s="874">
        <f>SUMIF(91:91,I28,92:92)-SUMIF(91:91,C28,92:92)+100</f>
        <v>100</v>
      </c>
      <c r="K28" s="583"/>
      <c r="L28" s="2135"/>
      <c r="M28" s="2136"/>
      <c r="N28" s="2136"/>
      <c r="O28" s="2136"/>
      <c r="P28" s="3404"/>
      <c r="Q28" s="1149" t="str">
        <f t="shared" si="11"/>
        <v>朝向</v>
      </c>
      <c r="R28" s="1567" t="s">
        <v>8</v>
      </c>
      <c r="S28" s="1568">
        <f>F28</f>
        <v>100</v>
      </c>
      <c r="T28" s="1567" t="s">
        <v>8</v>
      </c>
      <c r="U28" s="1568">
        <f>H28</f>
        <v>100</v>
      </c>
      <c r="V28" s="1567" t="s">
        <v>8</v>
      </c>
      <c r="W28" s="1568">
        <f>J28</f>
        <v>100</v>
      </c>
      <c r="X28" s="1569"/>
      <c r="Y28" s="3404"/>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04"/>
      <c r="Q29" s="1571">
        <f t="shared" si="11"/>
        <v>111</v>
      </c>
      <c r="R29" s="1572" t="s">
        <v>8</v>
      </c>
      <c r="S29" s="1573">
        <f t="shared" ref="S29:S47" si="12">F29</f>
        <v>100</v>
      </c>
      <c r="T29" s="1572" t="s">
        <v>8</v>
      </c>
      <c r="U29" s="1573">
        <f t="shared" ref="U29:U47" si="13">H29</f>
        <v>100</v>
      </c>
      <c r="V29" s="1572" t="s">
        <v>8</v>
      </c>
      <c r="W29" s="1573">
        <f t="shared" ref="W29:W47" si="14">J29</f>
        <v>100</v>
      </c>
      <c r="X29" s="1566"/>
      <c r="Y29" s="3404"/>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04"/>
      <c r="Q30" s="1571">
        <f t="shared" si="11"/>
        <v>111</v>
      </c>
      <c r="R30" s="1572" t="s">
        <v>8</v>
      </c>
      <c r="S30" s="1573">
        <f t="shared" si="12"/>
        <v>100</v>
      </c>
      <c r="T30" s="1572" t="s">
        <v>8</v>
      </c>
      <c r="U30" s="1573">
        <f t="shared" si="13"/>
        <v>100</v>
      </c>
      <c r="V30" s="1572" t="s">
        <v>8</v>
      </c>
      <c r="W30" s="1573">
        <f t="shared" si="14"/>
        <v>100</v>
      </c>
      <c r="X30" s="1566"/>
      <c r="Y30" s="3404"/>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04"/>
      <c r="Q31" s="1571">
        <f t="shared" si="11"/>
        <v>111</v>
      </c>
      <c r="R31" s="1572" t="s">
        <v>8</v>
      </c>
      <c r="S31" s="1573">
        <f t="shared" si="12"/>
        <v>100</v>
      </c>
      <c r="T31" s="1572" t="s">
        <v>8</v>
      </c>
      <c r="U31" s="1573">
        <f t="shared" si="13"/>
        <v>100</v>
      </c>
      <c r="V31" s="1572" t="s">
        <v>8</v>
      </c>
      <c r="W31" s="1573">
        <f t="shared" si="14"/>
        <v>100</v>
      </c>
      <c r="X31" s="1566"/>
      <c r="Y31" s="3404"/>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04"/>
      <c r="Q32" s="1571">
        <f t="shared" si="11"/>
        <v>111</v>
      </c>
      <c r="R32" s="1572" t="s">
        <v>8</v>
      </c>
      <c r="S32" s="1573">
        <f t="shared" si="12"/>
        <v>100</v>
      </c>
      <c r="T32" s="1572" t="s">
        <v>8</v>
      </c>
      <c r="U32" s="1573">
        <f t="shared" si="13"/>
        <v>100</v>
      </c>
      <c r="V32" s="1572" t="s">
        <v>8</v>
      </c>
      <c r="W32" s="1573">
        <f t="shared" si="14"/>
        <v>100</v>
      </c>
      <c r="X32" s="1566"/>
      <c r="Y32" s="3404"/>
      <c r="Z32" s="1574">
        <f t="shared" si="15"/>
        <v>111</v>
      </c>
      <c r="AA32" s="1575">
        <f t="shared" si="3"/>
        <v>1</v>
      </c>
      <c r="AB32" s="1575">
        <f t="shared" si="4"/>
        <v>1</v>
      </c>
      <c r="AC32" s="1575">
        <f t="shared" si="5"/>
        <v>1</v>
      </c>
    </row>
    <row r="33" spans="1:29" ht="15">
      <c r="A33" s="2931" t="s">
        <v>2759</v>
      </c>
      <c r="B33" s="171"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05" t="s">
        <v>550</v>
      </c>
      <c r="Q33" s="1571" t="str">
        <f t="shared" si="11"/>
        <v>建筑类型</v>
      </c>
      <c r="R33" s="1572" t="s">
        <v>8</v>
      </c>
      <c r="S33" s="1573">
        <f t="shared" si="12"/>
        <v>100</v>
      </c>
      <c r="T33" s="1572" t="s">
        <v>8</v>
      </c>
      <c r="U33" s="1573">
        <f t="shared" si="13"/>
        <v>100</v>
      </c>
      <c r="V33" s="1572" t="s">
        <v>8</v>
      </c>
      <c r="W33" s="1573">
        <f t="shared" si="14"/>
        <v>100</v>
      </c>
      <c r="X33" s="1566"/>
      <c r="Y33" s="3406" t="s">
        <v>550</v>
      </c>
      <c r="Z33" s="1574" t="str">
        <f t="shared" si="15"/>
        <v>建筑类型</v>
      </c>
      <c r="AA33" s="1575">
        <f t="shared" si="3"/>
        <v>1</v>
      </c>
      <c r="AB33" s="1575">
        <f t="shared" si="4"/>
        <v>1</v>
      </c>
      <c r="AC33" s="1575">
        <f t="shared" si="5"/>
        <v>1</v>
      </c>
    </row>
    <row r="34" spans="1:29" s="1337"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6"/>
      <c r="Q34" s="1604" t="str">
        <f t="shared" si="11"/>
        <v>项目建筑规模</v>
      </c>
      <c r="R34" s="1576" t="s">
        <v>8</v>
      </c>
      <c r="S34" s="1577" t="e">
        <f t="shared" si="12"/>
        <v>#N/A</v>
      </c>
      <c r="T34" s="1576" t="s">
        <v>8</v>
      </c>
      <c r="U34" s="1577" t="e">
        <f t="shared" si="13"/>
        <v>#N/A</v>
      </c>
      <c r="V34" s="1576" t="s">
        <v>8</v>
      </c>
      <c r="W34" s="1577" t="e">
        <f t="shared" si="14"/>
        <v>#N/A</v>
      </c>
      <c r="X34" s="1578"/>
      <c r="Y34" s="3406"/>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6"/>
      <c r="Q35" s="1571" t="str">
        <f t="shared" si="11"/>
        <v>建筑结构</v>
      </c>
      <c r="R35" s="1572" t="s">
        <v>8</v>
      </c>
      <c r="S35" s="1573">
        <f t="shared" si="12"/>
        <v>100</v>
      </c>
      <c r="T35" s="1572" t="s">
        <v>8</v>
      </c>
      <c r="U35" s="1573">
        <f t="shared" si="13"/>
        <v>100</v>
      </c>
      <c r="V35" s="1572" t="s">
        <v>8</v>
      </c>
      <c r="W35" s="1573">
        <f t="shared" si="14"/>
        <v>100</v>
      </c>
      <c r="X35" s="1566"/>
      <c r="Y35" s="3406"/>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6"/>
      <c r="Q36" s="1571" t="str">
        <f t="shared" si="11"/>
        <v>公共部分装修</v>
      </c>
      <c r="R36" s="1572" t="s">
        <v>8</v>
      </c>
      <c r="S36" s="1573">
        <f t="shared" si="12"/>
        <v>100</v>
      </c>
      <c r="T36" s="1572" t="s">
        <v>8</v>
      </c>
      <c r="U36" s="1573">
        <f t="shared" si="13"/>
        <v>100</v>
      </c>
      <c r="V36" s="1572" t="s">
        <v>8</v>
      </c>
      <c r="W36" s="1573">
        <f t="shared" si="14"/>
        <v>100</v>
      </c>
      <c r="X36" s="1566"/>
      <c r="Y36" s="3406"/>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06"/>
      <c r="Q37" s="1571" t="str">
        <f t="shared" si="11"/>
        <v>成新度</v>
      </c>
      <c r="R37" s="1572" t="s">
        <v>8</v>
      </c>
      <c r="S37" s="1573" t="e">
        <f t="shared" si="12"/>
        <v>#N/A</v>
      </c>
      <c r="T37" s="1572" t="s">
        <v>8</v>
      </c>
      <c r="U37" s="1573" t="e">
        <f t="shared" si="13"/>
        <v>#N/A</v>
      </c>
      <c r="V37" s="1572" t="s">
        <v>8</v>
      </c>
      <c r="W37" s="1573" t="e">
        <f t="shared" si="14"/>
        <v>#N/A</v>
      </c>
      <c r="X37" s="1566"/>
      <c r="Y37" s="3406"/>
      <c r="Z37" s="1574" t="str">
        <f t="shared" si="15"/>
        <v>成新度</v>
      </c>
      <c r="AA37" s="1575" t="e">
        <f t="shared" si="3"/>
        <v>#N/A</v>
      </c>
      <c r="AB37" s="1575" t="e">
        <f t="shared" si="4"/>
        <v>#N/A</v>
      </c>
      <c r="AC37" s="1575" t="e">
        <f t="shared" si="5"/>
        <v>#N/A</v>
      </c>
    </row>
    <row r="38" spans="1:29" s="1218"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6"/>
      <c r="Q38" s="1149" t="str">
        <f t="shared" si="11"/>
        <v>写字楼等级</v>
      </c>
      <c r="R38" s="1567" t="s">
        <v>8</v>
      </c>
      <c r="S38" s="1568">
        <f t="shared" si="12"/>
        <v>100</v>
      </c>
      <c r="T38" s="1567" t="s">
        <v>8</v>
      </c>
      <c r="U38" s="1568">
        <f t="shared" si="13"/>
        <v>100</v>
      </c>
      <c r="V38" s="1567" t="s">
        <v>8</v>
      </c>
      <c r="W38" s="1568">
        <f t="shared" si="14"/>
        <v>100</v>
      </c>
      <c r="X38" s="1569"/>
      <c r="Y38" s="3406"/>
      <c r="Z38" s="1148"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6" t="s">
        <v>550</v>
      </c>
      <c r="Q39" s="1571" t="str">
        <f t="shared" si="11"/>
        <v>物业管理</v>
      </c>
      <c r="R39" s="1572" t="s">
        <v>8</v>
      </c>
      <c r="S39" s="1573">
        <f t="shared" si="12"/>
        <v>100</v>
      </c>
      <c r="T39" s="1572" t="s">
        <v>8</v>
      </c>
      <c r="U39" s="1573">
        <f t="shared" si="13"/>
        <v>100</v>
      </c>
      <c r="V39" s="1572" t="s">
        <v>8</v>
      </c>
      <c r="W39" s="1573">
        <f t="shared" si="14"/>
        <v>100</v>
      </c>
      <c r="X39" s="1566"/>
      <c r="Y39" s="3406" t="s">
        <v>550</v>
      </c>
      <c r="Z39" s="1574" t="str">
        <f t="shared" si="15"/>
        <v>物业管理</v>
      </c>
      <c r="AA39" s="1575">
        <f t="shared" si="3"/>
        <v>1</v>
      </c>
      <c r="AB39" s="1575">
        <f t="shared" si="4"/>
        <v>1</v>
      </c>
      <c r="AC39" s="1575">
        <f t="shared" si="5"/>
        <v>1</v>
      </c>
    </row>
    <row r="40" spans="1:29" ht="15">
      <c r="A40" s="593"/>
      <c r="B40" s="1895" t="s">
        <v>2569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6"/>
      <c r="Q40" s="1571" t="str">
        <f t="shared" si="11"/>
        <v>市政基础设施</v>
      </c>
      <c r="R40" s="1572" t="s">
        <v>8</v>
      </c>
      <c r="S40" s="1573">
        <f t="shared" si="12"/>
        <v>100</v>
      </c>
      <c r="T40" s="1572" t="s">
        <v>8</v>
      </c>
      <c r="U40" s="1573">
        <f t="shared" si="13"/>
        <v>100</v>
      </c>
      <c r="V40" s="1572" t="s">
        <v>8</v>
      </c>
      <c r="W40" s="1573">
        <f t="shared" si="14"/>
        <v>100</v>
      </c>
      <c r="X40" s="1566"/>
      <c r="Y40" s="3406"/>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6"/>
      <c r="Q41" s="1571" t="str">
        <f t="shared" si="11"/>
        <v>层高</v>
      </c>
      <c r="R41" s="1572" t="s">
        <v>8</v>
      </c>
      <c r="S41" s="1573">
        <f t="shared" si="12"/>
        <v>100</v>
      </c>
      <c r="T41" s="1572" t="s">
        <v>8</v>
      </c>
      <c r="U41" s="1573">
        <f t="shared" si="13"/>
        <v>100</v>
      </c>
      <c r="V41" s="1572" t="s">
        <v>8</v>
      </c>
      <c r="W41" s="1573">
        <f t="shared" si="14"/>
        <v>100</v>
      </c>
      <c r="X41" s="1566"/>
      <c r="Y41" s="3406"/>
      <c r="Z41" s="1574" t="str">
        <f t="shared" si="15"/>
        <v>层高</v>
      </c>
      <c r="AA41" s="1575">
        <f t="shared" si="3"/>
        <v>1</v>
      </c>
      <c r="AB41" s="1575">
        <f t="shared" si="4"/>
        <v>1</v>
      </c>
      <c r="AC41" s="1575">
        <f t="shared" si="5"/>
        <v>1</v>
      </c>
    </row>
    <row r="42" spans="1:29" s="1337"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6"/>
      <c r="Q42" s="1604" t="str">
        <f t="shared" si="11"/>
        <v>单套建筑面积</v>
      </c>
      <c r="R42" s="1576" t="s">
        <v>8</v>
      </c>
      <c r="S42" s="1577">
        <f t="shared" si="12"/>
        <v>100</v>
      </c>
      <c r="T42" s="1576" t="s">
        <v>8</v>
      </c>
      <c r="U42" s="1577">
        <f t="shared" si="13"/>
        <v>100</v>
      </c>
      <c r="V42" s="1576" t="s">
        <v>8</v>
      </c>
      <c r="W42" s="1577">
        <f t="shared" si="14"/>
        <v>100</v>
      </c>
      <c r="X42" s="1578"/>
      <c r="Y42" s="3406"/>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6"/>
      <c r="Q43" s="1571" t="str">
        <f t="shared" si="11"/>
        <v>内部装修</v>
      </c>
      <c r="R43" s="1572" t="s">
        <v>8</v>
      </c>
      <c r="S43" s="1573">
        <f t="shared" si="12"/>
        <v>100</v>
      </c>
      <c r="T43" s="1572" t="s">
        <v>8</v>
      </c>
      <c r="U43" s="1573">
        <f t="shared" si="13"/>
        <v>100</v>
      </c>
      <c r="V43" s="1572" t="s">
        <v>8</v>
      </c>
      <c r="W43" s="1573">
        <f t="shared" si="14"/>
        <v>100</v>
      </c>
      <c r="X43" s="1566"/>
      <c r="Y43" s="3406"/>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6"/>
      <c r="Q44" s="1571" t="str">
        <f t="shared" si="11"/>
        <v>内部装修维护情况</v>
      </c>
      <c r="R44" s="1572" t="s">
        <v>8</v>
      </c>
      <c r="S44" s="1573">
        <f t="shared" si="12"/>
        <v>100</v>
      </c>
      <c r="T44" s="1572" t="s">
        <v>8</v>
      </c>
      <c r="U44" s="1573">
        <f t="shared" si="13"/>
        <v>100</v>
      </c>
      <c r="V44" s="1572" t="s">
        <v>8</v>
      </c>
      <c r="W44" s="1573">
        <f t="shared" si="14"/>
        <v>100</v>
      </c>
      <c r="X44" s="1566"/>
      <c r="Y44" s="3406"/>
      <c r="Z44" s="1574" t="str">
        <f t="shared" si="15"/>
        <v>内部装修维护情况</v>
      </c>
      <c r="AA44" s="1575">
        <f t="shared" si="3"/>
        <v>1</v>
      </c>
      <c r="AB44" s="1575">
        <f t="shared" si="4"/>
        <v>1</v>
      </c>
      <c r="AC44" s="1575">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6"/>
      <c r="Q45" s="1149">
        <f t="shared" si="11"/>
        <v>111</v>
      </c>
      <c r="R45" s="1567" t="s">
        <v>8</v>
      </c>
      <c r="S45" s="1568">
        <f t="shared" si="12"/>
        <v>100</v>
      </c>
      <c r="T45" s="1567" t="s">
        <v>8</v>
      </c>
      <c r="U45" s="1568">
        <f t="shared" si="13"/>
        <v>100</v>
      </c>
      <c r="V45" s="1567" t="s">
        <v>8</v>
      </c>
      <c r="W45" s="1568">
        <f t="shared" si="14"/>
        <v>100</v>
      </c>
      <c r="X45" s="1569"/>
      <c r="Y45" s="3406"/>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6"/>
      <c r="Q46" s="1571">
        <f t="shared" si="11"/>
        <v>111</v>
      </c>
      <c r="R46" s="1572" t="s">
        <v>8</v>
      </c>
      <c r="S46" s="1573">
        <f t="shared" si="12"/>
        <v>100</v>
      </c>
      <c r="T46" s="1572" t="s">
        <v>8</v>
      </c>
      <c r="U46" s="1573">
        <f t="shared" si="13"/>
        <v>100</v>
      </c>
      <c r="V46" s="1572" t="s">
        <v>8</v>
      </c>
      <c r="W46" s="1573">
        <f t="shared" si="14"/>
        <v>100</v>
      </c>
      <c r="X46" s="1566"/>
      <c r="Y46" s="3406"/>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09"/>
      <c r="Q47" s="1571">
        <f t="shared" si="11"/>
        <v>111</v>
      </c>
      <c r="R47" s="1572" t="s">
        <v>8</v>
      </c>
      <c r="S47" s="1573">
        <f t="shared" si="12"/>
        <v>100</v>
      </c>
      <c r="T47" s="1572" t="s">
        <v>8</v>
      </c>
      <c r="U47" s="1573">
        <f t="shared" si="13"/>
        <v>100</v>
      </c>
      <c r="V47" s="1572" t="s">
        <v>8</v>
      </c>
      <c r="W47" s="1573">
        <f t="shared" si="14"/>
        <v>100</v>
      </c>
      <c r="X47" s="1566"/>
      <c r="Y47" s="3409"/>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367" t="str">
        <f>A48</f>
        <v>成交单价（元/平方米）</v>
      </c>
      <c r="Q48" s="3369"/>
      <c r="R48" s="3408">
        <f>E48</f>
        <v>0</v>
      </c>
      <c r="S48" s="3408"/>
      <c r="T48" s="3408">
        <f>G48</f>
        <v>0</v>
      </c>
      <c r="U48" s="3408"/>
      <c r="V48" s="3408">
        <f>I48</f>
        <v>0</v>
      </c>
      <c r="W48" s="3408"/>
      <c r="X48" s="1558"/>
      <c r="Y48" s="1580"/>
      <c r="Z48" s="1558"/>
      <c r="AA48" s="1558"/>
      <c r="AB48" s="1558"/>
      <c r="AC48" s="1558"/>
    </row>
    <row r="49" spans="1:29" ht="15.75" thickBot="1">
      <c r="A49" s="614" t="s">
        <v>2764</v>
      </c>
      <c r="B49" s="887"/>
      <c r="C49" s="2657" t="e">
        <f>R50</f>
        <v>#DIV/0!</v>
      </c>
      <c r="D49" s="2658"/>
      <c r="E49" s="2659" t="e">
        <f>R49</f>
        <v>#DIV/0!</v>
      </c>
      <c r="F49" s="2659"/>
      <c r="G49" s="2657" t="e">
        <f>T49</f>
        <v>#DIV/0!</v>
      </c>
      <c r="H49" s="2658"/>
      <c r="I49" s="2659" t="e">
        <f>V49</f>
        <v>#DIV/0!</v>
      </c>
      <c r="J49" s="2658"/>
      <c r="K49" s="1611"/>
      <c r="L49" s="2144"/>
      <c r="M49" s="2134"/>
      <c r="N49" s="2134"/>
      <c r="O49" s="2134"/>
      <c r="P49" s="3367" t="str">
        <f>A49</f>
        <v>比较价格（元/平方米）</v>
      </c>
      <c r="Q49" s="3369"/>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1558"/>
      <c r="Y49" s="1558"/>
      <c r="Z49" s="1558"/>
      <c r="AA49" s="1558"/>
      <c r="AB49" s="1558"/>
      <c r="AC49" s="1558"/>
    </row>
    <row r="50" spans="1:29" ht="15.75" thickBot="1">
      <c r="A50" s="620" t="s">
        <v>2936</v>
      </c>
      <c r="B50" s="621"/>
      <c r="C50" s="2660" t="e">
        <f>R50</f>
        <v>#DIV/0!</v>
      </c>
      <c r="D50" s="2660"/>
      <c r="E50" s="2660"/>
      <c r="F50" s="2660"/>
      <c r="G50" s="2660"/>
      <c r="H50" s="2660"/>
      <c r="I50" s="2660"/>
      <c r="J50" s="2660"/>
      <c r="K50" s="1612"/>
      <c r="L50" s="2144"/>
      <c r="M50" s="2134"/>
      <c r="N50" s="2134"/>
      <c r="O50" s="2134"/>
      <c r="P50" s="3486" t="str">
        <f>A50</f>
        <v>估价对象XX用房的比较价格（楼面单价，元/平方米）</v>
      </c>
      <c r="Q50" s="3367"/>
      <c r="R50" s="3407" t="e">
        <f>IF(F1="售价",ROUND(AVERAGE(R49:V49),0),ROUND(AVERAGE(R49:V49),1))</f>
        <v>#DIV/0!</v>
      </c>
      <c r="S50" s="3407"/>
      <c r="T50" s="3407"/>
      <c r="U50" s="3407"/>
      <c r="V50" s="3407"/>
      <c r="W50" s="340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2561</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2562</v>
      </c>
      <c r="C83" s="2622" t="s">
        <v>2563</v>
      </c>
      <c r="D83" s="2622" t="s">
        <v>2564</v>
      </c>
      <c r="E83" s="2622" t="s">
        <v>2565</v>
      </c>
      <c r="F83" s="2622" t="s">
        <v>2566</v>
      </c>
      <c r="G83" s="2622" t="s">
        <v>2567</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2560</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787</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375" t="s">
        <v>522</v>
      </c>
      <c r="D4" s="3376"/>
      <c r="E4" s="3410" t="s">
        <v>523</v>
      </c>
      <c r="F4" s="3411"/>
      <c r="G4" s="3375" t="s">
        <v>524</v>
      </c>
      <c r="H4" s="3376"/>
      <c r="I4" s="3375" t="s">
        <v>525</v>
      </c>
      <c r="J4" s="3376"/>
      <c r="K4" s="513" t="s">
        <v>526</v>
      </c>
      <c r="L4" s="2133"/>
      <c r="M4" s="2134"/>
      <c r="N4" s="2134"/>
      <c r="O4" s="2134"/>
      <c r="P4" s="3377" t="s">
        <v>527</v>
      </c>
      <c r="Q4" s="3378"/>
      <c r="R4" s="3383" t="s">
        <v>523</v>
      </c>
      <c r="S4" s="3384"/>
      <c r="T4" s="3383" t="s">
        <v>524</v>
      </c>
      <c r="U4" s="3384"/>
      <c r="V4" s="3370" t="s">
        <v>525</v>
      </c>
      <c r="W4" s="3370"/>
      <c r="X4" s="1566"/>
      <c r="Y4" s="3383" t="s">
        <v>527</v>
      </c>
      <c r="Z4" s="3384"/>
      <c r="AA4" s="3372" t="s">
        <v>523</v>
      </c>
      <c r="AB4" s="3373" t="s">
        <v>524</v>
      </c>
      <c r="AC4" s="3372" t="s">
        <v>525</v>
      </c>
    </row>
    <row r="5" spans="1:29" ht="15">
      <c r="A5" s="514"/>
      <c r="B5" s="515"/>
      <c r="C5" s="3391" t="s">
        <v>2930</v>
      </c>
      <c r="D5" s="3392"/>
      <c r="E5" s="3423" t="s">
        <v>2931</v>
      </c>
      <c r="F5" s="3416"/>
      <c r="G5" s="3391" t="s">
        <v>2932</v>
      </c>
      <c r="H5" s="3392"/>
      <c r="I5" s="3391" t="s">
        <v>2933</v>
      </c>
      <c r="J5" s="3392"/>
      <c r="K5" s="513"/>
      <c r="L5" s="2133"/>
      <c r="M5" s="2134"/>
      <c r="N5" s="2134"/>
      <c r="O5" s="2134"/>
      <c r="P5" s="3379"/>
      <c r="Q5" s="3380"/>
      <c r="R5" s="3385"/>
      <c r="S5" s="3386"/>
      <c r="T5" s="3385"/>
      <c r="U5" s="3386"/>
      <c r="V5" s="3370"/>
      <c r="W5" s="3370"/>
      <c r="X5" s="1566"/>
      <c r="Y5" s="3385"/>
      <c r="Z5" s="3386"/>
      <c r="AA5" s="3373"/>
      <c r="AB5" s="3373"/>
      <c r="AC5" s="3373"/>
    </row>
    <row r="6" spans="1:29" ht="15.75" thickBot="1">
      <c r="A6" s="516"/>
      <c r="B6" s="517"/>
      <c r="C6" s="3389" t="s">
        <v>2934</v>
      </c>
      <c r="D6" s="3390"/>
      <c r="E6" s="3413" t="s">
        <v>2934</v>
      </c>
      <c r="F6" s="3414"/>
      <c r="G6" s="3389" t="s">
        <v>2934</v>
      </c>
      <c r="H6" s="3390"/>
      <c r="I6" s="3389" t="s">
        <v>2934</v>
      </c>
      <c r="J6" s="3390"/>
      <c r="K6" s="513" t="s">
        <v>528</v>
      </c>
      <c r="L6" s="2133"/>
      <c r="M6" s="2134"/>
      <c r="N6" s="2134"/>
      <c r="O6" s="2134"/>
      <c r="P6" s="3381"/>
      <c r="Q6" s="3382"/>
      <c r="R6" s="3385"/>
      <c r="S6" s="3386"/>
      <c r="T6" s="3387"/>
      <c r="U6" s="3388"/>
      <c r="V6" s="3370"/>
      <c r="W6" s="3370"/>
      <c r="X6" s="1566"/>
      <c r="Y6" s="3387"/>
      <c r="Z6" s="3388"/>
      <c r="AA6" s="3374"/>
      <c r="AB6" s="3374"/>
      <c r="AC6" s="3374"/>
    </row>
    <row r="7" spans="1:29" s="1218" customFormat="1" ht="15.75" thickBot="1">
      <c r="A7" s="2935"/>
      <c r="B7" s="2942" t="s">
        <v>529</v>
      </c>
      <c r="C7" s="518">
        <f>'数据-取费表'!B2</f>
        <v>43249</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00" t="s">
        <v>530</v>
      </c>
      <c r="Q7" s="3402"/>
      <c r="R7" s="1567" t="s">
        <v>8</v>
      </c>
      <c r="S7" s="1568">
        <f t="shared" ref="S7:S15" si="0">F7</f>
        <v>0</v>
      </c>
      <c r="T7" s="1567" t="s">
        <v>8</v>
      </c>
      <c r="U7" s="1568">
        <f t="shared" ref="U7:U15" si="1">H7</f>
        <v>0</v>
      </c>
      <c r="V7" s="1567" t="s">
        <v>8</v>
      </c>
      <c r="W7" s="1568">
        <f t="shared" ref="W7:W15" si="2">J7</f>
        <v>0</v>
      </c>
      <c r="X7" s="1569"/>
      <c r="Y7" s="3400" t="s">
        <v>530</v>
      </c>
      <c r="Z7" s="3401"/>
      <c r="AA7" s="1570" t="e">
        <f>D7/F7</f>
        <v>#DIV/0!</v>
      </c>
      <c r="AB7" s="1570" t="e">
        <f>D7/H7</f>
        <v>#DIV/0!</v>
      </c>
      <c r="AC7" s="1570" t="e">
        <f>D7/J7</f>
        <v>#DIV/0!</v>
      </c>
    </row>
    <row r="8" spans="1:29" s="1218"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00" t="s">
        <v>533</v>
      </c>
      <c r="Q8" s="3401"/>
      <c r="R8" s="1567" t="s">
        <v>8</v>
      </c>
      <c r="S8" s="1568">
        <f t="shared" si="0"/>
        <v>0</v>
      </c>
      <c r="T8" s="1567" t="s">
        <v>8</v>
      </c>
      <c r="U8" s="1568">
        <f t="shared" si="1"/>
        <v>0</v>
      </c>
      <c r="V8" s="1567" t="s">
        <v>8</v>
      </c>
      <c r="W8" s="1568">
        <f t="shared" si="2"/>
        <v>0</v>
      </c>
      <c r="X8" s="1569"/>
      <c r="Y8" s="3400" t="s">
        <v>533</v>
      </c>
      <c r="Z8" s="3401"/>
      <c r="AA8" s="1570" t="e">
        <f t="shared" ref="AA8:AA40" si="3">D8/F8</f>
        <v>#DIV/0!</v>
      </c>
      <c r="AB8" s="1570" t="e">
        <f t="shared" ref="AB8:AB40" si="4">D8/H8</f>
        <v>#DIV/0!</v>
      </c>
      <c r="AC8" s="1570" t="e">
        <f t="shared" ref="AC8:AC40" si="5">D8/J8</f>
        <v>#DIV/0!</v>
      </c>
    </row>
    <row r="9" spans="1:29" s="1218" customFormat="1" ht="15">
      <c r="A9" s="2937"/>
      <c r="B9" s="2944" t="s">
        <v>2760</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9" t="s">
        <v>535</v>
      </c>
      <c r="Q9" s="1149" t="str">
        <f t="shared" ref="Q9:Q15" si="6">B9</f>
        <v>用途</v>
      </c>
      <c r="R9" s="1567" t="s">
        <v>8</v>
      </c>
      <c r="S9" s="1568">
        <f t="shared" si="0"/>
        <v>100</v>
      </c>
      <c r="T9" s="1567" t="s">
        <v>8</v>
      </c>
      <c r="U9" s="1568">
        <f t="shared" si="1"/>
        <v>100</v>
      </c>
      <c r="V9" s="1567" t="s">
        <v>8</v>
      </c>
      <c r="W9" s="1568">
        <f t="shared" si="2"/>
        <v>100</v>
      </c>
      <c r="X9" s="1569"/>
      <c r="Y9" s="3315" t="s">
        <v>536</v>
      </c>
      <c r="Z9" s="1148" t="str">
        <f t="shared" ref="Z9:Z15" si="7">Q9</f>
        <v>用途</v>
      </c>
      <c r="AA9" s="1570">
        <f t="shared" si="3"/>
        <v>1</v>
      </c>
      <c r="AB9" s="1570">
        <f t="shared" si="4"/>
        <v>1</v>
      </c>
      <c r="AC9" s="1570">
        <f t="shared" si="5"/>
        <v>1</v>
      </c>
    </row>
    <row r="10" spans="1:29" s="1336" customFormat="1" ht="27">
      <c r="A10" s="2938"/>
      <c r="B10" s="2943" t="s">
        <v>2761</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9"/>
      <c r="Q10" s="1149" t="str">
        <f t="shared" si="6"/>
        <v>土地使用年限（年）</v>
      </c>
      <c r="R10" s="1567" t="s">
        <v>8</v>
      </c>
      <c r="S10" s="1568">
        <f t="shared" si="0"/>
        <v>100</v>
      </c>
      <c r="T10" s="1567" t="s">
        <v>8</v>
      </c>
      <c r="U10" s="1568">
        <f t="shared" si="1"/>
        <v>100</v>
      </c>
      <c r="V10" s="1567" t="s">
        <v>8</v>
      </c>
      <c r="W10" s="1568">
        <f t="shared" si="2"/>
        <v>100</v>
      </c>
      <c r="X10" s="1569"/>
      <c r="Y10" s="3315"/>
      <c r="Z10" s="1148" t="str">
        <f t="shared" si="7"/>
        <v>土地使用年限（年）</v>
      </c>
      <c r="AA10" s="1570">
        <f t="shared" si="3"/>
        <v>1</v>
      </c>
      <c r="AB10" s="1570">
        <f t="shared" si="4"/>
        <v>1</v>
      </c>
      <c r="AC10" s="1570">
        <f t="shared" si="5"/>
        <v>1</v>
      </c>
    </row>
    <row r="11" spans="1:29" ht="15">
      <c r="A11" s="2939"/>
      <c r="B11" s="2943"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9"/>
      <c r="Q11" s="1149" t="str">
        <f t="shared" si="6"/>
        <v>容积率</v>
      </c>
      <c r="R11" s="1567" t="s">
        <v>8</v>
      </c>
      <c r="S11" s="1568" t="e">
        <f t="shared" si="0"/>
        <v>#N/A</v>
      </c>
      <c r="T11" s="1567" t="s">
        <v>8</v>
      </c>
      <c r="U11" s="1568" t="e">
        <f t="shared" si="1"/>
        <v>#N/A</v>
      </c>
      <c r="V11" s="1567" t="s">
        <v>8</v>
      </c>
      <c r="W11" s="1568" t="e">
        <f t="shared" si="2"/>
        <v>#N/A</v>
      </c>
      <c r="X11" s="1569"/>
      <c r="Y11" s="3315"/>
      <c r="Z11" s="1148" t="str">
        <f t="shared" si="7"/>
        <v>容积率</v>
      </c>
      <c r="AA11" s="1570" t="e">
        <f t="shared" si="3"/>
        <v>#N/A</v>
      </c>
      <c r="AB11" s="1570" t="e">
        <f t="shared" si="4"/>
        <v>#N/A</v>
      </c>
      <c r="AC11" s="1570" t="e">
        <f t="shared" si="5"/>
        <v>#N/A</v>
      </c>
    </row>
    <row r="12" spans="1:29" s="1218" customFormat="1" ht="15">
      <c r="A12" s="2940"/>
      <c r="B12" s="2946">
        <v>111</v>
      </c>
      <c r="C12" s="527"/>
      <c r="D12" s="537">
        <v>100</v>
      </c>
      <c r="E12" s="538"/>
      <c r="F12" s="254">
        <f>SUMIF(64:64,E12,65:65)-SUMIF(64:64,C12,65:65)+100</f>
        <v>100</v>
      </c>
      <c r="G12" s="918"/>
      <c r="H12" s="254">
        <f>SUMIF(64:64,G12,65:65)-SUMIF(64:64,C12,65:65)+100</f>
        <v>100</v>
      </c>
      <c r="I12" s="879"/>
      <c r="J12" s="254">
        <f>SUMIF(64:64,I12,65:65)-SUMIF(64:64,C12,65:65)+100</f>
        <v>100</v>
      </c>
      <c r="K12" s="580"/>
      <c r="L12" s="2135"/>
      <c r="M12" s="2136"/>
      <c r="N12" s="2136"/>
      <c r="O12" s="2137"/>
      <c r="P12" s="3369"/>
      <c r="Q12" s="1149">
        <f t="shared" si="6"/>
        <v>111</v>
      </c>
      <c r="R12" s="1567" t="s">
        <v>8</v>
      </c>
      <c r="S12" s="1568">
        <f t="shared" si="0"/>
        <v>100</v>
      </c>
      <c r="T12" s="1567" t="s">
        <v>8</v>
      </c>
      <c r="U12" s="1568">
        <f t="shared" si="1"/>
        <v>100</v>
      </c>
      <c r="V12" s="1567" t="s">
        <v>8</v>
      </c>
      <c r="W12" s="1568">
        <f t="shared" si="2"/>
        <v>100</v>
      </c>
      <c r="X12" s="1569"/>
      <c r="Y12" s="3315"/>
      <c r="Z12" s="1148">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8"/>
      <c r="H13" s="539">
        <f>SUMIF(66:66,G13,67:67)-SUMIF(66:66,C13,67:67)+100</f>
        <v>100</v>
      </c>
      <c r="I13" s="879"/>
      <c r="J13" s="539">
        <f>SUMIF(66:66,I13,67:67)-SUMIF(66:66,C13,67:67)+100</f>
        <v>100</v>
      </c>
      <c r="K13" s="580"/>
      <c r="L13" s="2142"/>
      <c r="M13" s="2134"/>
      <c r="N13" s="2134"/>
      <c r="O13" s="2141"/>
      <c r="P13" s="3369"/>
      <c r="Q13" s="1149">
        <f t="shared" si="6"/>
        <v>111</v>
      </c>
      <c r="R13" s="1567" t="s">
        <v>8</v>
      </c>
      <c r="S13" s="1568">
        <f t="shared" si="0"/>
        <v>100</v>
      </c>
      <c r="T13" s="1567" t="s">
        <v>8</v>
      </c>
      <c r="U13" s="1568">
        <f t="shared" si="1"/>
        <v>100</v>
      </c>
      <c r="V13" s="1567" t="s">
        <v>8</v>
      </c>
      <c r="W13" s="1568">
        <f t="shared" si="2"/>
        <v>100</v>
      </c>
      <c r="X13" s="1569"/>
      <c r="Y13" s="3315"/>
      <c r="Z13" s="1148">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8"/>
      <c r="H14" s="545">
        <f>SUMIF(68:68,G14,69:69)-SUMIF(68:68,C14,69:69)+100</f>
        <v>100</v>
      </c>
      <c r="I14" s="879"/>
      <c r="J14" s="545">
        <f>SUMIF(68:68,I14,69:69)-SUMIF(68:68,C14,69:69)+100</f>
        <v>100</v>
      </c>
      <c r="K14" s="580"/>
      <c r="L14" s="2142"/>
      <c r="M14" s="2134"/>
      <c r="N14" s="2134"/>
      <c r="O14" s="2141"/>
      <c r="P14" s="3369"/>
      <c r="Q14" s="1149">
        <f t="shared" si="6"/>
        <v>111</v>
      </c>
      <c r="R14" s="1567" t="s">
        <v>8</v>
      </c>
      <c r="S14" s="1568">
        <f t="shared" si="0"/>
        <v>100</v>
      </c>
      <c r="T14" s="1567" t="s">
        <v>8</v>
      </c>
      <c r="U14" s="1568">
        <f t="shared" si="1"/>
        <v>100</v>
      </c>
      <c r="V14" s="1567" t="s">
        <v>8</v>
      </c>
      <c r="W14" s="1568">
        <f t="shared" si="2"/>
        <v>100</v>
      </c>
      <c r="X14" s="1569"/>
      <c r="Y14" s="3315"/>
      <c r="Z14" s="1148">
        <f t="shared" si="7"/>
        <v>111</v>
      </c>
      <c r="AA14" s="1570">
        <f t="shared" si="3"/>
        <v>1</v>
      </c>
      <c r="AB14" s="1570">
        <f t="shared" si="4"/>
        <v>1</v>
      </c>
      <c r="AC14" s="1570">
        <f t="shared" si="5"/>
        <v>1</v>
      </c>
    </row>
    <row r="15" spans="1:29" ht="57">
      <c r="A15" s="2933" t="s">
        <v>2758</v>
      </c>
      <c r="B15" s="165"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3" t="s">
        <v>540</v>
      </c>
      <c r="Q15" s="1571" t="str">
        <f t="shared" si="6"/>
        <v>产业集聚程度</v>
      </c>
      <c r="R15" s="1572" t="s">
        <v>8</v>
      </c>
      <c r="S15" s="1573">
        <f t="shared" si="0"/>
        <v>100</v>
      </c>
      <c r="T15" s="1572" t="s">
        <v>8</v>
      </c>
      <c r="U15" s="1573">
        <f t="shared" si="1"/>
        <v>100</v>
      </c>
      <c r="V15" s="1572" t="s">
        <v>8</v>
      </c>
      <c r="W15" s="1573">
        <f t="shared" si="2"/>
        <v>100</v>
      </c>
      <c r="X15" s="1566"/>
      <c r="Y15" s="3403"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4"/>
      <c r="Q16" s="1571"/>
      <c r="R16" s="1572"/>
      <c r="S16" s="1573"/>
      <c r="T16" s="1572"/>
      <c r="U16" s="1573"/>
      <c r="V16" s="1572"/>
      <c r="W16" s="1573"/>
      <c r="X16" s="1566"/>
      <c r="Y16" s="3404"/>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4"/>
      <c r="Q17" s="1571" t="str">
        <f>B17</f>
        <v>交通便捷度</v>
      </c>
      <c r="R17" s="1572" t="s">
        <v>8</v>
      </c>
      <c r="S17" s="1573">
        <f>F17</f>
        <v>100</v>
      </c>
      <c r="T17" s="1572" t="s">
        <v>8</v>
      </c>
      <c r="U17" s="1573">
        <f>H17</f>
        <v>100</v>
      </c>
      <c r="V17" s="1572" t="s">
        <v>8</v>
      </c>
      <c r="W17" s="1573">
        <f>J17</f>
        <v>100</v>
      </c>
      <c r="X17" s="1566"/>
      <c r="Y17" s="340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4"/>
      <c r="Q18" s="1571"/>
      <c r="R18" s="1572"/>
      <c r="S18" s="1573"/>
      <c r="T18" s="1572"/>
      <c r="U18" s="1573"/>
      <c r="V18" s="1572"/>
      <c r="W18" s="1573"/>
      <c r="X18" s="1566"/>
      <c r="Y18" s="3404"/>
      <c r="Z18" s="1574"/>
      <c r="AA18" s="1575">
        <v>1</v>
      </c>
      <c r="AB18" s="1575">
        <v>1</v>
      </c>
      <c r="AC18" s="1575">
        <v>1</v>
      </c>
    </row>
    <row r="19" spans="1:29" ht="42.75">
      <c r="A19" s="531"/>
      <c r="B19" s="2627" t="s">
        <v>2550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4"/>
      <c r="Q19" s="1571" t="str">
        <f>B19</f>
        <v>公共配套设施</v>
      </c>
      <c r="R19" s="1572" t="s">
        <v>8</v>
      </c>
      <c r="S19" s="1573">
        <f>F19</f>
        <v>100</v>
      </c>
      <c r="T19" s="1572" t="s">
        <v>8</v>
      </c>
      <c r="U19" s="1573">
        <f>H19</f>
        <v>100</v>
      </c>
      <c r="V19" s="1572" t="s">
        <v>8</v>
      </c>
      <c r="W19" s="1573">
        <f>J19</f>
        <v>100</v>
      </c>
      <c r="X19" s="1566"/>
      <c r="Y19" s="340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4"/>
      <c r="Q20" s="1571"/>
      <c r="R20" s="1572"/>
      <c r="S20" s="1573"/>
      <c r="T20" s="1572"/>
      <c r="U20" s="1573"/>
      <c r="V20" s="1572"/>
      <c r="W20" s="1573"/>
      <c r="X20" s="1566"/>
      <c r="Y20" s="3404"/>
      <c r="Z20" s="1574"/>
      <c r="AA20" s="1575">
        <v>1</v>
      </c>
      <c r="AB20" s="1575">
        <v>1</v>
      </c>
      <c r="AC20" s="1575">
        <v>1</v>
      </c>
    </row>
    <row r="21" spans="1:29" ht="28.5">
      <c r="A21" s="531"/>
      <c r="B21" s="2615" t="s">
        <v>2562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4"/>
      <c r="Q21" s="2603" t="str">
        <f>B21</f>
        <v>基础设施水平</v>
      </c>
      <c r="R21" s="1572" t="s">
        <v>8</v>
      </c>
      <c r="S21" s="1573">
        <f>F21</f>
        <v>100</v>
      </c>
      <c r="T21" s="1572" t="s">
        <v>8</v>
      </c>
      <c r="U21" s="1573">
        <f>H21</f>
        <v>100</v>
      </c>
      <c r="V21" s="1572" t="s">
        <v>8</v>
      </c>
      <c r="W21" s="1573">
        <f>J21</f>
        <v>100</v>
      </c>
      <c r="X21" s="2605"/>
      <c r="Y21" s="3404"/>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04"/>
      <c r="Q22" s="2603"/>
      <c r="R22" s="1572"/>
      <c r="S22" s="1573"/>
      <c r="T22" s="1572"/>
      <c r="U22" s="1573"/>
      <c r="V22" s="1572"/>
      <c r="W22" s="1573"/>
      <c r="X22" s="2605"/>
      <c r="Y22" s="3404"/>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4"/>
      <c r="Q23" s="1571" t="str">
        <f>B23</f>
        <v>环境质量</v>
      </c>
      <c r="R23" s="1572" t="s">
        <v>8</v>
      </c>
      <c r="S23" s="1573">
        <f>F23</f>
        <v>100</v>
      </c>
      <c r="T23" s="1572" t="s">
        <v>8</v>
      </c>
      <c r="U23" s="1573">
        <f>H23</f>
        <v>100</v>
      </c>
      <c r="V23" s="1572" t="s">
        <v>8</v>
      </c>
      <c r="W23" s="1573">
        <f>J23</f>
        <v>100</v>
      </c>
      <c r="X23" s="1566"/>
      <c r="Y23" s="3404"/>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8"/>
      <c r="L24" s="2142"/>
      <c r="M24" s="2134"/>
      <c r="N24" s="2134"/>
      <c r="O24" s="2141"/>
      <c r="P24" s="3404"/>
      <c r="Q24" s="1571"/>
      <c r="R24" s="1572"/>
      <c r="S24" s="1573"/>
      <c r="T24" s="1572"/>
      <c r="U24" s="1573"/>
      <c r="V24" s="1572"/>
      <c r="W24" s="1573"/>
      <c r="X24" s="1566"/>
      <c r="Y24" s="340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4"/>
      <c r="Q25" s="1571">
        <f>B25</f>
        <v>111</v>
      </c>
      <c r="R25" s="1572" t="s">
        <v>8</v>
      </c>
      <c r="S25" s="1573">
        <f>F25</f>
        <v>100</v>
      </c>
      <c r="T25" s="1572" t="s">
        <v>8</v>
      </c>
      <c r="U25" s="1573">
        <f>H25</f>
        <v>100</v>
      </c>
      <c r="V25" s="1572" t="s">
        <v>8</v>
      </c>
      <c r="W25" s="1573">
        <f>J25</f>
        <v>100</v>
      </c>
      <c r="X25" s="1566"/>
      <c r="Y25" s="340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4"/>
      <c r="Q26" s="1571">
        <f t="shared" ref="Q26:Q40" si="11">B26</f>
        <v>111</v>
      </c>
      <c r="R26" s="1572" t="s">
        <v>8</v>
      </c>
      <c r="S26" s="1573">
        <f>F26</f>
        <v>100</v>
      </c>
      <c r="T26" s="1572" t="s">
        <v>8</v>
      </c>
      <c r="U26" s="1573">
        <f>H26</f>
        <v>100</v>
      </c>
      <c r="V26" s="1572" t="s">
        <v>8</v>
      </c>
      <c r="W26" s="1573">
        <f>J26</f>
        <v>100</v>
      </c>
      <c r="X26" s="1566"/>
      <c r="Y26" s="3404"/>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4"/>
      <c r="Q27" s="1149">
        <f t="shared" si="11"/>
        <v>111</v>
      </c>
      <c r="R27" s="1567" t="s">
        <v>8</v>
      </c>
      <c r="S27" s="1568">
        <f>F27</f>
        <v>100</v>
      </c>
      <c r="T27" s="1567" t="s">
        <v>8</v>
      </c>
      <c r="U27" s="1568">
        <f>H27</f>
        <v>100</v>
      </c>
      <c r="V27" s="1567" t="s">
        <v>8</v>
      </c>
      <c r="W27" s="1568">
        <f>J27</f>
        <v>100</v>
      </c>
      <c r="X27" s="1569"/>
      <c r="Y27" s="3404"/>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4"/>
      <c r="Q28" s="1571">
        <f t="shared" si="11"/>
        <v>111</v>
      </c>
      <c r="R28" s="1572" t="s">
        <v>8</v>
      </c>
      <c r="S28" s="1573">
        <f t="shared" ref="S28:S40" si="12">F28</f>
        <v>100</v>
      </c>
      <c r="T28" s="1572" t="s">
        <v>8</v>
      </c>
      <c r="U28" s="1573">
        <f t="shared" ref="U28:U40" si="13">H28</f>
        <v>100</v>
      </c>
      <c r="V28" s="1572" t="s">
        <v>8</v>
      </c>
      <c r="W28" s="1573">
        <f t="shared" ref="W28:W40" si="14">J28</f>
        <v>100</v>
      </c>
      <c r="X28" s="1566"/>
      <c r="Y28" s="3404"/>
      <c r="Z28" s="1574">
        <f t="shared" ref="Z28:Z40" si="15">Q28</f>
        <v>111</v>
      </c>
      <c r="AA28" s="1575">
        <f t="shared" si="3"/>
        <v>1</v>
      </c>
      <c r="AB28" s="1575">
        <f t="shared" si="4"/>
        <v>1</v>
      </c>
      <c r="AC28" s="1575">
        <f t="shared" si="5"/>
        <v>1</v>
      </c>
    </row>
    <row r="29" spans="1:29" ht="15">
      <c r="A29" s="2931" t="s">
        <v>2759</v>
      </c>
      <c r="B29" s="171" t="s">
        <v>780</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05" t="s">
        <v>550</v>
      </c>
      <c r="Q29" s="1571" t="str">
        <f t="shared" si="11"/>
        <v>建筑类型</v>
      </c>
      <c r="R29" s="1572" t="s">
        <v>8</v>
      </c>
      <c r="S29" s="1573">
        <f t="shared" si="12"/>
        <v>100</v>
      </c>
      <c r="T29" s="1572" t="s">
        <v>8</v>
      </c>
      <c r="U29" s="1573">
        <f t="shared" si="13"/>
        <v>100</v>
      </c>
      <c r="V29" s="1572" t="s">
        <v>8</v>
      </c>
      <c r="W29" s="1573">
        <f t="shared" si="14"/>
        <v>100</v>
      </c>
      <c r="X29" s="1566"/>
      <c r="Y29" s="3406" t="s">
        <v>550</v>
      </c>
      <c r="Z29" s="1574" t="str">
        <f t="shared" si="15"/>
        <v>建筑类型</v>
      </c>
      <c r="AA29" s="1575">
        <f t="shared" si="3"/>
        <v>1</v>
      </c>
      <c r="AB29" s="1575">
        <f t="shared" si="4"/>
        <v>1</v>
      </c>
      <c r="AC29" s="1575">
        <f t="shared" si="5"/>
        <v>1</v>
      </c>
    </row>
    <row r="30" spans="1:29" s="1337"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6"/>
      <c r="Q30" s="1604" t="str">
        <f t="shared" si="11"/>
        <v>项目建筑规模</v>
      </c>
      <c r="R30" s="1576" t="s">
        <v>8</v>
      </c>
      <c r="S30" s="1577" t="e">
        <f t="shared" si="12"/>
        <v>#N/A</v>
      </c>
      <c r="T30" s="1576" t="s">
        <v>8</v>
      </c>
      <c r="U30" s="1577" t="e">
        <f t="shared" si="13"/>
        <v>#N/A</v>
      </c>
      <c r="V30" s="1576" t="s">
        <v>8</v>
      </c>
      <c r="W30" s="1577" t="e">
        <f t="shared" si="14"/>
        <v>#N/A</v>
      </c>
      <c r="X30" s="1578"/>
      <c r="Y30" s="3406"/>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6"/>
      <c r="Q31" s="1571" t="str">
        <f t="shared" si="11"/>
        <v>建筑结构</v>
      </c>
      <c r="R31" s="1572" t="s">
        <v>8</v>
      </c>
      <c r="S31" s="1573">
        <f t="shared" si="12"/>
        <v>100</v>
      </c>
      <c r="T31" s="1572" t="s">
        <v>8</v>
      </c>
      <c r="U31" s="1573">
        <f t="shared" si="13"/>
        <v>100</v>
      </c>
      <c r="V31" s="1572" t="s">
        <v>8</v>
      </c>
      <c r="W31" s="1573">
        <f t="shared" si="14"/>
        <v>100</v>
      </c>
      <c r="X31" s="1566"/>
      <c r="Y31" s="3406"/>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6"/>
      <c r="Q32" s="1571" t="str">
        <f t="shared" si="11"/>
        <v>公共部分装修</v>
      </c>
      <c r="R32" s="1572" t="s">
        <v>8</v>
      </c>
      <c r="S32" s="1573">
        <f t="shared" si="12"/>
        <v>100</v>
      </c>
      <c r="T32" s="1572" t="s">
        <v>8</v>
      </c>
      <c r="U32" s="1573">
        <f t="shared" si="13"/>
        <v>100</v>
      </c>
      <c r="V32" s="1572" t="s">
        <v>8</v>
      </c>
      <c r="W32" s="1573">
        <f t="shared" si="14"/>
        <v>100</v>
      </c>
      <c r="X32" s="1566"/>
      <c r="Y32" s="3406"/>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6"/>
      <c r="Q33" s="1571" t="str">
        <f t="shared" si="11"/>
        <v>成新度</v>
      </c>
      <c r="R33" s="1572" t="s">
        <v>8</v>
      </c>
      <c r="S33" s="1573" t="e">
        <f t="shared" si="12"/>
        <v>#N/A</v>
      </c>
      <c r="T33" s="1572" t="s">
        <v>8</v>
      </c>
      <c r="U33" s="1573" t="e">
        <f t="shared" si="13"/>
        <v>#N/A</v>
      </c>
      <c r="V33" s="1572" t="s">
        <v>8</v>
      </c>
      <c r="W33" s="1573" t="e">
        <f t="shared" si="14"/>
        <v>#N/A</v>
      </c>
      <c r="X33" s="1566"/>
      <c r="Y33" s="3406"/>
      <c r="Z33" s="1574" t="str">
        <f t="shared" si="15"/>
        <v>成新度</v>
      </c>
      <c r="AA33" s="1575" t="e">
        <f t="shared" si="3"/>
        <v>#N/A</v>
      </c>
      <c r="AB33" s="1575" t="e">
        <f t="shared" si="4"/>
        <v>#N/A</v>
      </c>
      <c r="AC33" s="1575" t="e">
        <f t="shared" si="5"/>
        <v>#N/A</v>
      </c>
    </row>
    <row r="34" spans="1:29" s="1218"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6"/>
      <c r="Q34" s="1149" t="str">
        <f t="shared" si="11"/>
        <v>物业管理</v>
      </c>
      <c r="R34" s="1567" t="s">
        <v>8</v>
      </c>
      <c r="S34" s="1568">
        <f t="shared" si="12"/>
        <v>100</v>
      </c>
      <c r="T34" s="1567" t="s">
        <v>8</v>
      </c>
      <c r="U34" s="1568">
        <f t="shared" si="13"/>
        <v>100</v>
      </c>
      <c r="V34" s="1567" t="s">
        <v>8</v>
      </c>
      <c r="W34" s="1568">
        <f t="shared" si="14"/>
        <v>100</v>
      </c>
      <c r="X34" s="1569"/>
      <c r="Y34" s="3406"/>
      <c r="Z34" s="1148" t="str">
        <f t="shared" si="15"/>
        <v>物业管理</v>
      </c>
      <c r="AA34" s="1570">
        <f t="shared" si="3"/>
        <v>1</v>
      </c>
      <c r="AB34" s="1570">
        <f t="shared" si="4"/>
        <v>1</v>
      </c>
      <c r="AC34" s="1570">
        <f t="shared" si="5"/>
        <v>1</v>
      </c>
    </row>
    <row r="35" spans="1:29" ht="15">
      <c r="A35" s="593"/>
      <c r="B35" s="1895" t="s">
        <v>2569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6" t="s">
        <v>550</v>
      </c>
      <c r="Q35" s="1571" t="str">
        <f t="shared" si="11"/>
        <v>市政基础设施</v>
      </c>
      <c r="R35" s="1572" t="s">
        <v>8</v>
      </c>
      <c r="S35" s="1573">
        <f t="shared" si="12"/>
        <v>100</v>
      </c>
      <c r="T35" s="1572" t="s">
        <v>8</v>
      </c>
      <c r="U35" s="1573">
        <f t="shared" si="13"/>
        <v>100</v>
      </c>
      <c r="V35" s="1572" t="s">
        <v>8</v>
      </c>
      <c r="W35" s="1573">
        <f t="shared" si="14"/>
        <v>100</v>
      </c>
      <c r="X35" s="1566"/>
      <c r="Y35" s="3406"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6"/>
      <c r="Q36" s="1571" t="str">
        <f t="shared" si="11"/>
        <v>内部装修</v>
      </c>
      <c r="R36" s="1572" t="s">
        <v>8</v>
      </c>
      <c r="S36" s="1573">
        <f t="shared" si="12"/>
        <v>100</v>
      </c>
      <c r="T36" s="1572" t="s">
        <v>8</v>
      </c>
      <c r="U36" s="1573">
        <f t="shared" si="13"/>
        <v>100</v>
      </c>
      <c r="V36" s="1572" t="s">
        <v>8</v>
      </c>
      <c r="W36" s="1573">
        <f t="shared" si="14"/>
        <v>100</v>
      </c>
      <c r="X36" s="1566"/>
      <c r="Y36" s="3406"/>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6"/>
      <c r="Q37" s="1571" t="str">
        <f t="shared" si="11"/>
        <v>内部装修状况</v>
      </c>
      <c r="R37" s="1572" t="s">
        <v>8</v>
      </c>
      <c r="S37" s="1573">
        <f t="shared" si="12"/>
        <v>100</v>
      </c>
      <c r="T37" s="1572" t="s">
        <v>8</v>
      </c>
      <c r="U37" s="1573">
        <f t="shared" si="13"/>
        <v>100</v>
      </c>
      <c r="V37" s="1572" t="s">
        <v>8</v>
      </c>
      <c r="W37" s="1573">
        <f t="shared" si="14"/>
        <v>100</v>
      </c>
      <c r="X37" s="1566"/>
      <c r="Y37" s="3406"/>
      <c r="Z37" s="1574" t="str">
        <f t="shared" si="15"/>
        <v>内部装修状况</v>
      </c>
      <c r="AA37" s="1575">
        <f t="shared" si="3"/>
        <v>1</v>
      </c>
      <c r="AB37" s="1575">
        <f t="shared" si="4"/>
        <v>1</v>
      </c>
      <c r="AC37" s="1575">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6"/>
      <c r="Q38" s="1604">
        <f t="shared" si="11"/>
        <v>111</v>
      </c>
      <c r="R38" s="1576" t="s">
        <v>8</v>
      </c>
      <c r="S38" s="1577">
        <f t="shared" si="12"/>
        <v>100</v>
      </c>
      <c r="T38" s="1576" t="s">
        <v>8</v>
      </c>
      <c r="U38" s="1577">
        <f t="shared" si="13"/>
        <v>100</v>
      </c>
      <c r="V38" s="1576" t="s">
        <v>8</v>
      </c>
      <c r="W38" s="1577">
        <f t="shared" si="14"/>
        <v>100</v>
      </c>
      <c r="X38" s="1578"/>
      <c r="Y38" s="340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6"/>
      <c r="Q39" s="1571">
        <f t="shared" si="11"/>
        <v>111</v>
      </c>
      <c r="R39" s="1572" t="s">
        <v>8</v>
      </c>
      <c r="S39" s="1573">
        <f t="shared" si="12"/>
        <v>100</v>
      </c>
      <c r="T39" s="1572" t="s">
        <v>8</v>
      </c>
      <c r="U39" s="1573">
        <f t="shared" si="13"/>
        <v>100</v>
      </c>
      <c r="V39" s="1572" t="s">
        <v>8</v>
      </c>
      <c r="W39" s="1573">
        <f t="shared" si="14"/>
        <v>100</v>
      </c>
      <c r="X39" s="1566"/>
      <c r="Y39" s="3406"/>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09"/>
      <c r="Q40" s="1571">
        <f t="shared" si="11"/>
        <v>111</v>
      </c>
      <c r="R40" s="1572" t="s">
        <v>8</v>
      </c>
      <c r="S40" s="1573">
        <f t="shared" si="12"/>
        <v>100</v>
      </c>
      <c r="T40" s="1572" t="s">
        <v>8</v>
      </c>
      <c r="U40" s="1573">
        <f t="shared" si="13"/>
        <v>100</v>
      </c>
      <c r="V40" s="1572" t="s">
        <v>8</v>
      </c>
      <c r="W40" s="1573">
        <f t="shared" si="14"/>
        <v>100</v>
      </c>
      <c r="X40" s="1566"/>
      <c r="Y40" s="3409"/>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369" t="str">
        <f>A41</f>
        <v>成交单价（元/平方米）</v>
      </c>
      <c r="Q41" s="3369"/>
      <c r="R41" s="3408">
        <f>E41</f>
        <v>0</v>
      </c>
      <c r="S41" s="3408"/>
      <c r="T41" s="3408">
        <f>G41</f>
        <v>0</v>
      </c>
      <c r="U41" s="3408"/>
      <c r="V41" s="3408">
        <f>I41</f>
        <v>0</v>
      </c>
      <c r="W41" s="3408"/>
      <c r="X41" s="1558"/>
      <c r="Y41" s="1580"/>
      <c r="Z41" s="1558"/>
      <c r="AA41" s="1558"/>
      <c r="AB41" s="1558"/>
      <c r="AC41" s="1558"/>
    </row>
    <row r="42" spans="1:29" ht="15.75" thickBot="1">
      <c r="A42" s="614" t="s">
        <v>2764</v>
      </c>
      <c r="B42" s="887"/>
      <c r="C42" s="2657" t="e">
        <f>R43</f>
        <v>#DIV/0!</v>
      </c>
      <c r="D42" s="2658"/>
      <c r="E42" s="2659" t="e">
        <f>R42</f>
        <v>#DIV/0!</v>
      </c>
      <c r="F42" s="2659"/>
      <c r="G42" s="2657" t="e">
        <f>T42</f>
        <v>#DIV/0!</v>
      </c>
      <c r="H42" s="2658"/>
      <c r="I42" s="2659" t="e">
        <f>V42</f>
        <v>#DIV/0!</v>
      </c>
      <c r="J42" s="2658"/>
      <c r="K42" s="1611"/>
      <c r="L42" s="2144"/>
      <c r="M42" s="2145"/>
      <c r="N42" s="2134"/>
      <c r="O42" s="2145"/>
      <c r="P42" s="3369" t="str">
        <f>A42</f>
        <v>比较价格（元/平方米）</v>
      </c>
      <c r="Q42" s="3369"/>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1558"/>
      <c r="Y42" s="1558"/>
      <c r="Z42" s="1558"/>
      <c r="AA42" s="1558"/>
      <c r="AB42" s="1558"/>
      <c r="AC42" s="1558"/>
    </row>
    <row r="43" spans="1:29" ht="15.75" thickBot="1">
      <c r="A43" s="620" t="s">
        <v>2936</v>
      </c>
      <c r="B43" s="621"/>
      <c r="C43" s="2660" t="e">
        <f>R43</f>
        <v>#DIV/0!</v>
      </c>
      <c r="D43" s="2660"/>
      <c r="E43" s="2660"/>
      <c r="F43" s="2660"/>
      <c r="G43" s="2660"/>
      <c r="H43" s="2660"/>
      <c r="I43" s="2660"/>
      <c r="J43" s="2660"/>
      <c r="K43" s="1612"/>
      <c r="L43" s="2144"/>
      <c r="M43" s="2145"/>
      <c r="N43" s="2145"/>
      <c r="O43" s="2145"/>
      <c r="P43" s="3366" t="str">
        <f>A43</f>
        <v>估价对象XX用房的比较价格（楼面单价，元/平方米）</v>
      </c>
      <c r="Q43" s="3367"/>
      <c r="R43" s="3407" t="e">
        <f>IF(F1="售价",ROUND(AVERAGE(R42:V42),0),ROUND(AVERAGE(R42:V42),1))</f>
        <v>#DIV/0!</v>
      </c>
      <c r="S43" s="3407"/>
      <c r="T43" s="3407"/>
      <c r="U43" s="3407"/>
      <c r="V43" s="3407"/>
      <c r="W43" s="340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2561</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2562</v>
      </c>
      <c r="C76" s="2622" t="s">
        <v>2563</v>
      </c>
      <c r="D76" s="2622" t="s">
        <v>2564</v>
      </c>
      <c r="E76" s="2622" t="s">
        <v>2565</v>
      </c>
      <c r="F76" s="2622" t="s">
        <v>2566</v>
      </c>
      <c r="G76" s="2622" t="s">
        <v>2567</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2560</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IF(B37="元/平方米",C39,ROUND(B2*10000/D3,0))</f>
        <v>#DIV/0!</v>
      </c>
      <c r="C3" s="851" t="s">
        <v>796</v>
      </c>
      <c r="D3" s="850">
        <f>SUMIF('数据-汇总表'!$C19:$C33,D1,'数据-汇总表'!$E19:$E33)</f>
        <v>0</v>
      </c>
      <c r="E3" s="1848" t="s">
        <v>2079</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75" t="s">
        <v>798</v>
      </c>
      <c r="D4" s="3376"/>
      <c r="E4" s="3375" t="s">
        <v>799</v>
      </c>
      <c r="F4" s="3376"/>
      <c r="G4" s="3375" t="s">
        <v>800</v>
      </c>
      <c r="H4" s="3376"/>
      <c r="I4" s="3375" t="s">
        <v>801</v>
      </c>
      <c r="J4" s="3376"/>
      <c r="K4" s="513" t="s">
        <v>802</v>
      </c>
      <c r="L4" s="2133"/>
      <c r="M4" s="2134"/>
      <c r="N4" s="2134"/>
      <c r="O4" s="2134"/>
      <c r="P4" s="3377" t="s">
        <v>803</v>
      </c>
      <c r="Q4" s="3378"/>
      <c r="R4" s="3383" t="s">
        <v>799</v>
      </c>
      <c r="S4" s="3384"/>
      <c r="T4" s="3383" t="s">
        <v>800</v>
      </c>
      <c r="U4" s="3384"/>
      <c r="V4" s="3370" t="s">
        <v>801</v>
      </c>
      <c r="W4" s="3370"/>
      <c r="X4" s="1566"/>
      <c r="Y4" s="3383" t="s">
        <v>803</v>
      </c>
      <c r="Z4" s="3384"/>
      <c r="AA4" s="3372" t="s">
        <v>799</v>
      </c>
      <c r="AB4" s="3373" t="s">
        <v>800</v>
      </c>
      <c r="AC4" s="3372" t="s">
        <v>801</v>
      </c>
    </row>
    <row r="5" spans="1:29" ht="15">
      <c r="A5" s="514"/>
      <c r="B5" s="515"/>
      <c r="C5" s="3391" t="s">
        <v>2930</v>
      </c>
      <c r="D5" s="3392"/>
      <c r="E5" s="3391" t="s">
        <v>2931</v>
      </c>
      <c r="F5" s="3392"/>
      <c r="G5" s="3391" t="s">
        <v>2932</v>
      </c>
      <c r="H5" s="3392"/>
      <c r="I5" s="3391" t="s">
        <v>2933</v>
      </c>
      <c r="J5" s="3392"/>
      <c r="K5" s="513"/>
      <c r="L5" s="2133"/>
      <c r="M5" s="2134"/>
      <c r="N5" s="2134"/>
      <c r="O5" s="2134"/>
      <c r="P5" s="3379"/>
      <c r="Q5" s="3380"/>
      <c r="R5" s="3385"/>
      <c r="S5" s="3386"/>
      <c r="T5" s="3385"/>
      <c r="U5" s="3386"/>
      <c r="V5" s="3370"/>
      <c r="W5" s="3370"/>
      <c r="X5" s="1566"/>
      <c r="Y5" s="3385"/>
      <c r="Z5" s="3386"/>
      <c r="AA5" s="3373"/>
      <c r="AB5" s="3373"/>
      <c r="AC5" s="3373"/>
    </row>
    <row r="6" spans="1:29" ht="15.75" thickBot="1">
      <c r="A6" s="516"/>
      <c r="B6" s="517"/>
      <c r="C6" s="3389" t="s">
        <v>2934</v>
      </c>
      <c r="D6" s="3390"/>
      <c r="E6" s="3393" t="s">
        <v>2934</v>
      </c>
      <c r="F6" s="3394"/>
      <c r="G6" s="3389" t="s">
        <v>2934</v>
      </c>
      <c r="H6" s="3390"/>
      <c r="I6" s="3389" t="s">
        <v>2934</v>
      </c>
      <c r="J6" s="3390"/>
      <c r="K6" s="513" t="s">
        <v>528</v>
      </c>
      <c r="L6" s="2133"/>
      <c r="M6" s="2134"/>
      <c r="N6" s="2134"/>
      <c r="O6" s="2134"/>
      <c r="P6" s="3381"/>
      <c r="Q6" s="3382"/>
      <c r="R6" s="3385"/>
      <c r="S6" s="3386"/>
      <c r="T6" s="3387"/>
      <c r="U6" s="3388"/>
      <c r="V6" s="3370"/>
      <c r="W6" s="3370"/>
      <c r="X6" s="1566"/>
      <c r="Y6" s="3387"/>
      <c r="Z6" s="3388"/>
      <c r="AA6" s="3374"/>
      <c r="AB6" s="3374"/>
      <c r="AC6" s="3374"/>
    </row>
    <row r="7" spans="1:29" s="1218" customFormat="1" ht="15.75" thickBot="1">
      <c r="A7" s="2935"/>
      <c r="B7" s="2942" t="s">
        <v>529</v>
      </c>
      <c r="C7" s="518">
        <f>'数据-取费表'!B2</f>
        <v>43249</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00" t="s">
        <v>530</v>
      </c>
      <c r="Q7" s="3402"/>
      <c r="R7" s="1567" t="s">
        <v>8</v>
      </c>
      <c r="S7" s="1568">
        <f t="shared" ref="S7:S14" si="0">F7</f>
        <v>0</v>
      </c>
      <c r="T7" s="1567" t="s">
        <v>8</v>
      </c>
      <c r="U7" s="1568">
        <f t="shared" ref="U7:U14" si="1">H7</f>
        <v>0</v>
      </c>
      <c r="V7" s="1567" t="s">
        <v>8</v>
      </c>
      <c r="W7" s="1568">
        <f t="shared" ref="W7:W14" si="2">J7</f>
        <v>0</v>
      </c>
      <c r="X7" s="1569"/>
      <c r="Y7" s="3400" t="s">
        <v>530</v>
      </c>
      <c r="Z7" s="3401"/>
      <c r="AA7" s="1570" t="e">
        <f>D7/F7</f>
        <v>#DIV/0!</v>
      </c>
      <c r="AB7" s="1570" t="e">
        <f>D7/H7</f>
        <v>#DIV/0!</v>
      </c>
      <c r="AC7" s="1570" t="e">
        <f>D7/J7</f>
        <v>#DIV/0!</v>
      </c>
    </row>
    <row r="8" spans="1:29" s="1218" customFormat="1" ht="15.75" thickBot="1">
      <c r="A8" s="2936"/>
      <c r="B8" s="2943"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00" t="s">
        <v>533</v>
      </c>
      <c r="Q8" s="3401"/>
      <c r="R8" s="1567" t="s">
        <v>8</v>
      </c>
      <c r="S8" s="1568">
        <f t="shared" si="0"/>
        <v>0</v>
      </c>
      <c r="T8" s="1567" t="s">
        <v>8</v>
      </c>
      <c r="U8" s="1568">
        <f t="shared" si="1"/>
        <v>0</v>
      </c>
      <c r="V8" s="1567" t="s">
        <v>8</v>
      </c>
      <c r="W8" s="1568">
        <f t="shared" si="2"/>
        <v>0</v>
      </c>
      <c r="X8" s="1569"/>
      <c r="Y8" s="3400" t="s">
        <v>533</v>
      </c>
      <c r="Z8" s="3401"/>
      <c r="AA8" s="1570" t="e">
        <f t="shared" ref="AA8:AA36" si="3">D8/F8</f>
        <v>#DIV/0!</v>
      </c>
      <c r="AB8" s="1570" t="e">
        <f t="shared" ref="AB8:AB36" si="4">D8/H8</f>
        <v>#DIV/0!</v>
      </c>
      <c r="AC8" s="1570" t="e">
        <f t="shared" ref="AC8:AC36" si="5">D8/J8</f>
        <v>#DIV/0!</v>
      </c>
    </row>
    <row r="9" spans="1:29" s="1218" customFormat="1" ht="15">
      <c r="A9" s="2937"/>
      <c r="B9" s="2944" t="s">
        <v>2760</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9" t="s">
        <v>535</v>
      </c>
      <c r="Q9" s="1149" t="str">
        <f t="shared" ref="Q9:Q14" si="6">B9</f>
        <v>用途</v>
      </c>
      <c r="R9" s="1567" t="s">
        <v>8</v>
      </c>
      <c r="S9" s="1568">
        <f t="shared" si="0"/>
        <v>100</v>
      </c>
      <c r="T9" s="1567" t="s">
        <v>8</v>
      </c>
      <c r="U9" s="1568">
        <f t="shared" si="1"/>
        <v>100</v>
      </c>
      <c r="V9" s="1567" t="s">
        <v>8</v>
      </c>
      <c r="W9" s="1568">
        <f t="shared" si="2"/>
        <v>100</v>
      </c>
      <c r="X9" s="1569"/>
      <c r="Y9" s="3315" t="s">
        <v>536</v>
      </c>
      <c r="Z9" s="1148" t="str">
        <f t="shared" ref="Z9:Z14" si="7">Q9</f>
        <v>用途</v>
      </c>
      <c r="AA9" s="1570">
        <f t="shared" si="3"/>
        <v>1</v>
      </c>
      <c r="AB9" s="1570">
        <f t="shared" si="4"/>
        <v>1</v>
      </c>
      <c r="AC9" s="1570">
        <f t="shared" si="5"/>
        <v>1</v>
      </c>
    </row>
    <row r="10" spans="1:29" s="1336" customFormat="1" ht="27">
      <c r="A10" s="2938"/>
      <c r="B10" s="2943" t="s">
        <v>2761</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9"/>
      <c r="Q10" s="1149" t="str">
        <f t="shared" si="6"/>
        <v>土地使用年限（年）</v>
      </c>
      <c r="R10" s="1567" t="s">
        <v>8</v>
      </c>
      <c r="S10" s="1568">
        <f t="shared" si="0"/>
        <v>100</v>
      </c>
      <c r="T10" s="1567" t="s">
        <v>8</v>
      </c>
      <c r="U10" s="1568">
        <f t="shared" si="1"/>
        <v>100</v>
      </c>
      <c r="V10" s="1567" t="s">
        <v>8</v>
      </c>
      <c r="W10" s="1568">
        <f t="shared" si="2"/>
        <v>100</v>
      </c>
      <c r="X10" s="1569"/>
      <c r="Y10" s="3315"/>
      <c r="Z10" s="1148"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9"/>
      <c r="Q11" s="1149">
        <f t="shared" si="6"/>
        <v>111</v>
      </c>
      <c r="R11" s="1567" t="s">
        <v>8</v>
      </c>
      <c r="S11" s="1568">
        <f t="shared" si="0"/>
        <v>100</v>
      </c>
      <c r="T11" s="1567" t="s">
        <v>8</v>
      </c>
      <c r="U11" s="1568">
        <f t="shared" si="1"/>
        <v>100</v>
      </c>
      <c r="V11" s="1567" t="s">
        <v>8</v>
      </c>
      <c r="W11" s="1568">
        <f t="shared" si="2"/>
        <v>100</v>
      </c>
      <c r="X11" s="1569"/>
      <c r="Y11" s="3315"/>
      <c r="Z11" s="1148">
        <f t="shared" si="7"/>
        <v>111</v>
      </c>
      <c r="AA11" s="1570">
        <f t="shared" si="3"/>
        <v>1</v>
      </c>
      <c r="AB11" s="1570">
        <f t="shared" si="4"/>
        <v>1</v>
      </c>
      <c r="AC11" s="1570">
        <f t="shared" si="5"/>
        <v>1</v>
      </c>
    </row>
    <row r="12" spans="1:29" s="1218"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9"/>
      <c r="Q12" s="1149">
        <f t="shared" si="6"/>
        <v>111</v>
      </c>
      <c r="R12" s="1567" t="s">
        <v>8</v>
      </c>
      <c r="S12" s="1568">
        <f t="shared" si="0"/>
        <v>100</v>
      </c>
      <c r="T12" s="1567" t="s">
        <v>8</v>
      </c>
      <c r="U12" s="1568">
        <f t="shared" si="1"/>
        <v>100</v>
      </c>
      <c r="V12" s="1567" t="s">
        <v>8</v>
      </c>
      <c r="W12" s="1568">
        <f t="shared" si="2"/>
        <v>100</v>
      </c>
      <c r="X12" s="1569"/>
      <c r="Y12" s="3315"/>
      <c r="Z12" s="1148">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9"/>
      <c r="Q13" s="1149">
        <f t="shared" si="6"/>
        <v>111</v>
      </c>
      <c r="R13" s="1567" t="s">
        <v>8</v>
      </c>
      <c r="S13" s="1568">
        <f t="shared" si="0"/>
        <v>100</v>
      </c>
      <c r="T13" s="1567" t="s">
        <v>8</v>
      </c>
      <c r="U13" s="1568">
        <f t="shared" si="1"/>
        <v>100</v>
      </c>
      <c r="V13" s="1567" t="s">
        <v>8</v>
      </c>
      <c r="W13" s="1568">
        <f t="shared" si="2"/>
        <v>100</v>
      </c>
      <c r="X13" s="1569"/>
      <c r="Y13" s="3315"/>
      <c r="Z13" s="1148">
        <f t="shared" si="7"/>
        <v>111</v>
      </c>
      <c r="AA13" s="1570">
        <f t="shared" si="3"/>
        <v>1</v>
      </c>
      <c r="AB13" s="1570">
        <f t="shared" si="4"/>
        <v>1</v>
      </c>
      <c r="AC13" s="1570">
        <f t="shared" si="5"/>
        <v>1</v>
      </c>
    </row>
    <row r="14" spans="1:29" ht="85.5">
      <c r="A14" s="2933" t="s">
        <v>2758</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3" t="s">
        <v>540</v>
      </c>
      <c r="Q14" s="1571" t="str">
        <f t="shared" si="6"/>
        <v>交通便捷度</v>
      </c>
      <c r="R14" s="1572" t="s">
        <v>8</v>
      </c>
      <c r="S14" s="1573">
        <f t="shared" si="0"/>
        <v>100</v>
      </c>
      <c r="T14" s="1572" t="s">
        <v>8</v>
      </c>
      <c r="U14" s="1573">
        <f t="shared" si="1"/>
        <v>100</v>
      </c>
      <c r="V14" s="1572" t="s">
        <v>8</v>
      </c>
      <c r="W14" s="1573">
        <f t="shared" si="2"/>
        <v>100</v>
      </c>
      <c r="X14" s="1566"/>
      <c r="Y14" s="3403"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8"/>
      <c r="L15" s="2142"/>
      <c r="M15" s="2134"/>
      <c r="N15" s="2134"/>
      <c r="O15" s="2141"/>
      <c r="P15" s="3404"/>
      <c r="Q15" s="1571"/>
      <c r="R15" s="1572"/>
      <c r="S15" s="1573"/>
      <c r="T15" s="1572"/>
      <c r="U15" s="1573"/>
      <c r="V15" s="1572"/>
      <c r="W15" s="1573"/>
      <c r="X15" s="1566"/>
      <c r="Y15" s="3404"/>
      <c r="Z15" s="1574"/>
      <c r="AA15" s="1575">
        <v>1</v>
      </c>
      <c r="AB15" s="1575">
        <v>1</v>
      </c>
      <c r="AC15" s="1575">
        <v>1</v>
      </c>
    </row>
    <row r="16" spans="1:29" ht="42.75">
      <c r="A16" s="514"/>
      <c r="B16" s="2627" t="s">
        <v>2550</v>
      </c>
      <c r="C16" s="871" t="str">
        <f>IF(B1="工业",估价对象房地状况!G5,估价对象房地状况!C7)</f>
        <v>估价对象所在区域公共配套设施齐备</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4"/>
      <c r="Q17" s="1571"/>
      <c r="R17" s="1572"/>
      <c r="S17" s="1573"/>
      <c r="T17" s="1572"/>
      <c r="U17" s="1573"/>
      <c r="V17" s="1572"/>
      <c r="W17" s="1573"/>
      <c r="X17" s="1566"/>
      <c r="Y17" s="3404"/>
      <c r="Z17" s="1574"/>
      <c r="AA17" s="1575">
        <v>1</v>
      </c>
      <c r="AB17" s="1575">
        <v>1</v>
      </c>
      <c r="AC17" s="1575">
        <v>1</v>
      </c>
    </row>
    <row r="18" spans="1:29" ht="42.75">
      <c r="A18" s="514"/>
      <c r="B18" s="2615" t="s">
        <v>2562</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4"/>
      <c r="Q18" s="2603" t="str">
        <f>B18</f>
        <v>基础设施水平</v>
      </c>
      <c r="R18" s="1572" t="s">
        <v>8</v>
      </c>
      <c r="S18" s="1573">
        <f>F18</f>
        <v>100</v>
      </c>
      <c r="T18" s="1572" t="s">
        <v>8</v>
      </c>
      <c r="U18" s="1573">
        <f>H18</f>
        <v>100</v>
      </c>
      <c r="V18" s="1572" t="s">
        <v>8</v>
      </c>
      <c r="W18" s="1573">
        <f>J18</f>
        <v>100</v>
      </c>
      <c r="X18" s="2605"/>
      <c r="Y18" s="3404"/>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04"/>
      <c r="Q19" s="2603"/>
      <c r="R19" s="1572"/>
      <c r="S19" s="1573"/>
      <c r="T19" s="1572"/>
      <c r="U19" s="1573"/>
      <c r="V19" s="1572"/>
      <c r="W19" s="1573"/>
      <c r="X19" s="2605"/>
      <c r="Y19" s="3404"/>
      <c r="Z19" s="2604"/>
      <c r="AA19" s="1575">
        <v>1</v>
      </c>
      <c r="AB19" s="1575">
        <v>1</v>
      </c>
      <c r="AC19" s="1575">
        <v>1</v>
      </c>
    </row>
    <row r="20" spans="1:29" ht="57">
      <c r="A20" s="514"/>
      <c r="B20" s="559" t="s">
        <v>804</v>
      </c>
      <c r="C20" s="871" t="str">
        <f>IF(B1="工业",估价对象房地状况!G7,估价对象房地状况!C9)</f>
        <v>区域自然环境较好；人文环境一般；综合评价环境状况较好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4"/>
      <c r="Q21" s="1571"/>
      <c r="R21" s="1572"/>
      <c r="S21" s="1573"/>
      <c r="T21" s="1572"/>
      <c r="U21" s="1573"/>
      <c r="V21" s="1572"/>
      <c r="W21" s="1573"/>
      <c r="X21" s="1566"/>
      <c r="Y21" s="3404"/>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4"/>
      <c r="Q24" s="1571">
        <f t="shared" ref="Q24:Q36"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04"/>
      <c r="Q25" s="1149">
        <f t="shared" si="11"/>
        <v>111</v>
      </c>
      <c r="R25" s="1567" t="s">
        <v>8</v>
      </c>
      <c r="S25" s="1568">
        <f>F25</f>
        <v>100</v>
      </c>
      <c r="T25" s="1567" t="s">
        <v>8</v>
      </c>
      <c r="U25" s="1568">
        <f>H25</f>
        <v>100</v>
      </c>
      <c r="V25" s="1567" t="s">
        <v>8</v>
      </c>
      <c r="W25" s="1568">
        <f>J25</f>
        <v>100</v>
      </c>
      <c r="X25" s="1569"/>
      <c r="Y25" s="3404"/>
      <c r="Z25" s="1148">
        <f>Q25</f>
        <v>111</v>
      </c>
      <c r="AA25" s="1575">
        <f>D25/F25</f>
        <v>1</v>
      </c>
      <c r="AB25" s="1575">
        <f>D25/H25</f>
        <v>1</v>
      </c>
      <c r="AC25" s="1575">
        <f>D25/J25</f>
        <v>1</v>
      </c>
    </row>
    <row r="26" spans="1:29" ht="15">
      <c r="A26" s="2931" t="s">
        <v>2759</v>
      </c>
      <c r="B26" s="169"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5"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6" t="s">
        <v>550</v>
      </c>
      <c r="Z26" s="1574" t="str">
        <f t="shared" ref="Z26:Z36" si="15">Q26</f>
        <v>配套类型</v>
      </c>
      <c r="AA26" s="1575">
        <f t="shared" si="3"/>
        <v>1</v>
      </c>
      <c r="AB26" s="1575">
        <f t="shared" si="4"/>
        <v>1</v>
      </c>
      <c r="AC26" s="1575">
        <f t="shared" si="5"/>
        <v>1</v>
      </c>
    </row>
    <row r="27" spans="1:29" s="1337"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06"/>
      <c r="Q27" s="1604" t="str">
        <f t="shared" si="11"/>
        <v>项目停车位配比</v>
      </c>
      <c r="R27" s="1576" t="s">
        <v>8</v>
      </c>
      <c r="S27" s="1577">
        <f t="shared" si="12"/>
        <v>100</v>
      </c>
      <c r="T27" s="1576" t="s">
        <v>8</v>
      </c>
      <c r="U27" s="1577">
        <f t="shared" si="13"/>
        <v>100</v>
      </c>
      <c r="V27" s="1576" t="s">
        <v>8</v>
      </c>
      <c r="W27" s="1577">
        <f t="shared" si="14"/>
        <v>100</v>
      </c>
      <c r="X27" s="1578"/>
      <c r="Y27" s="3406"/>
      <c r="Z27" s="1579" t="str">
        <f t="shared" si="15"/>
        <v>项目停车位配比</v>
      </c>
      <c r="AA27" s="1575">
        <f t="shared" si="3"/>
        <v>1</v>
      </c>
      <c r="AB27" s="1575">
        <f t="shared" si="4"/>
        <v>1</v>
      </c>
      <c r="AC27" s="1575">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6"/>
      <c r="Q28" s="1571" t="str">
        <f t="shared" si="11"/>
        <v>公共部分装修</v>
      </c>
      <c r="R28" s="1572" t="s">
        <v>8</v>
      </c>
      <c r="S28" s="1573">
        <f t="shared" si="12"/>
        <v>100</v>
      </c>
      <c r="T28" s="1572" t="s">
        <v>8</v>
      </c>
      <c r="U28" s="1573">
        <f t="shared" si="13"/>
        <v>100</v>
      </c>
      <c r="V28" s="1572" t="s">
        <v>8</v>
      </c>
      <c r="W28" s="1573">
        <f t="shared" si="14"/>
        <v>100</v>
      </c>
      <c r="X28" s="1566"/>
      <c r="Y28" s="3406"/>
      <c r="Z28" s="1574" t="str">
        <f t="shared" si="15"/>
        <v>公共部分装修</v>
      </c>
      <c r="AA28" s="1575">
        <f t="shared" si="3"/>
        <v>1</v>
      </c>
      <c r="AB28" s="1575">
        <f t="shared" si="4"/>
        <v>1</v>
      </c>
      <c r="AC28" s="1575">
        <f t="shared" si="5"/>
        <v>1</v>
      </c>
    </row>
    <row r="29" spans="1:29" ht="15">
      <c r="A29" s="929"/>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6"/>
      <c r="Q29" s="1571" t="str">
        <f t="shared" si="11"/>
        <v>成新率</v>
      </c>
      <c r="R29" s="1572" t="s">
        <v>8</v>
      </c>
      <c r="S29" s="1573" t="e">
        <f t="shared" si="12"/>
        <v>#N/A</v>
      </c>
      <c r="T29" s="1572" t="s">
        <v>8</v>
      </c>
      <c r="U29" s="1573" t="e">
        <f t="shared" si="13"/>
        <v>#N/A</v>
      </c>
      <c r="V29" s="1572" t="s">
        <v>8</v>
      </c>
      <c r="W29" s="1573" t="e">
        <f t="shared" si="14"/>
        <v>#N/A</v>
      </c>
      <c r="X29" s="1566"/>
      <c r="Y29" s="3406"/>
      <c r="Z29" s="1574" t="str">
        <f t="shared" si="15"/>
        <v>成新率</v>
      </c>
      <c r="AA29" s="1575" t="e">
        <f t="shared" si="3"/>
        <v>#N/A</v>
      </c>
      <c r="AB29" s="1575" t="e">
        <f t="shared" si="4"/>
        <v>#N/A</v>
      </c>
      <c r="AC29" s="1575"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06"/>
      <c r="Q30" s="1571" t="str">
        <f t="shared" si="11"/>
        <v>物业等级</v>
      </c>
      <c r="R30" s="1572" t="s">
        <v>8</v>
      </c>
      <c r="S30" s="1573">
        <f t="shared" si="12"/>
        <v>100</v>
      </c>
      <c r="T30" s="1572" t="s">
        <v>8</v>
      </c>
      <c r="U30" s="1573">
        <f t="shared" si="13"/>
        <v>100</v>
      </c>
      <c r="V30" s="1572" t="s">
        <v>8</v>
      </c>
      <c r="W30" s="1573">
        <f t="shared" si="14"/>
        <v>100</v>
      </c>
      <c r="X30" s="1566"/>
      <c r="Y30" s="3406"/>
      <c r="Z30" s="1574" t="str">
        <f t="shared" si="15"/>
        <v>物业等级</v>
      </c>
      <c r="AA30" s="1575">
        <f t="shared" si="3"/>
        <v>1</v>
      </c>
      <c r="AB30" s="1575">
        <f t="shared" si="4"/>
        <v>1</v>
      </c>
      <c r="AC30" s="1575">
        <f t="shared" si="5"/>
        <v>1</v>
      </c>
    </row>
    <row r="31" spans="1:29" s="1218" customFormat="1" ht="15">
      <c r="A31" s="931"/>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6"/>
      <c r="Q31" s="1149" t="str">
        <f t="shared" si="11"/>
        <v>停车位面积</v>
      </c>
      <c r="R31" s="1567" t="s">
        <v>8</v>
      </c>
      <c r="S31" s="1568" t="e">
        <f t="shared" si="12"/>
        <v>#N/A</v>
      </c>
      <c r="T31" s="1567" t="s">
        <v>8</v>
      </c>
      <c r="U31" s="1568" t="e">
        <f t="shared" si="13"/>
        <v>#N/A</v>
      </c>
      <c r="V31" s="1567" t="s">
        <v>8</v>
      </c>
      <c r="W31" s="1568" t="e">
        <f t="shared" si="14"/>
        <v>#N/A</v>
      </c>
      <c r="X31" s="1569"/>
      <c r="Y31" s="3406"/>
      <c r="Z31" s="1148" t="str">
        <f t="shared" si="15"/>
        <v>停车位面积</v>
      </c>
      <c r="AA31" s="1570" t="e">
        <f t="shared" si="3"/>
        <v>#N/A</v>
      </c>
      <c r="AB31" s="1570" t="e">
        <f t="shared" si="4"/>
        <v>#N/A</v>
      </c>
      <c r="AC31" s="1570"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6" t="s">
        <v>550</v>
      </c>
      <c r="Q32" s="1571" t="str">
        <f t="shared" si="11"/>
        <v>车位类型</v>
      </c>
      <c r="R32" s="1572" t="s">
        <v>8</v>
      </c>
      <c r="S32" s="1573">
        <f t="shared" si="12"/>
        <v>100</v>
      </c>
      <c r="T32" s="1572" t="s">
        <v>8</v>
      </c>
      <c r="U32" s="1573">
        <f t="shared" si="13"/>
        <v>100</v>
      </c>
      <c r="V32" s="1572" t="s">
        <v>8</v>
      </c>
      <c r="W32" s="1573">
        <f t="shared" si="14"/>
        <v>100</v>
      </c>
      <c r="X32" s="1566"/>
      <c r="Y32" s="3406" t="s">
        <v>550</v>
      </c>
      <c r="Z32" s="1574" t="str">
        <f t="shared" si="15"/>
        <v>车位类型</v>
      </c>
      <c r="AA32" s="1575">
        <f t="shared" si="3"/>
        <v>1</v>
      </c>
      <c r="AB32" s="1575">
        <f t="shared" si="4"/>
        <v>1</v>
      </c>
      <c r="AC32" s="1575">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6"/>
      <c r="Q33" s="1571" t="str">
        <f t="shared" si="11"/>
        <v>是否直接入户</v>
      </c>
      <c r="R33" s="1572" t="s">
        <v>8</v>
      </c>
      <c r="S33" s="1573">
        <f t="shared" si="12"/>
        <v>100</v>
      </c>
      <c r="T33" s="1572" t="s">
        <v>8</v>
      </c>
      <c r="U33" s="1573">
        <f t="shared" si="13"/>
        <v>100</v>
      </c>
      <c r="V33" s="1572" t="s">
        <v>8</v>
      </c>
      <c r="W33" s="1573">
        <f t="shared" si="14"/>
        <v>100</v>
      </c>
      <c r="X33" s="1566"/>
      <c r="Y33" s="3406"/>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6"/>
      <c r="Q35" s="1604">
        <f t="shared" si="11"/>
        <v>111</v>
      </c>
      <c r="R35" s="1576" t="s">
        <v>8</v>
      </c>
      <c r="S35" s="1577">
        <f t="shared" si="12"/>
        <v>100</v>
      </c>
      <c r="T35" s="1576" t="s">
        <v>8</v>
      </c>
      <c r="U35" s="1577">
        <f t="shared" si="13"/>
        <v>100</v>
      </c>
      <c r="V35" s="1576" t="s">
        <v>8</v>
      </c>
      <c r="W35" s="1577">
        <f t="shared" si="14"/>
        <v>100</v>
      </c>
      <c r="X35" s="1578"/>
      <c r="Y35" s="3406"/>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6"/>
      <c r="Q36" s="1571">
        <f t="shared" si="11"/>
        <v>111</v>
      </c>
      <c r="R36" s="1572" t="s">
        <v>8</v>
      </c>
      <c r="S36" s="1573">
        <f t="shared" si="12"/>
        <v>100</v>
      </c>
      <c r="T36" s="1572" t="s">
        <v>8</v>
      </c>
      <c r="U36" s="1573">
        <f t="shared" si="13"/>
        <v>100</v>
      </c>
      <c r="V36" s="1572" t="s">
        <v>8</v>
      </c>
      <c r="W36" s="1573">
        <f t="shared" si="14"/>
        <v>100</v>
      </c>
      <c r="X36" s="1566"/>
      <c r="Y36" s="3406"/>
      <c r="Z36" s="1574">
        <f t="shared" si="15"/>
        <v>111</v>
      </c>
      <c r="AA36" s="1575">
        <f t="shared" si="3"/>
        <v>1</v>
      </c>
      <c r="AB36" s="1575">
        <f t="shared" si="4"/>
        <v>1</v>
      </c>
      <c r="AC36" s="1575">
        <f t="shared" si="5"/>
        <v>1</v>
      </c>
    </row>
    <row r="37" spans="1:29" ht="15">
      <c r="A37" s="1846" t="s">
        <v>2080</v>
      </c>
      <c r="B37" s="1847" t="s">
        <v>2081</v>
      </c>
      <c r="C37" s="2651" t="s">
        <v>1</v>
      </c>
      <c r="D37" s="2652"/>
      <c r="E37" s="2653"/>
      <c r="F37" s="2654"/>
      <c r="G37" s="2655"/>
      <c r="H37" s="2656"/>
      <c r="I37" s="2653"/>
      <c r="J37" s="2656"/>
      <c r="K37" s="1610"/>
      <c r="L37" s="2144"/>
      <c r="M37" s="2145"/>
      <c r="N37" s="2134"/>
      <c r="O37" s="2145"/>
      <c r="P37" s="3369" t="str">
        <f>A37</f>
        <v>成交单价</v>
      </c>
      <c r="Q37" s="3369"/>
      <c r="R37" s="3408">
        <f>E37</f>
        <v>0</v>
      </c>
      <c r="S37" s="3408"/>
      <c r="T37" s="3408">
        <f>G37</f>
        <v>0</v>
      </c>
      <c r="U37" s="3408"/>
      <c r="V37" s="3408">
        <f>I37</f>
        <v>0</v>
      </c>
      <c r="W37" s="3408"/>
      <c r="X37" s="1558"/>
      <c r="Y37" s="1580"/>
      <c r="Z37" s="1558"/>
      <c r="AA37" s="1558"/>
      <c r="AB37" s="1558"/>
      <c r="AC37" s="1558"/>
    </row>
    <row r="38" spans="1:29" ht="15.75" thickBot="1">
      <c r="A38" s="614" t="s">
        <v>2764</v>
      </c>
      <c r="B38" s="887"/>
      <c r="C38" s="2657" t="e">
        <f>R39</f>
        <v>#DIV/0!</v>
      </c>
      <c r="D38" s="2658"/>
      <c r="E38" s="2659" t="e">
        <f>R38</f>
        <v>#DIV/0!</v>
      </c>
      <c r="F38" s="2659"/>
      <c r="G38" s="2657" t="e">
        <f>T38</f>
        <v>#DIV/0!</v>
      </c>
      <c r="H38" s="2658"/>
      <c r="I38" s="2659" t="e">
        <f>V38</f>
        <v>#DIV/0!</v>
      </c>
      <c r="J38" s="2658"/>
      <c r="K38" s="1611"/>
      <c r="L38" s="2144"/>
      <c r="M38" s="2145"/>
      <c r="N38" s="2145"/>
      <c r="O38" s="2145"/>
      <c r="P38" s="3369" t="str">
        <f>A38</f>
        <v>比较价格（元/平方米）</v>
      </c>
      <c r="Q38" s="3369"/>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1558"/>
      <c r="Y38" s="1558"/>
      <c r="Z38" s="1558"/>
      <c r="AA38" s="1558"/>
      <c r="AB38" s="1558"/>
      <c r="AC38" s="1558"/>
    </row>
    <row r="39" spans="1:29" ht="15.75" thickBot="1">
      <c r="A39" s="620" t="s">
        <v>2936</v>
      </c>
      <c r="B39" s="621"/>
      <c r="C39" s="2660" t="e">
        <f>R39</f>
        <v>#DIV/0!</v>
      </c>
      <c r="D39" s="2660"/>
      <c r="E39" s="2660"/>
      <c r="F39" s="2660"/>
      <c r="G39" s="2660"/>
      <c r="H39" s="2660"/>
      <c r="I39" s="2660"/>
      <c r="J39" s="2660"/>
      <c r="K39" s="1612"/>
      <c r="L39" s="2144"/>
      <c r="M39" s="2145"/>
      <c r="N39" s="2145"/>
      <c r="O39" s="2145"/>
      <c r="P39" s="3366" t="str">
        <f>A39</f>
        <v>估价对象XX用房的比较价格（楼面单价，元/平方米）</v>
      </c>
      <c r="Q39" s="3367"/>
      <c r="R39" s="3407" t="e">
        <f>IF(F1="售价",ROUND(AVERAGE(R38:V38),0),ROUND(AVERAGE(R38:V38),1))</f>
        <v>#DIV/0!</v>
      </c>
      <c r="S39" s="3407"/>
      <c r="T39" s="3407"/>
      <c r="U39" s="3407"/>
      <c r="V39" s="3407"/>
      <c r="W39" s="340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8"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2561</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2562</v>
      </c>
      <c r="C67" s="2622" t="s">
        <v>2563</v>
      </c>
      <c r="D67" s="2622" t="s">
        <v>2564</v>
      </c>
      <c r="E67" s="2622" t="s">
        <v>2565</v>
      </c>
      <c r="F67" s="2622" t="s">
        <v>2566</v>
      </c>
      <c r="G67" s="2622" t="s">
        <v>2567</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718</v>
      </c>
      <c r="B1" s="921"/>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375" t="s">
        <v>798</v>
      </c>
      <c r="D4" s="3376"/>
      <c r="E4" s="3410" t="s">
        <v>799</v>
      </c>
      <c r="F4" s="3411"/>
      <c r="G4" s="3375" t="s">
        <v>800</v>
      </c>
      <c r="H4" s="3376"/>
      <c r="I4" s="3375" t="s">
        <v>801</v>
      </c>
      <c r="J4" s="3376"/>
      <c r="K4" s="513" t="s">
        <v>802</v>
      </c>
      <c r="L4" s="2133"/>
      <c r="M4" s="2134"/>
      <c r="N4" s="2134"/>
      <c r="O4" s="2134"/>
      <c r="P4" s="3377" t="s">
        <v>803</v>
      </c>
      <c r="Q4" s="3378"/>
      <c r="R4" s="3383" t="s">
        <v>799</v>
      </c>
      <c r="S4" s="3384"/>
      <c r="T4" s="3383" t="s">
        <v>800</v>
      </c>
      <c r="U4" s="3384"/>
      <c r="V4" s="3370" t="s">
        <v>801</v>
      </c>
      <c r="W4" s="3370"/>
      <c r="X4" s="1566"/>
      <c r="Y4" s="3383" t="s">
        <v>803</v>
      </c>
      <c r="Z4" s="3384"/>
      <c r="AA4" s="3372" t="s">
        <v>799</v>
      </c>
      <c r="AB4" s="3373" t="s">
        <v>800</v>
      </c>
      <c r="AC4" s="3372" t="s">
        <v>801</v>
      </c>
    </row>
    <row r="5" spans="1:29" ht="15">
      <c r="A5" s="514"/>
      <c r="B5" s="515"/>
      <c r="C5" s="3391" t="s">
        <v>2930</v>
      </c>
      <c r="D5" s="3392"/>
      <c r="E5" s="3423" t="s">
        <v>2931</v>
      </c>
      <c r="F5" s="3416"/>
      <c r="G5" s="3391" t="s">
        <v>2932</v>
      </c>
      <c r="H5" s="3392"/>
      <c r="I5" s="3391" t="s">
        <v>2933</v>
      </c>
      <c r="J5" s="3392"/>
      <c r="K5" s="513"/>
      <c r="L5" s="2133"/>
      <c r="M5" s="2134"/>
      <c r="N5" s="2134"/>
      <c r="O5" s="2134"/>
      <c r="P5" s="3379"/>
      <c r="Q5" s="3380"/>
      <c r="R5" s="3385"/>
      <c r="S5" s="3386"/>
      <c r="T5" s="3385"/>
      <c r="U5" s="3386"/>
      <c r="V5" s="3370"/>
      <c r="W5" s="3370"/>
      <c r="X5" s="1566"/>
      <c r="Y5" s="3385"/>
      <c r="Z5" s="3386"/>
      <c r="AA5" s="3373"/>
      <c r="AB5" s="3373"/>
      <c r="AC5" s="3373"/>
    </row>
    <row r="6" spans="1:29" ht="15.75" thickBot="1">
      <c r="A6" s="516"/>
      <c r="B6" s="517"/>
      <c r="C6" s="3389" t="s">
        <v>2934</v>
      </c>
      <c r="D6" s="3390"/>
      <c r="E6" s="3413" t="s">
        <v>2934</v>
      </c>
      <c r="F6" s="3414"/>
      <c r="G6" s="3389" t="s">
        <v>2934</v>
      </c>
      <c r="H6" s="3390"/>
      <c r="I6" s="3389" t="s">
        <v>2934</v>
      </c>
      <c r="J6" s="3390"/>
      <c r="K6" s="513" t="s">
        <v>528</v>
      </c>
      <c r="L6" s="2133"/>
      <c r="M6" s="2134"/>
      <c r="N6" s="2134"/>
      <c r="O6" s="2134"/>
      <c r="P6" s="3381"/>
      <c r="Q6" s="3382"/>
      <c r="R6" s="3385"/>
      <c r="S6" s="3386"/>
      <c r="T6" s="3387"/>
      <c r="U6" s="3388"/>
      <c r="V6" s="3370"/>
      <c r="W6" s="3370"/>
      <c r="X6" s="1566"/>
      <c r="Y6" s="3387"/>
      <c r="Z6" s="3388"/>
      <c r="AA6" s="3374"/>
      <c r="AB6" s="3374"/>
      <c r="AC6" s="3374"/>
    </row>
    <row r="7" spans="1:29" s="1218" customFormat="1" ht="15.75" thickBot="1">
      <c r="A7" s="2935"/>
      <c r="B7" s="2942" t="s">
        <v>529</v>
      </c>
      <c r="C7" s="518">
        <f>'数据-取费表'!B2</f>
        <v>43249</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00" t="s">
        <v>530</v>
      </c>
      <c r="Q7" s="3402"/>
      <c r="R7" s="1567" t="s">
        <v>8</v>
      </c>
      <c r="S7" s="1568">
        <f t="shared" ref="S7:S14" si="0">F7</f>
        <v>0</v>
      </c>
      <c r="T7" s="1567" t="s">
        <v>8</v>
      </c>
      <c r="U7" s="1568">
        <f t="shared" ref="U7:U14" si="1">H7</f>
        <v>0</v>
      </c>
      <c r="V7" s="1567" t="s">
        <v>8</v>
      </c>
      <c r="W7" s="1568">
        <f t="shared" ref="W7:W14" si="2">J7</f>
        <v>0</v>
      </c>
      <c r="X7" s="1569"/>
      <c r="Y7" s="3400" t="s">
        <v>530</v>
      </c>
      <c r="Z7" s="3401"/>
      <c r="AA7" s="1570" t="e">
        <f>D7/F7</f>
        <v>#DIV/0!</v>
      </c>
      <c r="AB7" s="1570" t="e">
        <f>D7/H7</f>
        <v>#DIV/0!</v>
      </c>
      <c r="AC7" s="1570" t="e">
        <f>D7/J7</f>
        <v>#DIV/0!</v>
      </c>
    </row>
    <row r="8" spans="1:29" s="1218"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00" t="s">
        <v>533</v>
      </c>
      <c r="Q8" s="3401"/>
      <c r="R8" s="1567" t="s">
        <v>8</v>
      </c>
      <c r="S8" s="1568">
        <f t="shared" si="0"/>
        <v>0</v>
      </c>
      <c r="T8" s="1567" t="s">
        <v>8</v>
      </c>
      <c r="U8" s="1568">
        <f t="shared" si="1"/>
        <v>0</v>
      </c>
      <c r="V8" s="1567" t="s">
        <v>8</v>
      </c>
      <c r="W8" s="1568">
        <f t="shared" si="2"/>
        <v>0</v>
      </c>
      <c r="X8" s="1569"/>
      <c r="Y8" s="3400" t="s">
        <v>533</v>
      </c>
      <c r="Z8" s="3401"/>
      <c r="AA8" s="1570" t="e">
        <f t="shared" ref="AA8:AA34" si="3">D8/F8</f>
        <v>#DIV/0!</v>
      </c>
      <c r="AB8" s="1570" t="e">
        <f t="shared" ref="AB8:AB34" si="4">D8/H8</f>
        <v>#DIV/0!</v>
      </c>
      <c r="AC8" s="1570" t="e">
        <f t="shared" ref="AC8:AC34" si="5">D8/J8</f>
        <v>#DIV/0!</v>
      </c>
    </row>
    <row r="9" spans="1:29" s="1218" customFormat="1" ht="15">
      <c r="A9" s="2937"/>
      <c r="B9" s="2944" t="s">
        <v>2760</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9" t="s">
        <v>535</v>
      </c>
      <c r="Q9" s="1149" t="str">
        <f t="shared" ref="Q9:Q14" si="6">B9</f>
        <v>用途</v>
      </c>
      <c r="R9" s="1567" t="s">
        <v>8</v>
      </c>
      <c r="S9" s="1568">
        <f t="shared" si="0"/>
        <v>100</v>
      </c>
      <c r="T9" s="1567" t="s">
        <v>8</v>
      </c>
      <c r="U9" s="1568">
        <f t="shared" si="1"/>
        <v>100</v>
      </c>
      <c r="V9" s="1567" t="s">
        <v>8</v>
      </c>
      <c r="W9" s="1568">
        <f t="shared" si="2"/>
        <v>100</v>
      </c>
      <c r="X9" s="1569"/>
      <c r="Y9" s="3315" t="s">
        <v>536</v>
      </c>
      <c r="Z9" s="1148" t="str">
        <f t="shared" ref="Z9:Z14" si="7">Q9</f>
        <v>用途</v>
      </c>
      <c r="AA9" s="1570">
        <f t="shared" si="3"/>
        <v>1</v>
      </c>
      <c r="AB9" s="1570">
        <f t="shared" si="4"/>
        <v>1</v>
      </c>
      <c r="AC9" s="1570">
        <f t="shared" si="5"/>
        <v>1</v>
      </c>
    </row>
    <row r="10" spans="1:29" s="1336" customFormat="1" ht="27">
      <c r="A10" s="2938"/>
      <c r="B10" s="2943" t="s">
        <v>2761</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9"/>
      <c r="Q10" s="1149" t="str">
        <f t="shared" si="6"/>
        <v>土地使用年限（年）</v>
      </c>
      <c r="R10" s="1567" t="s">
        <v>8</v>
      </c>
      <c r="S10" s="1568">
        <f t="shared" si="0"/>
        <v>100</v>
      </c>
      <c r="T10" s="1567" t="s">
        <v>8</v>
      </c>
      <c r="U10" s="1568">
        <f t="shared" si="1"/>
        <v>100</v>
      </c>
      <c r="V10" s="1567" t="s">
        <v>8</v>
      </c>
      <c r="W10" s="1568">
        <f t="shared" si="2"/>
        <v>100</v>
      </c>
      <c r="X10" s="1569"/>
      <c r="Y10" s="3315"/>
      <c r="Z10" s="1148"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9"/>
      <c r="Q11" s="1149">
        <f t="shared" si="6"/>
        <v>111</v>
      </c>
      <c r="R11" s="1567" t="s">
        <v>8</v>
      </c>
      <c r="S11" s="1568">
        <f t="shared" si="0"/>
        <v>100</v>
      </c>
      <c r="T11" s="1567" t="s">
        <v>8</v>
      </c>
      <c r="U11" s="1568">
        <f t="shared" si="1"/>
        <v>100</v>
      </c>
      <c r="V11" s="1567" t="s">
        <v>8</v>
      </c>
      <c r="W11" s="1568">
        <f t="shared" si="2"/>
        <v>100</v>
      </c>
      <c r="X11" s="1569"/>
      <c r="Y11" s="3315"/>
      <c r="Z11" s="1148">
        <f t="shared" si="7"/>
        <v>111</v>
      </c>
      <c r="AA11" s="1570">
        <f t="shared" si="3"/>
        <v>1</v>
      </c>
      <c r="AB11" s="1570">
        <f t="shared" si="4"/>
        <v>1</v>
      </c>
      <c r="AC11" s="1570">
        <f t="shared" si="5"/>
        <v>1</v>
      </c>
    </row>
    <row r="12" spans="1:29" s="1218"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9"/>
      <c r="Q12" s="1149">
        <f t="shared" si="6"/>
        <v>111</v>
      </c>
      <c r="R12" s="1567" t="s">
        <v>8</v>
      </c>
      <c r="S12" s="1568">
        <f t="shared" si="0"/>
        <v>100</v>
      </c>
      <c r="T12" s="1567" t="s">
        <v>8</v>
      </c>
      <c r="U12" s="1568">
        <f t="shared" si="1"/>
        <v>100</v>
      </c>
      <c r="V12" s="1567" t="s">
        <v>8</v>
      </c>
      <c r="W12" s="1568">
        <f t="shared" si="2"/>
        <v>100</v>
      </c>
      <c r="X12" s="1569"/>
      <c r="Y12" s="3315"/>
      <c r="Z12" s="1148">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9"/>
      <c r="Q13" s="1149">
        <f t="shared" si="6"/>
        <v>111</v>
      </c>
      <c r="R13" s="1567" t="s">
        <v>8</v>
      </c>
      <c r="S13" s="1568">
        <f t="shared" si="0"/>
        <v>100</v>
      </c>
      <c r="T13" s="1567" t="s">
        <v>8</v>
      </c>
      <c r="U13" s="1568">
        <f t="shared" si="1"/>
        <v>100</v>
      </c>
      <c r="V13" s="1567" t="s">
        <v>8</v>
      </c>
      <c r="W13" s="1568">
        <f t="shared" si="2"/>
        <v>100</v>
      </c>
      <c r="X13" s="1569"/>
      <c r="Y13" s="3315"/>
      <c r="Z13" s="1148">
        <f t="shared" si="7"/>
        <v>111</v>
      </c>
      <c r="AA13" s="1570">
        <f t="shared" si="3"/>
        <v>1</v>
      </c>
      <c r="AB13" s="1570">
        <f t="shared" si="4"/>
        <v>1</v>
      </c>
      <c r="AC13" s="1570">
        <f t="shared" si="5"/>
        <v>1</v>
      </c>
    </row>
    <row r="14" spans="1:29" ht="85.5">
      <c r="A14" s="2933" t="s">
        <v>2758</v>
      </c>
      <c r="B14" s="165"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3" t="s">
        <v>540</v>
      </c>
      <c r="Q14" s="1571" t="str">
        <f t="shared" si="6"/>
        <v>交通便捷度</v>
      </c>
      <c r="R14" s="1572" t="s">
        <v>8</v>
      </c>
      <c r="S14" s="1573">
        <f t="shared" si="0"/>
        <v>100</v>
      </c>
      <c r="T14" s="1572" t="s">
        <v>8</v>
      </c>
      <c r="U14" s="1573">
        <f t="shared" si="1"/>
        <v>100</v>
      </c>
      <c r="V14" s="1572" t="s">
        <v>8</v>
      </c>
      <c r="W14" s="1573">
        <f t="shared" si="2"/>
        <v>100</v>
      </c>
      <c r="X14" s="1566"/>
      <c r="Y14" s="3403"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4"/>
      <c r="Q15" s="1571"/>
      <c r="R15" s="1572"/>
      <c r="S15" s="1573"/>
      <c r="T15" s="1572"/>
      <c r="U15" s="1573"/>
      <c r="V15" s="1572"/>
      <c r="W15" s="1573"/>
      <c r="X15" s="1566"/>
      <c r="Y15" s="3404"/>
      <c r="Z15" s="1574"/>
      <c r="AA15" s="1575">
        <v>1</v>
      </c>
      <c r="AB15" s="1575">
        <v>1</v>
      </c>
      <c r="AC15" s="1575">
        <v>1</v>
      </c>
    </row>
    <row r="16" spans="1:29" ht="42.75">
      <c r="A16" s="531"/>
      <c r="B16" s="2627" t="s">
        <v>2550</v>
      </c>
      <c r="C16" s="871" t="str">
        <f>IF(B1="工业",估价对象房地状况!G5,估价对象房地状况!C7)</f>
        <v>估价对象所在区域公共配套设施齐备</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4"/>
      <c r="Q16" s="1571" t="str">
        <f>B16</f>
        <v>公共配套设施</v>
      </c>
      <c r="R16" s="1572" t="s">
        <v>8</v>
      </c>
      <c r="S16" s="1573">
        <f>F16</f>
        <v>100</v>
      </c>
      <c r="T16" s="1572" t="s">
        <v>8</v>
      </c>
      <c r="U16" s="1573">
        <f>H16</f>
        <v>100</v>
      </c>
      <c r="V16" s="1572" t="s">
        <v>8</v>
      </c>
      <c r="W16" s="1573">
        <f>J16</f>
        <v>100</v>
      </c>
      <c r="X16" s="1566"/>
      <c r="Y16" s="340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4"/>
      <c r="Q17" s="1571"/>
      <c r="R17" s="1572"/>
      <c r="S17" s="1573"/>
      <c r="T17" s="1572"/>
      <c r="U17" s="1573"/>
      <c r="V17" s="1572"/>
      <c r="W17" s="1573"/>
      <c r="X17" s="1566"/>
      <c r="Y17" s="3404"/>
      <c r="Z17" s="1574"/>
      <c r="AA17" s="1575">
        <v>1</v>
      </c>
      <c r="AB17" s="1575">
        <v>1</v>
      </c>
      <c r="AC17" s="1575">
        <v>1</v>
      </c>
    </row>
    <row r="18" spans="1:29" ht="42.75">
      <c r="A18" s="531"/>
      <c r="B18" s="2615" t="s">
        <v>2562</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4"/>
      <c r="Q18" s="2603" t="str">
        <f>B18</f>
        <v>基础设施水平</v>
      </c>
      <c r="R18" s="1572" t="s">
        <v>8</v>
      </c>
      <c r="S18" s="1573">
        <f>F18</f>
        <v>100</v>
      </c>
      <c r="T18" s="1572" t="s">
        <v>8</v>
      </c>
      <c r="U18" s="1573">
        <f>H18</f>
        <v>100</v>
      </c>
      <c r="V18" s="1572" t="s">
        <v>8</v>
      </c>
      <c r="W18" s="1573">
        <f>J18</f>
        <v>100</v>
      </c>
      <c r="X18" s="2605"/>
      <c r="Y18" s="3404"/>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04"/>
      <c r="Q19" s="2603"/>
      <c r="R19" s="1572"/>
      <c r="S19" s="1573"/>
      <c r="T19" s="1572"/>
      <c r="U19" s="1573"/>
      <c r="V19" s="1572"/>
      <c r="W19" s="1573"/>
      <c r="X19" s="2605"/>
      <c r="Y19" s="3404"/>
      <c r="Z19" s="2604"/>
      <c r="AA19" s="1575">
        <v>1</v>
      </c>
      <c r="AB19" s="1575">
        <v>1</v>
      </c>
      <c r="AC19" s="1575">
        <v>1</v>
      </c>
    </row>
    <row r="20" spans="1:29" ht="57">
      <c r="A20" s="531"/>
      <c r="B20" s="870" t="s">
        <v>804</v>
      </c>
      <c r="C20" s="871" t="str">
        <f>IF(B1="工业",估价对象房地状况!G7,估价对象房地状况!C9)</f>
        <v>区域自然环境较好；人文环境一般；综合评价环境状况较好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4"/>
      <c r="Q20" s="1571" t="str">
        <f>B20</f>
        <v>自然及人文环境</v>
      </c>
      <c r="R20" s="1572" t="s">
        <v>8</v>
      </c>
      <c r="S20" s="1573">
        <f>F20</f>
        <v>100</v>
      </c>
      <c r="T20" s="1572" t="s">
        <v>8</v>
      </c>
      <c r="U20" s="1573">
        <f>H20</f>
        <v>100</v>
      </c>
      <c r="V20" s="1572" t="s">
        <v>8</v>
      </c>
      <c r="W20" s="1573">
        <f>J20</f>
        <v>100</v>
      </c>
      <c r="X20" s="1566"/>
      <c r="Y20" s="340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4"/>
      <c r="Q21" s="1571"/>
      <c r="R21" s="1572"/>
      <c r="S21" s="1573"/>
      <c r="T21" s="1572"/>
      <c r="U21" s="1573"/>
      <c r="V21" s="1572"/>
      <c r="W21" s="1573"/>
      <c r="X21" s="1566"/>
      <c r="Y21" s="3404"/>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4"/>
      <c r="Q22" s="1571" t="str">
        <f>B22</f>
        <v>楼层</v>
      </c>
      <c r="R22" s="1572" t="s">
        <v>8</v>
      </c>
      <c r="S22" s="1573">
        <f>F22</f>
        <v>100</v>
      </c>
      <c r="T22" s="1572" t="s">
        <v>8</v>
      </c>
      <c r="U22" s="1573">
        <f>H22</f>
        <v>100</v>
      </c>
      <c r="V22" s="1572" t="s">
        <v>8</v>
      </c>
      <c r="W22" s="1573">
        <f>J22</f>
        <v>100</v>
      </c>
      <c r="X22" s="1566"/>
      <c r="Y22" s="340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4"/>
      <c r="Q23" s="1571">
        <f>B23</f>
        <v>111</v>
      </c>
      <c r="R23" s="1572" t="s">
        <v>8</v>
      </c>
      <c r="S23" s="1573">
        <f>F23</f>
        <v>100</v>
      </c>
      <c r="T23" s="1572" t="s">
        <v>8</v>
      </c>
      <c r="U23" s="1573">
        <f>H23</f>
        <v>100</v>
      </c>
      <c r="V23" s="1572" t="s">
        <v>8</v>
      </c>
      <c r="W23" s="1573">
        <f>J23</f>
        <v>100</v>
      </c>
      <c r="X23" s="1566"/>
      <c r="Y23" s="340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4"/>
      <c r="Q24" s="1571">
        <f t="shared" ref="Q24:Q34" si="11">B24</f>
        <v>111</v>
      </c>
      <c r="R24" s="1572" t="s">
        <v>8</v>
      </c>
      <c r="S24" s="1573">
        <f>F24</f>
        <v>100</v>
      </c>
      <c r="T24" s="1572" t="s">
        <v>8</v>
      </c>
      <c r="U24" s="1573">
        <f>H24</f>
        <v>100</v>
      </c>
      <c r="V24" s="1572" t="s">
        <v>8</v>
      </c>
      <c r="W24" s="1573">
        <f>J24</f>
        <v>100</v>
      </c>
      <c r="X24" s="1566"/>
      <c r="Y24" s="3404"/>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04"/>
      <c r="Q25" s="1149">
        <f t="shared" si="11"/>
        <v>111</v>
      </c>
      <c r="R25" s="1567" t="s">
        <v>8</v>
      </c>
      <c r="S25" s="1568">
        <f>F25</f>
        <v>100</v>
      </c>
      <c r="T25" s="1567" t="s">
        <v>8</v>
      </c>
      <c r="U25" s="1568">
        <f>H25</f>
        <v>100</v>
      </c>
      <c r="V25" s="1567" t="s">
        <v>8</v>
      </c>
      <c r="W25" s="1568">
        <f>J25</f>
        <v>100</v>
      </c>
      <c r="X25" s="1569"/>
      <c r="Y25" s="3404"/>
      <c r="Z25" s="1148">
        <f>Q25</f>
        <v>111</v>
      </c>
      <c r="AA25" s="1575">
        <f>D25/F25</f>
        <v>1</v>
      </c>
      <c r="AB25" s="1575">
        <f>D25/H25</f>
        <v>1</v>
      </c>
      <c r="AC25" s="1575">
        <f>D25/J25</f>
        <v>1</v>
      </c>
    </row>
    <row r="26" spans="1:29" ht="15">
      <c r="A26" s="2931" t="s">
        <v>2759</v>
      </c>
      <c r="B26" s="171" t="s">
        <v>808</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0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6" t="s">
        <v>821</v>
      </c>
      <c r="Z26" s="1574" t="str">
        <f t="shared" ref="Z26:Z34" si="15">Q26</f>
        <v>公共部分装修</v>
      </c>
      <c r="AA26" s="1575">
        <f t="shared" si="3"/>
        <v>1</v>
      </c>
      <c r="AB26" s="1575">
        <f t="shared" si="4"/>
        <v>1</v>
      </c>
      <c r="AC26" s="1575">
        <f t="shared" si="5"/>
        <v>1</v>
      </c>
    </row>
    <row r="27" spans="1:29" s="1337"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6"/>
      <c r="Q27" s="1604" t="str">
        <f t="shared" si="11"/>
        <v>成新率</v>
      </c>
      <c r="R27" s="1576" t="s">
        <v>8</v>
      </c>
      <c r="S27" s="1577" t="e">
        <f t="shared" si="12"/>
        <v>#N/A</v>
      </c>
      <c r="T27" s="1576" t="s">
        <v>8</v>
      </c>
      <c r="U27" s="1577" t="e">
        <f t="shared" si="13"/>
        <v>#N/A</v>
      </c>
      <c r="V27" s="1576" t="s">
        <v>8</v>
      </c>
      <c r="W27" s="1577" t="e">
        <f t="shared" si="14"/>
        <v>#N/A</v>
      </c>
      <c r="X27" s="1578"/>
      <c r="Y27" s="3406"/>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6"/>
      <c r="Q28" s="1571" t="str">
        <f t="shared" si="11"/>
        <v>物业等级</v>
      </c>
      <c r="R28" s="1572" t="s">
        <v>8</v>
      </c>
      <c r="S28" s="1573">
        <f t="shared" si="12"/>
        <v>100</v>
      </c>
      <c r="T28" s="1572" t="s">
        <v>8</v>
      </c>
      <c r="U28" s="1573">
        <f t="shared" si="13"/>
        <v>100</v>
      </c>
      <c r="V28" s="1572" t="s">
        <v>8</v>
      </c>
      <c r="W28" s="1573">
        <f t="shared" si="14"/>
        <v>100</v>
      </c>
      <c r="X28" s="1566"/>
      <c r="Y28" s="3406"/>
      <c r="Z28" s="1574" t="str">
        <f t="shared" si="15"/>
        <v>物业等级</v>
      </c>
      <c r="AA28" s="1575">
        <f t="shared" si="3"/>
        <v>1</v>
      </c>
      <c r="AB28" s="1575">
        <f t="shared" si="4"/>
        <v>1</v>
      </c>
      <c r="AC28" s="1575">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06"/>
      <c r="Q29" s="1571" t="str">
        <f t="shared" si="11"/>
        <v>有无电梯</v>
      </c>
      <c r="R29" s="1572" t="s">
        <v>8</v>
      </c>
      <c r="S29" s="1573">
        <f t="shared" si="12"/>
        <v>100</v>
      </c>
      <c r="T29" s="1572" t="s">
        <v>8</v>
      </c>
      <c r="U29" s="1573">
        <f t="shared" si="13"/>
        <v>100</v>
      </c>
      <c r="V29" s="1572" t="s">
        <v>8</v>
      </c>
      <c r="W29" s="1573">
        <f t="shared" si="14"/>
        <v>100</v>
      </c>
      <c r="X29" s="1566"/>
      <c r="Y29" s="3406"/>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6"/>
      <c r="Q30" s="1571" t="str">
        <f t="shared" si="11"/>
        <v>建筑面积</v>
      </c>
      <c r="R30" s="1572" t="s">
        <v>8</v>
      </c>
      <c r="S30" s="1573" t="e">
        <f t="shared" si="12"/>
        <v>#N/A</v>
      </c>
      <c r="T30" s="1572" t="s">
        <v>8</v>
      </c>
      <c r="U30" s="1573" t="e">
        <f t="shared" si="13"/>
        <v>#N/A</v>
      </c>
      <c r="V30" s="1572" t="s">
        <v>8</v>
      </c>
      <c r="W30" s="1573" t="e">
        <f t="shared" si="14"/>
        <v>#N/A</v>
      </c>
      <c r="X30" s="1566"/>
      <c r="Y30" s="3406"/>
      <c r="Z30" s="1574" t="str">
        <f t="shared" si="15"/>
        <v>建筑面积</v>
      </c>
      <c r="AA30" s="1575" t="e">
        <f t="shared" si="3"/>
        <v>#N/A</v>
      </c>
      <c r="AB30" s="1575" t="e">
        <f t="shared" si="4"/>
        <v>#N/A</v>
      </c>
      <c r="AC30" s="1575" t="e">
        <f t="shared" si="5"/>
        <v>#N/A</v>
      </c>
    </row>
    <row r="31" spans="1:29" s="1218"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06"/>
      <c r="Q31" s="1149" t="str">
        <f t="shared" si="11"/>
        <v>是否封闭</v>
      </c>
      <c r="R31" s="1567" t="s">
        <v>8</v>
      </c>
      <c r="S31" s="1568">
        <f t="shared" si="12"/>
        <v>100</v>
      </c>
      <c r="T31" s="1567" t="s">
        <v>8</v>
      </c>
      <c r="U31" s="1568">
        <f t="shared" si="13"/>
        <v>100</v>
      </c>
      <c r="V31" s="1567" t="s">
        <v>8</v>
      </c>
      <c r="W31" s="1568">
        <f t="shared" si="14"/>
        <v>100</v>
      </c>
      <c r="X31" s="1569"/>
      <c r="Y31" s="3406"/>
      <c r="Z31" s="1148"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6" t="s">
        <v>550</v>
      </c>
      <c r="Q32" s="1571">
        <f t="shared" si="11"/>
        <v>111</v>
      </c>
      <c r="R32" s="1572" t="s">
        <v>8</v>
      </c>
      <c r="S32" s="1573">
        <f t="shared" si="12"/>
        <v>100</v>
      </c>
      <c r="T32" s="1572" t="s">
        <v>8</v>
      </c>
      <c r="U32" s="1573">
        <f t="shared" si="13"/>
        <v>100</v>
      </c>
      <c r="V32" s="1572" t="s">
        <v>8</v>
      </c>
      <c r="W32" s="1573">
        <f t="shared" si="14"/>
        <v>100</v>
      </c>
      <c r="X32" s="1566"/>
      <c r="Y32" s="3406"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6"/>
      <c r="Q33" s="1571">
        <f t="shared" si="11"/>
        <v>111</v>
      </c>
      <c r="R33" s="1572" t="s">
        <v>8</v>
      </c>
      <c r="S33" s="1573">
        <f t="shared" si="12"/>
        <v>100</v>
      </c>
      <c r="T33" s="1572" t="s">
        <v>8</v>
      </c>
      <c r="U33" s="1573">
        <f t="shared" si="13"/>
        <v>100</v>
      </c>
      <c r="V33" s="1572" t="s">
        <v>8</v>
      </c>
      <c r="W33" s="1573">
        <f t="shared" si="14"/>
        <v>100</v>
      </c>
      <c r="X33" s="1566"/>
      <c r="Y33" s="3406"/>
      <c r="Z33" s="1574">
        <f t="shared" si="15"/>
        <v>111</v>
      </c>
      <c r="AA33" s="1575">
        <f t="shared" si="3"/>
        <v>1</v>
      </c>
      <c r="AB33" s="1575">
        <f t="shared" si="4"/>
        <v>1</v>
      </c>
      <c r="AC33" s="1575">
        <f t="shared" si="5"/>
        <v>1</v>
      </c>
    </row>
    <row r="34" spans="1:29" ht="15.75" thickBot="1">
      <c r="A34" s="885"/>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06"/>
      <c r="Q34" s="1571">
        <f t="shared" si="11"/>
        <v>111</v>
      </c>
      <c r="R34" s="1572" t="s">
        <v>8</v>
      </c>
      <c r="S34" s="1573">
        <f t="shared" si="12"/>
        <v>100</v>
      </c>
      <c r="T34" s="1572" t="s">
        <v>8</v>
      </c>
      <c r="U34" s="1573">
        <f t="shared" si="13"/>
        <v>100</v>
      </c>
      <c r="V34" s="1572" t="s">
        <v>8</v>
      </c>
      <c r="W34" s="1573">
        <f t="shared" si="14"/>
        <v>100</v>
      </c>
      <c r="X34" s="1566"/>
      <c r="Y34" s="3406"/>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369" t="str">
        <f>A35</f>
        <v>成交单价（元/平方米）</v>
      </c>
      <c r="Q35" s="3369"/>
      <c r="R35" s="3408">
        <f>E35</f>
        <v>0</v>
      </c>
      <c r="S35" s="3408"/>
      <c r="T35" s="3408">
        <f>G35</f>
        <v>0</v>
      </c>
      <c r="U35" s="3408"/>
      <c r="V35" s="3408">
        <f>I35</f>
        <v>0</v>
      </c>
      <c r="W35" s="3408"/>
      <c r="X35" s="1558"/>
      <c r="Y35" s="1580"/>
      <c r="Z35" s="1558"/>
      <c r="AA35" s="1558"/>
      <c r="AB35" s="1558"/>
      <c r="AC35" s="1558"/>
    </row>
    <row r="36" spans="1:29" ht="15.75" thickBot="1">
      <c r="A36" s="614" t="s">
        <v>2764</v>
      </c>
      <c r="B36" s="887"/>
      <c r="C36" s="2657" t="e">
        <f>R37</f>
        <v>#DIV/0!</v>
      </c>
      <c r="D36" s="2658"/>
      <c r="E36" s="2659" t="e">
        <f>R36</f>
        <v>#DIV/0!</v>
      </c>
      <c r="F36" s="2659"/>
      <c r="G36" s="2657" t="e">
        <f>T36</f>
        <v>#DIV/0!</v>
      </c>
      <c r="H36" s="2658"/>
      <c r="I36" s="2659" t="e">
        <f>V36</f>
        <v>#DIV/0!</v>
      </c>
      <c r="J36" s="2658"/>
      <c r="K36" s="1611"/>
      <c r="L36" s="2144"/>
      <c r="M36" s="2145"/>
      <c r="N36" s="2134"/>
      <c r="O36" s="2145"/>
      <c r="P36" s="3369" t="str">
        <f>A36</f>
        <v>比较价格（元/平方米）</v>
      </c>
      <c r="Q36" s="3369"/>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1558"/>
      <c r="Y36" s="1558"/>
      <c r="Z36" s="1558"/>
      <c r="AA36" s="1558"/>
      <c r="AB36" s="1558"/>
      <c r="AC36" s="1558"/>
    </row>
    <row r="37" spans="1:29" ht="15.75" thickBot="1">
      <c r="A37" s="620" t="s">
        <v>2936</v>
      </c>
      <c r="B37" s="621"/>
      <c r="C37" s="2660" t="e">
        <f>R37</f>
        <v>#DIV/0!</v>
      </c>
      <c r="D37" s="2660"/>
      <c r="E37" s="2660"/>
      <c r="F37" s="2660"/>
      <c r="G37" s="2660"/>
      <c r="H37" s="2660"/>
      <c r="I37" s="2660"/>
      <c r="J37" s="2660"/>
      <c r="K37" s="1612"/>
      <c r="L37" s="2144"/>
      <c r="M37" s="2145"/>
      <c r="N37" s="2145"/>
      <c r="O37" s="2145"/>
      <c r="P37" s="3366" t="str">
        <f>A37</f>
        <v>估价对象XX用房的比较价格（楼面单价，元/平方米）</v>
      </c>
      <c r="Q37" s="3367"/>
      <c r="R37" s="3407" t="e">
        <f>IF(F1="售价",ROUND(AVERAGE(R36:V36),0),ROUND(AVERAGE(R36:V36),1))</f>
        <v>#DIV/0!</v>
      </c>
      <c r="S37" s="3407"/>
      <c r="T37" s="3407"/>
      <c r="U37" s="3407"/>
      <c r="V37" s="3407"/>
      <c r="W37" s="340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2561</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2562</v>
      </c>
      <c r="C65" s="2622" t="s">
        <v>2563</v>
      </c>
      <c r="D65" s="2622" t="s">
        <v>2564</v>
      </c>
      <c r="E65" s="2622" t="s">
        <v>2565</v>
      </c>
      <c r="F65" s="2622" t="s">
        <v>2566</v>
      </c>
      <c r="G65" s="2622" t="s">
        <v>2567</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苏州市梁雨庭置业有限公司：</v>
      </c>
    </row>
    <row r="4" spans="1:4" ht="56.25">
      <c r="A4" s="1791" t="str">
        <f>"受贵公司委托，我公司对"&amp;项目基本情况!K2&amp;项目基本情况!B9&amp;"进行了预评估。"</f>
        <v>受贵公司委托，我公司对江苏省宜兴市环科园绿园路北侧兴业路东侧一宗住宅、商业及地下车库用途出让国有建设用地使用权出让国有建设用地使用权抵押价格进行了预评估。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宜兴市环科园绿园路北侧兴业路东侧一宗住宅、商业及地下车库用途出让国有建设用地使用权出让国有建设用地使用权。根据《国有土地使用证》[]，估价对象（分摊）出让国有建设用地使用权面积为25829平方米。根据《建设工程规划许可证》[]、《出让合同》[]，估价对象规划建筑面积为53350.36平方米。</v>
      </c>
    </row>
    <row r="7" spans="1:4" ht="93.75">
      <c r="A7" s="2897" t="s">
        <v>2752</v>
      </c>
    </row>
    <row r="8" spans="1:4" ht="18.75">
      <c r="A8" s="1794" t="s">
        <v>1907</v>
      </c>
    </row>
    <row r="9" spans="1:4" ht="75">
      <c r="A9" s="1796"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2018年5月29日（评估专业人员勘察现场之日）</v>
      </c>
    </row>
    <row r="12" spans="1:4" ht="18.75">
      <c r="A12" s="1797" t="s">
        <v>2028</v>
      </c>
    </row>
    <row r="13" spans="1:4" ht="18.75">
      <c r="A13" s="1791" t="s">
        <v>2074</v>
      </c>
    </row>
    <row r="14" spans="1:4" ht="18.75">
      <c r="A14" s="1791" t="str">
        <f>"根据"&amp;项目基本情况!F12&amp;"，本次评估估价对象证载（地类）用途为"&amp;项目基本情况!B12&amp;"。"</f>
        <v>根据，本次评估估价对象证载（地类）用途为住宅。</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根据《国有土地使用证》[]，估价对象（分摊）出让国有建设用地使用权面积为25829平方米。根据《建设工程规划许可证》[]、《出让合同》[]，估价对象规划建筑面积为53350.36平方米。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9" t="s">
        <v>2753</v>
      </c>
    </row>
    <row r="24" spans="1:1" ht="18.75">
      <c r="A24" s="1791" t="s">
        <v>2078</v>
      </c>
    </row>
    <row r="25" spans="1:1" ht="93.75">
      <c r="A25" s="1791" t="str">
        <f>定义!C53</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2306</v>
      </c>
      <c r="C1" s="3493" t="s">
        <v>2307</v>
      </c>
      <c r="D1" s="3494"/>
      <c r="E1" s="3494"/>
      <c r="F1" s="3494"/>
      <c r="G1" s="3494"/>
      <c r="H1" s="3494"/>
      <c r="I1" s="3494"/>
      <c r="J1" s="3494"/>
      <c r="K1" s="3494"/>
      <c r="L1" s="3494"/>
      <c r="M1" s="3494"/>
      <c r="N1" s="3494"/>
      <c r="O1" s="3494"/>
      <c r="P1" s="3494"/>
      <c r="Q1" s="3494"/>
      <c r="R1" s="3494"/>
      <c r="S1" s="3495"/>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1" t="s">
        <v>2929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3" t="s">
        <v>2928</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3" t="s">
        <v>2927</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1" t="s">
        <v>2942</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1" t="s">
        <v>2926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1" t="s">
        <v>2925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490" t="s">
        <v>20</v>
      </c>
      <c r="D22" s="3491"/>
      <c r="E22" s="3491"/>
      <c r="F22" s="3491"/>
      <c r="G22" s="3491"/>
      <c r="H22" s="3491"/>
      <c r="I22" s="3491"/>
      <c r="J22" s="3491"/>
      <c r="K22" s="3491"/>
      <c r="L22" s="3491"/>
      <c r="M22" s="3491"/>
      <c r="N22" s="3491"/>
      <c r="O22" s="3491"/>
      <c r="P22" s="3491"/>
      <c r="Q22" s="3492"/>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2792</v>
      </c>
      <c r="C1" s="3027">
        <f>项目基本情况!D3</f>
        <v>43249</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2823</v>
      </c>
      <c r="C2" s="3028">
        <f>'数据-取费表'!B22</f>
        <v>2</v>
      </c>
      <c r="D2" s="3023" t="s">
        <v>2793</v>
      </c>
      <c r="E2" s="3026">
        <f ca="1">INDIRECT("I"&amp;$I$1)/100</f>
        <v>4.7500000000000001E-2</v>
      </c>
      <c r="G2" s="2963"/>
      <c r="H2" s="2963"/>
      <c r="I2" s="2963" t="s">
        <v>2794</v>
      </c>
      <c r="K2" s="2963"/>
      <c r="L2" s="2963"/>
      <c r="M2" s="2963"/>
      <c r="N2" s="2963" t="s">
        <v>2795</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2825</v>
      </c>
      <c r="C3" s="3025">
        <f>'数据-取费表'!B19</f>
        <v>0</v>
      </c>
      <c r="D3" s="3023" t="s">
        <v>2793</v>
      </c>
      <c r="E3" s="3026">
        <f ca="1">INDIRECT("J"&amp;$J$1)/100</f>
        <v>0</v>
      </c>
      <c r="G3" s="2965" t="s">
        <v>2796</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2824</v>
      </c>
      <c r="C4" s="3026">
        <f ca="1">N4/100</f>
        <v>1.4999999999999999E-2</v>
      </c>
      <c r="G4" s="2971" t="s">
        <v>2797</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2798</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2799</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2800</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2801</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2802</v>
      </c>
      <c r="C10" s="2990"/>
      <c r="D10" s="2990"/>
      <c r="E10" s="2990"/>
      <c r="F10" s="2990"/>
      <c r="G10" s="2990"/>
      <c r="H10" s="2990"/>
      <c r="I10" s="2964"/>
      <c r="J10" s="2964"/>
      <c r="K10" s="2990"/>
      <c r="L10" s="2991" t="s">
        <v>2803</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2804</v>
      </c>
      <c r="C11" s="2995" t="s">
        <v>2805</v>
      </c>
      <c r="D11" s="2996" t="s">
        <v>2806</v>
      </c>
      <c r="E11" s="2997"/>
      <c r="F11" s="2996" t="s">
        <v>2807</v>
      </c>
      <c r="G11" s="2998"/>
      <c r="H11" s="2997"/>
      <c r="I11" s="2996" t="s">
        <v>2808</v>
      </c>
      <c r="J11" s="2997"/>
      <c r="K11" s="2993"/>
      <c r="L11" s="2994" t="s">
        <v>2804</v>
      </c>
      <c r="M11" s="2995" t="s">
        <v>2805</v>
      </c>
      <c r="N11" s="2994" t="s">
        <v>2809</v>
      </c>
      <c r="O11" s="2996" t="s">
        <v>2810</v>
      </c>
      <c r="P11" s="2998"/>
      <c r="Q11" s="2998"/>
      <c r="R11" s="2998"/>
      <c r="S11" s="2998"/>
      <c r="T11" s="2997"/>
      <c r="U11" s="2996" t="s">
        <v>2811</v>
      </c>
      <c r="V11" s="2998"/>
      <c r="W11" s="2997"/>
      <c r="X11" s="2994" t="s">
        <v>2812</v>
      </c>
      <c r="Y11" s="2994" t="s">
        <v>2813</v>
      </c>
      <c r="Z11" s="2994" t="s">
        <v>2814</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2815</v>
      </c>
      <c r="E12" s="3003" t="s">
        <v>2816</v>
      </c>
      <c r="F12" s="3003" t="s">
        <v>2817</v>
      </c>
      <c r="G12" s="3003" t="s">
        <v>2818</v>
      </c>
      <c r="H12" s="3003" t="s">
        <v>2800</v>
      </c>
      <c r="I12" s="3004" t="s">
        <v>2819</v>
      </c>
      <c r="J12" s="3004" t="s">
        <v>2819</v>
      </c>
      <c r="K12" s="3000"/>
      <c r="L12" s="3001"/>
      <c r="M12" s="3002"/>
      <c r="N12" s="3001"/>
      <c r="O12" s="3004" t="s">
        <v>2820</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2821</v>
      </c>
      <c r="C13" s="3008">
        <v>42301</v>
      </c>
      <c r="D13" s="3009">
        <v>4.3499999999999996</v>
      </c>
      <c r="E13" s="3009">
        <v>4.3499999999999996</v>
      </c>
      <c r="F13" s="3009">
        <v>4.75</v>
      </c>
      <c r="G13" s="3009">
        <v>4.75</v>
      </c>
      <c r="H13" s="3009">
        <v>4.9000000000000004</v>
      </c>
      <c r="I13" s="3009">
        <v>2.75</v>
      </c>
      <c r="J13" s="3009">
        <v>3.25</v>
      </c>
      <c r="K13" s="3006"/>
      <c r="L13" s="3007" t="s">
        <v>2821</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2822</v>
      </c>
      <c r="Y42" s="3013" t="s">
        <v>2822</v>
      </c>
      <c r="Z42" s="3013" t="s">
        <v>2822</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2822</v>
      </c>
      <c r="Y43" s="3013" t="s">
        <v>2822</v>
      </c>
      <c r="Z43" s="3013" t="s">
        <v>2822</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2822</v>
      </c>
      <c r="Y44" s="3013" t="s">
        <v>2822</v>
      </c>
      <c r="Z44" s="3013" t="s">
        <v>2822</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2822</v>
      </c>
      <c r="Y45" s="3013" t="s">
        <v>2822</v>
      </c>
      <c r="Z45" s="3013" t="s">
        <v>2822</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2822</v>
      </c>
      <c r="Y46" s="3013" t="s">
        <v>2822</v>
      </c>
      <c r="Z46" s="3013" t="s">
        <v>2822</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2822</v>
      </c>
      <c r="Y47" s="3013" t="s">
        <v>2822</v>
      </c>
      <c r="Z47" s="3013" t="s">
        <v>2822</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2822</v>
      </c>
      <c r="Y48" s="3013" t="s">
        <v>2822</v>
      </c>
      <c r="Z48" s="3013" t="s">
        <v>2822</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2822</v>
      </c>
      <c r="Y49" s="3013" t="s">
        <v>2822</v>
      </c>
      <c r="Z49" s="3013" t="s">
        <v>2822</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2822</v>
      </c>
      <c r="Y50" s="3013" t="s">
        <v>2822</v>
      </c>
      <c r="Z50" s="3013" t="s">
        <v>2822</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2822</v>
      </c>
      <c r="V51" s="3013" t="s">
        <v>2822</v>
      </c>
      <c r="W51" s="3013" t="s">
        <v>2822</v>
      </c>
      <c r="X51" s="3013" t="s">
        <v>2822</v>
      </c>
      <c r="Y51" s="3013" t="s">
        <v>2822</v>
      </c>
      <c r="Z51" s="3013" t="s">
        <v>2822</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2822</v>
      </c>
      <c r="J55" s="3013" t="s">
        <v>2822</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2041</v>
      </c>
      <c r="B1" s="3206"/>
      <c r="C1" s="3206"/>
      <c r="D1" s="3206"/>
      <c r="E1" s="3206"/>
      <c r="F1" s="3206"/>
      <c r="G1" s="3206"/>
      <c r="H1" s="3206"/>
      <c r="I1" s="3206"/>
      <c r="J1" s="3206"/>
      <c r="K1" s="3206"/>
      <c r="L1" s="3206"/>
      <c r="M1" s="3206"/>
      <c r="N1" s="3206"/>
      <c r="O1" s="3206"/>
      <c r="P1" s="3206"/>
      <c r="Q1" s="3206"/>
      <c r="R1" s="3206"/>
    </row>
    <row r="2" spans="1:18">
      <c r="A2" s="1807" t="s">
        <v>2043</v>
      </c>
      <c r="B2" s="1807"/>
      <c r="C2" s="1807"/>
      <c r="D2" s="1807"/>
      <c r="E2" s="1807"/>
      <c r="F2" s="1807"/>
      <c r="G2" s="1807"/>
      <c r="H2" s="1807"/>
      <c r="I2" s="1808"/>
      <c r="J2" s="1808"/>
      <c r="K2" s="1809" t="str">
        <f>"估价期日："&amp;TEXT(项目基本情况!D3,"yyyy年m月d日;;")</f>
        <v>估价期日：2018年5月29日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7" t="s">
        <v>2032</v>
      </c>
      <c r="B3" s="3207" t="s">
        <v>2735</v>
      </c>
      <c r="C3" s="3208" t="s">
        <v>2033</v>
      </c>
      <c r="D3" s="3207" t="s">
        <v>2739</v>
      </c>
      <c r="E3" s="3202" t="s">
        <v>2034</v>
      </c>
      <c r="F3" s="3202"/>
      <c r="G3" s="3202"/>
      <c r="H3" s="3202" t="s">
        <v>2035</v>
      </c>
      <c r="I3" s="3202"/>
      <c r="J3" s="3202"/>
      <c r="K3" s="3208" t="s">
        <v>2036</v>
      </c>
      <c r="L3" s="3208" t="s">
        <v>2037</v>
      </c>
      <c r="M3" s="3207" t="s">
        <v>2736</v>
      </c>
      <c r="N3" s="3209" t="str">
        <f>"（分摊）"&amp;项目基本情况!B16&amp;"国有建设用地使用权面积/㎡"</f>
        <v>（分摊）出让国有建设用地使用权面积/㎡</v>
      </c>
      <c r="O3" s="3207" t="s">
        <v>2066</v>
      </c>
      <c r="P3" s="3208" t="s">
        <v>2046</v>
      </c>
      <c r="Q3" s="3208" t="s">
        <v>2067</v>
      </c>
      <c r="R3" s="3208" t="s">
        <v>2038</v>
      </c>
    </row>
    <row r="4" spans="1:18" ht="36.75" customHeight="1">
      <c r="A4" s="3207"/>
      <c r="B4" s="3207"/>
      <c r="C4" s="3208"/>
      <c r="D4" s="3207"/>
      <c r="E4" s="2673" t="s">
        <v>2045</v>
      </c>
      <c r="F4" s="2673" t="s">
        <v>2748</v>
      </c>
      <c r="G4" s="2673" t="s">
        <v>2039</v>
      </c>
      <c r="H4" s="2673" t="s">
        <v>2040</v>
      </c>
      <c r="I4" s="2673" t="s">
        <v>2749</v>
      </c>
      <c r="J4" s="2673" t="s">
        <v>2039</v>
      </c>
      <c r="K4" s="3208"/>
      <c r="L4" s="3208"/>
      <c r="M4" s="3207"/>
      <c r="N4" s="3209"/>
      <c r="O4" s="3207"/>
      <c r="P4" s="3208"/>
      <c r="Q4" s="3208"/>
      <c r="R4" s="3208"/>
    </row>
    <row r="5" spans="1:18" ht="135" customHeight="1">
      <c r="A5" s="1943" t="s">
        <v>2659</v>
      </c>
      <c r="B5" s="2891" t="s">
        <v>2657</v>
      </c>
      <c r="C5" s="2672">
        <v>22</v>
      </c>
      <c r="D5" s="2671" t="s">
        <v>2658</v>
      </c>
      <c r="E5" s="1810" t="str">
        <f>项目基本情况!B12</f>
        <v>住宅</v>
      </c>
      <c r="F5" s="2671">
        <v>258</v>
      </c>
      <c r="G5" s="1810" t="str">
        <f>项目基本情况!B13</f>
        <v>住宅、商业、地下车库</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t="str">
        <f>IF(项目基本情况!B16="出让",项目基本情况!D20,"——")</f>
        <v>住宅69.9年，商业39.9年，地下车库49.9年</v>
      </c>
      <c r="N5" s="1810">
        <f>项目基本情况!C22</f>
        <v>25829</v>
      </c>
      <c r="O5" s="1810">
        <f>项目基本情况!C21</f>
        <v>53350.36</v>
      </c>
      <c r="P5" s="1810">
        <f ca="1">结果表!E42</f>
        <v>10874</v>
      </c>
      <c r="Q5" s="1810">
        <f ca="1">结果表!D42</f>
        <v>5265</v>
      </c>
      <c r="R5" s="1811">
        <f ca="1">结果表!C42</f>
        <v>28087</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2">
        <f ca="1">结果表!O39</f>
        <v>28087</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2"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1" t="s">
        <v>2068</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2069</v>
      </c>
      <c r="B5" s="3210"/>
      <c r="C5" s="3210"/>
      <c r="D5" s="3210"/>
    </row>
    <row r="6" spans="1:4">
      <c r="A6" s="3211" t="s">
        <v>2047</v>
      </c>
      <c r="B6" s="3211"/>
      <c r="C6" s="3211"/>
      <c r="D6" s="3211"/>
    </row>
    <row r="7" spans="1:4" ht="33" customHeight="1">
      <c r="A7" s="3211" t="s">
        <v>2579</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v>
      </c>
      <c r="B11" s="3213"/>
      <c r="C11" s="3213"/>
      <c r="D11" s="3213"/>
    </row>
    <row r="12" spans="1:4" ht="168" customHeight="1">
      <c r="A12" s="3210" t="s">
        <v>2071</v>
      </c>
      <c r="B12" s="3210"/>
      <c r="C12" s="3210"/>
      <c r="D12" s="3210"/>
    </row>
    <row r="13" spans="1:4">
      <c r="A13" s="3214" t="s">
        <v>2750</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2706</v>
      </c>
      <c r="B17" s="3211"/>
      <c r="C17" s="3211"/>
      <c r="D17" s="3211"/>
    </row>
    <row r="18" spans="1:4">
      <c r="A18" s="3211" t="s">
        <v>2698</v>
      </c>
      <c r="B18" s="3211"/>
      <c r="C18" s="3211"/>
      <c r="D18" s="3211"/>
    </row>
    <row r="19" spans="1:4">
      <c r="A19" s="2892" t="s">
        <v>2699</v>
      </c>
      <c r="B19" s="2892" t="s">
        <v>2700</v>
      </c>
      <c r="C19" s="2892" t="s">
        <v>2701</v>
      </c>
      <c r="D19" s="2892" t="s">
        <v>2702</v>
      </c>
    </row>
    <row r="20" spans="1:4">
      <c r="A20" s="2892" t="str">
        <f>项目基本情况!B4</f>
        <v>刘梅</v>
      </c>
      <c r="B20" s="2892">
        <f ca="1">项目基本情况!C4</f>
        <v>2008110059</v>
      </c>
      <c r="C20" s="2894"/>
      <c r="D20" s="1800" t="s">
        <v>2707</v>
      </c>
    </row>
    <row r="21" spans="1:4">
      <c r="A21" s="2892" t="str">
        <f>项目基本情况!D4</f>
        <v>吴薇</v>
      </c>
      <c r="B21" s="2892">
        <f ca="1">项目基本情况!E4</f>
        <v>2002110125</v>
      </c>
      <c r="C21" s="2894"/>
      <c r="D21" s="1800" t="s">
        <v>2708</v>
      </c>
    </row>
    <row r="23" spans="1:4">
      <c r="A23" s="3211" t="s">
        <v>2703</v>
      </c>
      <c r="B23" s="3211"/>
      <c r="C23" s="3211"/>
      <c r="D23" s="3211"/>
    </row>
    <row r="24" spans="1:4">
      <c r="A24" s="2892" t="s">
        <v>2699</v>
      </c>
      <c r="B24" s="2892" t="s">
        <v>2704</v>
      </c>
      <c r="C24" s="2892" t="s">
        <v>2701</v>
      </c>
      <c r="D24" s="2892" t="s">
        <v>2702</v>
      </c>
    </row>
    <row r="25" spans="1:4">
      <c r="A25" s="2895" t="s">
        <v>2705</v>
      </c>
      <c r="B25" s="2892" t="s">
        <v>952</v>
      </c>
      <c r="C25" s="2894"/>
      <c r="D25" s="1800" t="s">
        <v>2708</v>
      </c>
    </row>
    <row r="29" spans="1:4">
      <c r="D29" s="2893" t="s">
        <v>2042</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22" t="s">
        <v>53</v>
      </c>
      <c r="B15" s="3223" t="s">
        <v>846</v>
      </c>
      <c r="C15" s="3219"/>
    </row>
    <row r="16" spans="1:7" ht="14.25">
      <c r="A16" s="3222"/>
      <c r="B16" s="3220" t="s">
        <v>54</v>
      </c>
      <c r="C16" s="1170" t="s">
        <v>53</v>
      </c>
    </row>
    <row r="17" spans="1:3" ht="14.25">
      <c r="A17" s="3222"/>
      <c r="B17" s="3220"/>
      <c r="C17" s="1170" t="s">
        <v>55</v>
      </c>
    </row>
    <row r="18" spans="1:3" ht="14.25">
      <c r="A18" s="3222"/>
      <c r="B18" s="3220"/>
      <c r="C18" s="1170" t="s">
        <v>56</v>
      </c>
    </row>
    <row r="19" spans="1:3" ht="14.25">
      <c r="A19" s="3222"/>
      <c r="B19" s="3218" t="s">
        <v>57</v>
      </c>
      <c r="C19" s="3219"/>
    </row>
    <row r="20" spans="1:3" ht="14.25">
      <c r="A20" s="1171" t="s">
        <v>58</v>
      </c>
      <c r="B20" s="1172"/>
      <c r="C20" s="1173"/>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4" t="s">
        <v>837</v>
      </c>
    </row>
    <row r="25" spans="1:3" ht="14.25">
      <c r="A25" s="3221"/>
      <c r="B25" s="3225"/>
      <c r="C25" s="1174" t="s">
        <v>838</v>
      </c>
    </row>
    <row r="26" spans="1:3" ht="14.25">
      <c r="A26" s="3221"/>
      <c r="B26" s="3225"/>
      <c r="C26" s="1174" t="s">
        <v>839</v>
      </c>
    </row>
    <row r="27" spans="1:3" ht="14.25">
      <c r="A27" s="3221"/>
      <c r="B27" s="3225"/>
      <c r="C27" s="1174" t="s">
        <v>840</v>
      </c>
    </row>
    <row r="28" spans="1:3" ht="14.25">
      <c r="A28" s="3221"/>
      <c r="B28" s="3225"/>
      <c r="C28" s="1174" t="s">
        <v>841</v>
      </c>
    </row>
    <row r="29" spans="1:3" ht="14.25">
      <c r="A29" s="3221"/>
      <c r="B29" s="3225"/>
      <c r="C29" s="1174" t="s">
        <v>842</v>
      </c>
    </row>
    <row r="30" spans="1:3" ht="14.25">
      <c r="A30" s="3221"/>
      <c r="B30" s="3225"/>
      <c r="C30" s="1174" t="s">
        <v>843</v>
      </c>
    </row>
    <row r="31" spans="1:3" ht="14.25">
      <c r="A31" s="3221"/>
      <c r="B31" s="3225"/>
      <c r="C31" s="1174" t="s">
        <v>844</v>
      </c>
    </row>
    <row r="32" spans="1:3" ht="14.25">
      <c r="A32" s="3221"/>
      <c r="B32" s="3225"/>
      <c r="C32" s="1174" t="s">
        <v>1647</v>
      </c>
    </row>
    <row r="33" spans="1:3" ht="14.25">
      <c r="A33" s="3221"/>
      <c r="B33" s="3215" t="s">
        <v>1653</v>
      </c>
      <c r="C33" s="1174" t="s">
        <v>1648</v>
      </c>
    </row>
    <row r="34" spans="1:3" ht="14.25">
      <c r="A34" s="3221"/>
      <c r="B34" s="3216"/>
      <c r="C34" s="1179" t="s">
        <v>1649</v>
      </c>
    </row>
    <row r="35" spans="1:3" ht="14.25">
      <c r="A35" s="3221"/>
      <c r="B35" s="3216"/>
      <c r="C35" s="1180" t="s">
        <v>1650</v>
      </c>
    </row>
    <row r="36" spans="1:3" ht="14.25">
      <c r="A36" s="3221"/>
      <c r="B36" s="3216"/>
      <c r="C36" s="1180" t="s">
        <v>1651</v>
      </c>
    </row>
    <row r="37" spans="1:3" ht="14.25">
      <c r="A37" s="3221"/>
      <c r="B37" s="3217"/>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43251</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9">
        <v>43849</v>
      </c>
      <c r="D4" s="2343" t="s">
        <v>1915</v>
      </c>
      <c r="E4" s="2343">
        <f ca="1">IF(F4&lt;B2,"已过期",96010014)</f>
        <v>96010014</v>
      </c>
      <c r="F4" s="3030">
        <v>47118</v>
      </c>
    </row>
    <row r="5" spans="1:6" ht="20.25" customHeight="1">
      <c r="A5" s="2343" t="s">
        <v>1916</v>
      </c>
      <c r="B5" s="2343">
        <f ca="1">IF(C5&lt;B2,"已过期",1119970074)</f>
        <v>1119970074</v>
      </c>
      <c r="C5" s="3029">
        <v>43849</v>
      </c>
      <c r="D5" s="2343" t="s">
        <v>1916</v>
      </c>
      <c r="E5" s="2343">
        <f ca="1">IF(F5&lt;B2,"已过期",2002110027)</f>
        <v>2002110027</v>
      </c>
      <c r="F5" s="3030">
        <v>46752</v>
      </c>
    </row>
    <row r="6" spans="1:6" ht="20.25" customHeight="1">
      <c r="A6" s="2343" t="s">
        <v>1917</v>
      </c>
      <c r="B6" s="2343">
        <f ca="1">IF(C6&lt;B2,"已过期",1119970111)</f>
        <v>1119970111</v>
      </c>
      <c r="C6" s="3029">
        <v>43849</v>
      </c>
      <c r="D6" s="2343" t="s">
        <v>1917</v>
      </c>
      <c r="E6" s="2343">
        <f ca="1">IF(F6&lt;B2,"已过期",94010078)</f>
        <v>94010078</v>
      </c>
      <c r="F6" s="3030">
        <v>46387</v>
      </c>
    </row>
    <row r="7" spans="1:6" ht="20.25" customHeight="1">
      <c r="A7" s="2343" t="s">
        <v>1918</v>
      </c>
      <c r="B7" s="2343">
        <f ca="1">IF(C7&lt;B2,"已过期",1120050019)</f>
        <v>1120050019</v>
      </c>
      <c r="C7" s="3029">
        <v>43359</v>
      </c>
      <c r="D7" s="2343" t="s">
        <v>1918</v>
      </c>
      <c r="E7" s="2343">
        <f ca="1">IF(F7&lt;B2,"已过期",2002110030)</f>
        <v>2002110030</v>
      </c>
      <c r="F7" s="3030">
        <v>46387</v>
      </c>
    </row>
    <row r="8" spans="1:6" ht="20.25" customHeight="1">
      <c r="A8" s="2343" t="s">
        <v>1919</v>
      </c>
      <c r="B8" s="2343">
        <f ca="1">IF(C8&lt;B2,"已过期",1120000080)</f>
        <v>1120000080</v>
      </c>
      <c r="C8" s="3029">
        <v>43849</v>
      </c>
      <c r="D8" s="2343" t="s">
        <v>1919</v>
      </c>
      <c r="E8" s="2343">
        <f ca="1">IF(F8&lt;B2,"已过期",2000110082)</f>
        <v>2000110082</v>
      </c>
      <c r="F8" s="3030">
        <v>46387</v>
      </c>
    </row>
    <row r="9" spans="1:6" ht="20.25" customHeight="1">
      <c r="A9" s="2343" t="s">
        <v>1920</v>
      </c>
      <c r="B9" s="2343">
        <f ca="1">IF(C9&lt;B2,"已过期",1419970001)</f>
        <v>1419970001</v>
      </c>
      <c r="C9" s="3029">
        <v>43867</v>
      </c>
      <c r="D9" s="2343" t="s">
        <v>1920</v>
      </c>
      <c r="E9" s="2343">
        <f ca="1">IF(F9&lt;B2,"已过期",2002110125)</f>
        <v>2002110125</v>
      </c>
      <c r="F9" s="3030">
        <v>47118</v>
      </c>
    </row>
    <row r="10" spans="1:6" ht="20.25" customHeight="1">
      <c r="A10" s="2343" t="s">
        <v>1921</v>
      </c>
      <c r="B10" s="2343">
        <f ca="1">IF(C10&lt;B2,"已过期",1120060040)</f>
        <v>1120060040</v>
      </c>
      <c r="C10" s="3029">
        <v>43483</v>
      </c>
      <c r="D10" s="2343" t="s">
        <v>1921</v>
      </c>
      <c r="E10" s="2343">
        <f ca="1">IF(F10&lt;B2,"已过期",2004110096)</f>
        <v>2004110096</v>
      </c>
      <c r="F10" s="3030">
        <v>47118</v>
      </c>
    </row>
    <row r="11" spans="1:6" ht="20.25" customHeight="1">
      <c r="A11" s="2343" t="s">
        <v>1922</v>
      </c>
      <c r="B11" s="2343">
        <f ca="1">IF(C11&lt;B2,"已过期",1120100036)</f>
        <v>1120100036</v>
      </c>
      <c r="C11" s="3029">
        <v>43622</v>
      </c>
      <c r="D11" s="2343" t="s">
        <v>1922</v>
      </c>
      <c r="E11" s="2343">
        <f ca="1">IF(F11&lt;B2,"已过期",2010110070)</f>
        <v>2010110070</v>
      </c>
      <c r="F11" s="3030">
        <v>47907</v>
      </c>
    </row>
    <row r="12" spans="1:6" ht="20.25" customHeight="1">
      <c r="A12" s="2343" t="s">
        <v>2981</v>
      </c>
      <c r="B12" s="2343">
        <v>1120110054</v>
      </c>
      <c r="C12" s="3029">
        <v>43937</v>
      </c>
      <c r="D12" s="2343" t="s">
        <v>2981</v>
      </c>
      <c r="E12" s="2343">
        <v>2008110060</v>
      </c>
      <c r="F12" s="3030">
        <v>47177</v>
      </c>
    </row>
    <row r="13" spans="1:6" ht="20.25" customHeight="1">
      <c r="A13" s="2343" t="s">
        <v>1923</v>
      </c>
      <c r="B13" s="2343">
        <f ca="1">IF(C13&lt;B2,"已过期",1120070131)</f>
        <v>1120070131</v>
      </c>
      <c r="C13" s="3029">
        <v>43814</v>
      </c>
      <c r="D13" s="2343" t="s">
        <v>1923</v>
      </c>
      <c r="E13" s="2343">
        <v>2014110011</v>
      </c>
      <c r="F13" s="3030">
        <v>49302</v>
      </c>
    </row>
    <row r="14" spans="1:6" ht="20.25" customHeight="1">
      <c r="A14" s="2343" t="s">
        <v>1924</v>
      </c>
      <c r="B14" s="2343">
        <f ca="1">IF(C14&lt;B2,"已过期",1120130020)</f>
        <v>1120130020</v>
      </c>
      <c r="C14" s="3029">
        <v>43622</v>
      </c>
      <c r="D14" s="2343"/>
      <c r="E14" s="2343"/>
      <c r="F14" s="2343"/>
    </row>
    <row r="15" spans="1:6" ht="20.25" customHeight="1">
      <c r="A15" s="2343" t="s">
        <v>2578</v>
      </c>
      <c r="B15" s="2343">
        <v>1120070085</v>
      </c>
      <c r="C15" s="3029">
        <v>43814</v>
      </c>
      <c r="D15" s="2343" t="s">
        <v>2578</v>
      </c>
      <c r="E15" s="2343">
        <v>2004110128</v>
      </c>
      <c r="F15" s="3030">
        <v>47118</v>
      </c>
    </row>
    <row r="16" spans="1:6" ht="20.25" customHeight="1">
      <c r="A16" s="2343" t="s">
        <v>1925</v>
      </c>
      <c r="B16" s="2343">
        <f ca="1">IF(C16&lt;B2,"已过期",1120140022)</f>
        <v>1120140022</v>
      </c>
      <c r="C16" s="3029">
        <v>44029</v>
      </c>
      <c r="D16" s="2343" t="s">
        <v>1925</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1926</v>
      </c>
      <c r="E21" s="2343">
        <f ca="1">IF(F21&lt;B2,"已过期",2011110090)</f>
        <v>2011110090</v>
      </c>
      <c r="F21" s="3030">
        <v>48302</v>
      </c>
    </row>
    <row r="22" spans="1:7" ht="20.25" customHeight="1">
      <c r="A22" s="2343" t="s">
        <v>1927</v>
      </c>
      <c r="B22" s="2343">
        <f ca="1">IF(C22&lt;B2,"已过期",1120020033)</f>
        <v>1120020033</v>
      </c>
      <c r="C22" s="3029">
        <v>43304</v>
      </c>
      <c r="D22" s="2343" t="s">
        <v>1927</v>
      </c>
      <c r="E22" s="2343">
        <f ca="1">IF(F22&lt;B2,"已过期",2000110137)</f>
        <v>2000110137</v>
      </c>
      <c r="F22" s="3030">
        <v>46387</v>
      </c>
    </row>
    <row r="23" spans="1:7" ht="20.25" customHeight="1">
      <c r="A23" s="2343" t="s">
        <v>1928</v>
      </c>
      <c r="B23" s="2343">
        <f ca="1">IF(C23&lt;B2,"已过期",1120130048)</f>
        <v>1120130048</v>
      </c>
      <c r="C23" s="3029">
        <v>43686</v>
      </c>
      <c r="D23" s="2343"/>
      <c r="E23" s="2343"/>
      <c r="F23" s="2343"/>
    </row>
    <row r="24" spans="1:7" s="2347" customFormat="1" ht="20.25" customHeight="1">
      <c r="A24" s="2345" t="s">
        <v>2056</v>
      </c>
      <c r="B24" s="2345" t="s">
        <v>2056</v>
      </c>
      <c r="C24" s="3029"/>
      <c r="D24" s="3031" t="s">
        <v>2056</v>
      </c>
      <c r="E24" s="2345" t="s">
        <v>2056</v>
      </c>
      <c r="F24" s="2346"/>
    </row>
    <row r="25" spans="1:7" ht="20.25" customHeight="1">
      <c r="A25" s="3226" t="s">
        <v>1929</v>
      </c>
      <c r="B25" s="3226"/>
      <c r="C25" s="3226"/>
      <c r="D25" s="3226"/>
      <c r="E25" s="3226"/>
      <c r="F25" s="3226"/>
      <c r="G25" s="3226"/>
    </row>
    <row r="26" spans="1:7" ht="20.25" customHeight="1">
      <c r="A26" s="3227" t="s">
        <v>1930</v>
      </c>
      <c r="B26" s="3227"/>
      <c r="C26" s="3227"/>
      <c r="D26" s="3227" t="s">
        <v>1931</v>
      </c>
      <c r="E26" s="3227"/>
      <c r="F26" s="322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2946</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76" sqref="A76:B7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2549</v>
      </c>
      <c r="R1" s="2606" t="s">
        <v>2543</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8" t="s">
        <v>2958</v>
      </c>
      <c r="C18" s="1553"/>
    </row>
    <row r="19" spans="1:3">
      <c r="A19" s="8" t="s">
        <v>120</v>
      </c>
      <c r="B19" s="3138" t="s">
        <v>2966</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苏州市梁雨庭置业有限公司拟使用江苏省宜兴市环科园绿园路北侧兴业路东侧一宗住宅、商业及地下车库用途出让国有建设用地使用权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28"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29日，在规划利用条件下、设定土地开发程度为红线外“七通”、宗地内场地平整，设定用途为住宅、商业、地下车库，剩余土地使用年限为住宅69.9年，商业39.9年，地下车库49.9年的出让国有建设用地使用权价格。</v>
      </c>
      <c r="D53" s="1767"/>
      <c r="E53" s="1767"/>
    </row>
    <row r="54" spans="1:5">
      <c r="A54" s="3228"/>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8"/>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8"/>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8"/>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不动产比较法-住宅</vt:lpstr>
      <vt:lpstr>不动产比较法-商业</vt:lpstr>
      <vt:lpstr>不动产收益法</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2018-05-31T06:17:12Z</dcterms:modified>
</cp:coreProperties>
</file>