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4"/>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商" sheetId="15" r:id="rId31"/>
    <sheet name="不动产收益法办" sheetId="71" r:id="rId32"/>
    <sheet name="不动产收益法库" sheetId="72"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车" sheetId="73" r:id="rId44"/>
    <sheet name="地价" sheetId="59" r:id="rId45"/>
    <sheet name="Sheet2" sheetId="70"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 i="1" l="1"/>
  <c r="L8" i="1"/>
  <c r="C28" i="9" l="1"/>
  <c r="C27" i="9"/>
  <c r="Y10" i="1" l="1"/>
  <c r="Y9" i="1"/>
  <c r="Y8" i="1"/>
  <c r="Q73" i="73" l="1"/>
  <c r="Q60" i="73"/>
  <c r="D60" i="73"/>
  <c r="Q59" i="73"/>
  <c r="K59" i="73"/>
  <c r="P75" i="73" s="1"/>
  <c r="F58" i="73"/>
  <c r="Q52" i="73"/>
  <c r="J50" i="73"/>
  <c r="J51" i="73" s="1"/>
  <c r="M47" i="73"/>
  <c r="F33" i="73"/>
  <c r="F60" i="73" s="1"/>
  <c r="F31" i="73"/>
  <c r="F23" i="73"/>
  <c r="D24" i="73" s="1"/>
  <c r="D23" i="73"/>
  <c r="D22" i="73"/>
  <c r="F21" i="73"/>
  <c r="F20" i="73"/>
  <c r="M19" i="73"/>
  <c r="F18" i="73"/>
  <c r="M17" i="73"/>
  <c r="F15" i="73"/>
  <c r="P62" i="73" l="1"/>
  <c r="Q73" i="72"/>
  <c r="Q60" i="72"/>
  <c r="D60" i="72"/>
  <c r="Q59" i="72"/>
  <c r="K59" i="72"/>
  <c r="P75" i="72" s="1"/>
  <c r="F58" i="72"/>
  <c r="Q52" i="72"/>
  <c r="J50" i="72"/>
  <c r="M47" i="72"/>
  <c r="F33" i="72"/>
  <c r="F60" i="72" s="1"/>
  <c r="F31" i="72"/>
  <c r="F23" i="72"/>
  <c r="D24" i="72" s="1"/>
  <c r="D23" i="72"/>
  <c r="D22" i="72"/>
  <c r="F21" i="72"/>
  <c r="F20" i="72"/>
  <c r="M19" i="72"/>
  <c r="F18" i="72"/>
  <c r="M17" i="72"/>
  <c r="F15" i="72"/>
  <c r="Q73" i="71"/>
  <c r="Q60" i="71"/>
  <c r="D60" i="71"/>
  <c r="Q59" i="71"/>
  <c r="K59" i="71"/>
  <c r="P75" i="71" s="1"/>
  <c r="F58" i="71"/>
  <c r="Q52" i="71"/>
  <c r="J50" i="71"/>
  <c r="M47" i="71"/>
  <c r="F33" i="71"/>
  <c r="F60" i="71" s="1"/>
  <c r="F31" i="71"/>
  <c r="F23" i="71"/>
  <c r="D24" i="71" s="1"/>
  <c r="D23" i="71"/>
  <c r="D22" i="71"/>
  <c r="F21" i="71"/>
  <c r="F20" i="71"/>
  <c r="M19" i="71"/>
  <c r="F18" i="71"/>
  <c r="M17" i="71"/>
  <c r="F15" i="71"/>
  <c r="I48" i="39"/>
  <c r="G48" i="39"/>
  <c r="E48" i="39"/>
  <c r="I40" i="39"/>
  <c r="G40" i="39"/>
  <c r="E40" i="39"/>
  <c r="I13" i="39"/>
  <c r="G13" i="39"/>
  <c r="E13" i="39"/>
  <c r="I9" i="39"/>
  <c r="G9" i="39"/>
  <c r="E9" i="39"/>
  <c r="I7" i="39"/>
  <c r="G7" i="39"/>
  <c r="E7" i="39"/>
  <c r="B35" i="1"/>
  <c r="F17" i="73" s="1"/>
  <c r="E38" i="69"/>
  <c r="F38" i="69"/>
  <c r="G38" i="69"/>
  <c r="H38" i="69"/>
  <c r="I38" i="69"/>
  <c r="J38" i="69"/>
  <c r="L38" i="69"/>
  <c r="M38" i="69"/>
  <c r="N38" i="69"/>
  <c r="O38" i="69"/>
  <c r="P38" i="69"/>
  <c r="Q38" i="69"/>
  <c r="L10" i="69"/>
  <c r="M10" i="69"/>
  <c r="O10" i="69"/>
  <c r="P10" i="69"/>
  <c r="Q10" i="69"/>
  <c r="G10" i="69"/>
  <c r="H10" i="69"/>
  <c r="I10" i="69"/>
  <c r="J10" i="69"/>
  <c r="F10" i="69"/>
  <c r="F40" i="69"/>
  <c r="G40" i="69"/>
  <c r="H40" i="69"/>
  <c r="AH20" i="3" s="1"/>
  <c r="I40" i="69"/>
  <c r="AL20" i="3" s="1"/>
  <c r="J40" i="69"/>
  <c r="AT20" i="3" s="1"/>
  <c r="L40" i="69"/>
  <c r="M40" i="69"/>
  <c r="O40" i="69"/>
  <c r="AJ20" i="3" s="1"/>
  <c r="P40" i="69"/>
  <c r="AF20" i="3" s="1"/>
  <c r="Q40" i="69"/>
  <c r="Q19" i="3"/>
  <c r="O18" i="3"/>
  <c r="M15" i="3"/>
  <c r="K14" i="3"/>
  <c r="C19" i="3"/>
  <c r="C23" i="6" s="1"/>
  <c r="C18" i="3"/>
  <c r="C22" i="6" s="1"/>
  <c r="C17" i="3"/>
  <c r="C16" i="3"/>
  <c r="C15" i="3"/>
  <c r="C21" i="6" s="1"/>
  <c r="C14" i="3"/>
  <c r="C20" i="6" s="1"/>
  <c r="C13" i="3"/>
  <c r="C19" i="6" s="1"/>
  <c r="D39" i="69"/>
  <c r="K39" i="69"/>
  <c r="K31" i="69"/>
  <c r="K32" i="69"/>
  <c r="K33" i="69"/>
  <c r="K34" i="69"/>
  <c r="K35" i="69"/>
  <c r="C35" i="69" s="1"/>
  <c r="K36" i="69"/>
  <c r="D32" i="69"/>
  <c r="D33" i="69"/>
  <c r="D34" i="69"/>
  <c r="D35" i="69"/>
  <c r="D36" i="69"/>
  <c r="C36" i="69" s="1"/>
  <c r="K24" i="69"/>
  <c r="K25" i="69"/>
  <c r="K26" i="69"/>
  <c r="K27" i="69"/>
  <c r="K28" i="69"/>
  <c r="K29" i="69"/>
  <c r="K30" i="69"/>
  <c r="D26" i="69"/>
  <c r="D27" i="69"/>
  <c r="D28" i="69"/>
  <c r="D29" i="69"/>
  <c r="C29" i="69" s="1"/>
  <c r="D30" i="69"/>
  <c r="D11" i="69"/>
  <c r="N9" i="69"/>
  <c r="N6" i="69"/>
  <c r="K6" i="69" s="1"/>
  <c r="N5" i="69"/>
  <c r="N4" i="69"/>
  <c r="D4" i="69"/>
  <c r="D5" i="69"/>
  <c r="D6" i="69"/>
  <c r="D7" i="69"/>
  <c r="D8" i="69"/>
  <c r="D9" i="69"/>
  <c r="D3" i="69"/>
  <c r="N3" i="69"/>
  <c r="N10" i="69" s="1"/>
  <c r="N40" i="69" s="1"/>
  <c r="AN20" i="3" s="1"/>
  <c r="K37" i="69"/>
  <c r="D37" i="69"/>
  <c r="C37" i="69"/>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I13" i="3" s="1"/>
  <c r="K9" i="69"/>
  <c r="K8" i="69"/>
  <c r="K7" i="69"/>
  <c r="K4" i="69"/>
  <c r="K3" i="69"/>
  <c r="D10" i="69"/>
  <c r="K10" i="69" l="1"/>
  <c r="K40" i="69" s="1"/>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D38" i="69" l="1"/>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M9" i="68"/>
  <c r="M26" i="68"/>
  <c r="F13" i="68"/>
  <c r="F6" i="68"/>
  <c r="M23" i="68"/>
  <c r="M28" i="68"/>
  <c r="F36" i="68"/>
  <c r="C76" i="68"/>
  <c r="F8" i="68"/>
  <c r="F16" i="68"/>
  <c r="F42" i="68"/>
  <c r="F26" i="68"/>
  <c r="F38" i="68"/>
  <c r="M22" i="68"/>
  <c r="J15" i="68"/>
  <c r="F40" i="68"/>
  <c r="F37" i="68"/>
  <c r="M8" i="68"/>
  <c r="F9" i="68"/>
  <c r="M24"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E12" i="67"/>
  <c r="F11" i="67"/>
  <c r="B8" i="67"/>
  <c r="B11" i="67"/>
  <c r="E10" i="67"/>
  <c r="F12" i="67"/>
  <c r="F14" i="67"/>
  <c r="F13" i="67"/>
  <c r="B10" i="67"/>
  <c r="E8" i="67"/>
  <c r="E14" i="67"/>
  <c r="E9" i="67"/>
  <c r="E11" i="67"/>
  <c r="B9" i="67"/>
  <c r="E13" i="67"/>
  <c r="F8" i="67"/>
  <c r="B13" i="67"/>
  <c r="F10" i="67"/>
  <c r="B12"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J7" i="65"/>
  <c r="I6" i="65"/>
  <c r="N5" i="65"/>
  <c r="N3" i="65"/>
  <c r="I7" i="65"/>
  <c r="I4" i="65"/>
  <c r="J3" i="65"/>
  <c r="J5" i="65"/>
  <c r="N6" i="65"/>
  <c r="I3" i="65"/>
  <c r="J4" i="65"/>
  <c r="I5" i="65"/>
  <c r="N4" i="65"/>
  <c r="J6" i="65"/>
  <c r="E20" i="46" l="1"/>
  <c r="J1" i="65"/>
  <c r="C4" i="65"/>
  <c r="B39" i="1" s="1"/>
  <c r="E3" i="65"/>
  <c r="F11" i="73" l="1"/>
  <c r="M11" i="73"/>
  <c r="J10" i="73" s="1"/>
  <c r="F11" i="72"/>
  <c r="M11" i="72"/>
  <c r="J10" i="72" s="1"/>
  <c r="F11" i="71"/>
  <c r="M11" i="71"/>
  <c r="J10" i="71" s="1"/>
  <c r="F17" i="11"/>
  <c r="M5" i="54"/>
  <c r="A23" i="51"/>
  <c r="C10" i="73" l="1"/>
  <c r="C52" i="73"/>
  <c r="C10" i="72"/>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H31" i="21" s="1"/>
  <c r="U31" i="21" s="1"/>
  <c r="B96" i="21"/>
  <c r="H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G22" i="6" s="1"/>
  <c r="B28" i="9" s="1"/>
  <c r="D28" i="9" s="1"/>
  <c r="P5" i="3"/>
  <c r="Q5" i="3"/>
  <c r="G23" i="6" s="1"/>
  <c r="B27" i="9" s="1"/>
  <c r="D27" i="9" s="1"/>
  <c r="D30" i="9" s="1"/>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W41" i="21"/>
  <c r="S10" i="39"/>
  <c r="F103" i="37"/>
  <c r="F39" i="37"/>
  <c r="S39" i="37" s="1"/>
  <c r="F29" i="36"/>
  <c r="AA29" i="36" s="1"/>
  <c r="F16" i="36"/>
  <c r="AA16" i="36" s="1"/>
  <c r="U22" i="36"/>
  <c r="W23" i="36"/>
  <c r="U26" i="36"/>
  <c r="J33" i="36"/>
  <c r="W33" i="36" s="1"/>
  <c r="U31" i="35"/>
  <c r="S31" i="35"/>
  <c r="F36" i="34"/>
  <c r="S36" i="34" s="1"/>
  <c r="W9" i="34"/>
  <c r="S34" i="34"/>
  <c r="W39" i="34"/>
  <c r="H39" i="33"/>
  <c r="AB39" i="33" s="1"/>
  <c r="U33" i="33"/>
  <c r="W38" i="33"/>
  <c r="S40" i="33"/>
  <c r="S8" i="21"/>
  <c r="W8" i="21"/>
  <c r="H39" i="37"/>
  <c r="AB39" i="37" s="1"/>
  <c r="S10" i="40"/>
  <c r="W10" i="40"/>
  <c r="S11" i="40"/>
  <c r="U11" i="40"/>
  <c r="S36" i="40"/>
  <c r="U36" i="40"/>
  <c r="S36" i="39"/>
  <c r="F11" i="21"/>
  <c r="S11" i="21" s="1"/>
  <c r="AC40" i="21"/>
  <c r="AB36" i="21"/>
  <c r="AC35" i="21"/>
  <c r="C23" i="39"/>
  <c r="U36"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S38" i="33"/>
  <c r="E113" i="33"/>
  <c r="F36" i="33"/>
  <c r="S36" i="33" s="1"/>
  <c r="F19" i="33"/>
  <c r="S19" i="33" s="1"/>
  <c r="J19" i="33"/>
  <c r="W40" i="33"/>
  <c r="AB30" i="36"/>
  <c r="AC34" i="36"/>
  <c r="H29" i="35"/>
  <c r="S34" i="37"/>
  <c r="AC43" i="34"/>
  <c r="AB42" i="34"/>
  <c r="AB40" i="34"/>
  <c r="W36" i="34"/>
  <c r="J19" i="34"/>
  <c r="AC19" i="34" s="1"/>
  <c r="F113" i="33"/>
  <c r="G113" i="33" s="1"/>
  <c r="H113" i="33" s="1"/>
  <c r="I113" i="33" s="1"/>
  <c r="J113" i="33" s="1"/>
  <c r="K113" i="33" s="1"/>
  <c r="L113" i="33" s="1"/>
  <c r="M113" i="33" s="1"/>
  <c r="H37" i="33"/>
  <c r="AB37" i="33" s="1"/>
  <c r="W42" i="34"/>
  <c r="AA42" i="34"/>
  <c r="S42" i="34"/>
  <c r="W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AC32" i="36" s="1"/>
  <c r="J11" i="36"/>
  <c r="W11" i="36" s="1"/>
  <c r="H13" i="36"/>
  <c r="AB13" i="36" s="1"/>
  <c r="F13" i="36"/>
  <c r="S13" i="36" s="1"/>
  <c r="J29" i="37"/>
  <c r="W29" i="37" s="1"/>
  <c r="F29" i="37"/>
  <c r="AA29" i="37" s="1"/>
  <c r="AB36" i="37"/>
  <c r="J37" i="37"/>
  <c r="AC37" i="37" s="1"/>
  <c r="H37" i="37"/>
  <c r="U37" i="37" s="1"/>
  <c r="J40" i="37"/>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B13" i="35"/>
  <c r="U30" i="33"/>
  <c r="J36" i="37"/>
  <c r="AC36" i="37" s="1"/>
  <c r="AB28" i="36"/>
  <c r="AB31" i="21"/>
  <c r="W31" i="34"/>
  <c r="S46" i="33"/>
  <c r="U36" i="37"/>
  <c r="AC13" i="36"/>
  <c r="AB31"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AZ531" i="3" s="1"/>
  <c r="BA521" i="3"/>
  <c r="BA509" i="3"/>
  <c r="BA505" i="3"/>
  <c r="BA501" i="3"/>
  <c r="BA493" i="3"/>
  <c r="BA487" i="3"/>
  <c r="BA19" i="3"/>
  <c r="BA566" i="3"/>
  <c r="BA562" i="3"/>
  <c r="BA560" i="3"/>
  <c r="BA558" i="3"/>
  <c r="BA556" i="3"/>
  <c r="BA554" i="3"/>
  <c r="BA550" i="3"/>
  <c r="BA546" i="3"/>
  <c r="BA544" i="3"/>
  <c r="BA540" i="3"/>
  <c r="BA536" i="3"/>
  <c r="BA532" i="3"/>
  <c r="BA528" i="3"/>
  <c r="AZ528" i="3" s="1"/>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L554" i="3" s="1"/>
  <c r="AZ554" i="3" s="1"/>
  <c r="BQ552" i="3"/>
  <c r="BL552" i="3"/>
  <c r="BQ550" i="3"/>
  <c r="BL550" i="3"/>
  <c r="BQ548" i="3"/>
  <c r="BQ546" i="3"/>
  <c r="BL546" i="3" s="1"/>
  <c r="AZ546" i="3" s="1"/>
  <c r="BQ544" i="3"/>
  <c r="BL544" i="3" s="1"/>
  <c r="G544" i="3"/>
  <c r="G538" i="3"/>
  <c r="G534" i="3"/>
  <c r="G530" i="3"/>
  <c r="G526" i="3"/>
  <c r="G522" i="3"/>
  <c r="BQ540" i="3"/>
  <c r="BL540" i="3" s="1"/>
  <c r="BQ538" i="3"/>
  <c r="BL538" i="3" s="1"/>
  <c r="AZ538" i="3" s="1"/>
  <c r="BQ536" i="3"/>
  <c r="BL536" i="3" s="1"/>
  <c r="AZ536" i="3" s="1"/>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AZ514" i="3" s="1"/>
  <c r="BQ512" i="3"/>
  <c r="BQ510" i="3"/>
  <c r="BL510" i="3" s="1"/>
  <c r="BQ508" i="3"/>
  <c r="BL508" i="3" s="1"/>
  <c r="AZ508" i="3" s="1"/>
  <c r="AC506" i="3"/>
  <c r="G506" i="3" s="1"/>
  <c r="BQ506" i="3"/>
  <c r="BL506" i="3" s="1"/>
  <c r="G502" i="3"/>
  <c r="G498" i="3"/>
  <c r="BQ504" i="3"/>
  <c r="BQ502" i="3"/>
  <c r="BL502" i="3" s="1"/>
  <c r="BQ500" i="3"/>
  <c r="BL500" i="3" s="1"/>
  <c r="BQ498" i="3"/>
  <c r="BL498" i="3" s="1"/>
  <c r="AZ498" i="3" s="1"/>
  <c r="BQ496" i="3"/>
  <c r="AC494" i="3"/>
  <c r="G494" i="3" s="1"/>
  <c r="BQ494" i="3"/>
  <c r="BL493" i="3"/>
  <c r="AZ493" i="3" s="1"/>
  <c r="G492" i="3"/>
  <c r="G488" i="3"/>
  <c r="G484" i="3"/>
  <c r="G20" i="3"/>
  <c r="BQ492" i="3"/>
  <c r="BL492" i="3" s="1"/>
  <c r="BQ490" i="3"/>
  <c r="BL490" i="3" s="1"/>
  <c r="BQ488" i="3"/>
  <c r="BL488" i="3"/>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AC8" i="37"/>
  <c r="S25" i="37"/>
  <c r="AC36" i="34"/>
  <c r="AB8" i="34"/>
  <c r="AC37" i="33"/>
  <c r="AA13" i="33"/>
  <c r="U19" i="21"/>
  <c r="AC33" i="21"/>
  <c r="AA36" i="21"/>
  <c r="F43" i="33"/>
  <c r="AA43" i="33" s="1"/>
  <c r="S10" i="35"/>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G180" i="3"/>
  <c r="AZ31" i="3"/>
  <c r="AZ39" i="3"/>
  <c r="AZ47" i="3"/>
  <c r="AZ55"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4" i="3"/>
  <c r="AZ82"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AZ373" i="3" s="1"/>
  <c r="BL373" i="3"/>
  <c r="G374" i="3"/>
  <c r="G377" i="3"/>
  <c r="BL378" i="3"/>
  <c r="BA380" i="3"/>
  <c r="AZ380" i="3" s="1"/>
  <c r="BA381" i="3"/>
  <c r="BL381" i="3"/>
  <c r="G382" i="3"/>
  <c r="G385" i="3"/>
  <c r="AZ158" i="3"/>
  <c r="AZ166" i="3"/>
  <c r="AZ174" i="3"/>
  <c r="AZ187" i="3"/>
  <c r="AZ195" i="3"/>
  <c r="G523" i="3"/>
  <c r="BL297" i="3"/>
  <c r="G298" i="3"/>
  <c r="BA300" i="3"/>
  <c r="BL301" i="3"/>
  <c r="G302" i="3"/>
  <c r="BA304" i="3"/>
  <c r="AZ304" i="3" s="1"/>
  <c r="BL305" i="3"/>
  <c r="AZ305" i="3" s="1"/>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25" i="3"/>
  <c r="AZ237" i="3"/>
  <c r="AZ241" i="3"/>
  <c r="AZ309" i="3"/>
  <c r="AZ321" i="3"/>
  <c r="AZ333" i="3"/>
  <c r="AZ353" i="3"/>
  <c r="G368" i="3"/>
  <c r="BA370" i="3"/>
  <c r="BL371" i="3"/>
  <c r="AZ371" i="3" s="1"/>
  <c r="G372" i="3"/>
  <c r="BA374" i="3"/>
  <c r="AZ374" i="3" s="1"/>
  <c r="BL375" i="3"/>
  <c r="AZ375" i="3" s="1"/>
  <c r="G376" i="3"/>
  <c r="BA378" i="3"/>
  <c r="AZ378" i="3" s="1"/>
  <c r="BL379" i="3"/>
  <c r="AZ379" i="3" s="1"/>
  <c r="G380" i="3"/>
  <c r="BA382" i="3"/>
  <c r="AZ382" i="3" s="1"/>
  <c r="BL383" i="3"/>
  <c r="G384" i="3"/>
  <c r="AZ249" i="3"/>
  <c r="AZ253" i="3"/>
  <c r="AZ257" i="3"/>
  <c r="AZ383" i="3"/>
  <c r="AZ270" i="3"/>
  <c r="AZ274" i="3"/>
  <c r="AZ278" i="3"/>
  <c r="AZ282" i="3"/>
  <c r="AZ286" i="3"/>
  <c r="AZ290" i="3"/>
  <c r="AZ303" i="3"/>
  <c r="AZ335" i="3"/>
  <c r="AZ347" i="3"/>
  <c r="AZ361" i="3"/>
  <c r="AZ418" i="3"/>
  <c r="AZ434" i="3"/>
  <c r="AZ438"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00" i="3"/>
  <c r="AZ322" i="3"/>
  <c r="H11" i="37"/>
  <c r="AB11" i="37" s="1"/>
  <c r="W37" i="37"/>
  <c r="AA30" i="33"/>
  <c r="S42" i="33"/>
  <c r="U32" i="33"/>
  <c r="AB17" i="37"/>
  <c r="AC29" i="33"/>
  <c r="AA45" i="33"/>
  <c r="AC11" i="36"/>
  <c r="AC10" i="36"/>
  <c r="AC14" i="37"/>
  <c r="S25" i="35"/>
  <c r="W44" i="33"/>
  <c r="AC30" i="33"/>
  <c r="W30" i="33"/>
  <c r="W32" i="36"/>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J43" i="39"/>
  <c r="W43" i="39" s="1"/>
  <c r="S45" i="34"/>
  <c r="AC40" i="37"/>
  <c r="W40" i="37"/>
  <c r="W27" i="33"/>
  <c r="S14" i="21"/>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BL565" i="3"/>
  <c r="AZ565" i="3" s="1"/>
  <c r="BA564" i="3"/>
  <c r="BA563" i="3"/>
  <c r="AZ563" i="3" s="1"/>
  <c r="BA553" i="3"/>
  <c r="AZ553" i="3" s="1"/>
  <c r="BA552" i="3"/>
  <c r="BL549" i="3"/>
  <c r="AZ549" i="3" s="1"/>
  <c r="BA549" i="3"/>
  <c r="BL548" i="3"/>
  <c r="BA548" i="3"/>
  <c r="BL547" i="3"/>
  <c r="AZ547" i="3" s="1"/>
  <c r="BA547" i="3"/>
  <c r="BL539" i="3"/>
  <c r="BA539" i="3"/>
  <c r="AZ539" i="3"/>
  <c r="BA538" i="3"/>
  <c r="BL537" i="3"/>
  <c r="BA537" i="3"/>
  <c r="AZ537" i="3" s="1"/>
  <c r="BA535" i="3"/>
  <c r="AZ535" i="3"/>
  <c r="BA534" i="3"/>
  <c r="BA533" i="3"/>
  <c r="AZ533" i="3" s="1"/>
  <c r="BL531" i="3"/>
  <c r="BL530" i="3"/>
  <c r="BA530" i="3"/>
  <c r="BL529" i="3"/>
  <c r="BA529" i="3"/>
  <c r="BL528" i="3"/>
  <c r="BA527" i="3"/>
  <c r="AZ527" i="3" s="1"/>
  <c r="BA526" i="3"/>
  <c r="BA525" i="3"/>
  <c r="AZ525" i="3"/>
  <c r="BL523" i="3"/>
  <c r="BA523" i="3"/>
  <c r="AZ523" i="3" s="1"/>
  <c r="BL522" i="3"/>
  <c r="BA522" i="3"/>
  <c r="AZ522" i="3" s="1"/>
  <c r="BL521" i="3"/>
  <c r="AZ521" i="3" s="1"/>
  <c r="BA519" i="3"/>
  <c r="AZ519" i="3" s="1"/>
  <c r="BL518" i="3"/>
  <c r="BA518" i="3"/>
  <c r="BL517" i="3"/>
  <c r="AZ517" i="3" s="1"/>
  <c r="BA517" i="3"/>
  <c r="BL515" i="3"/>
  <c r="BA515" i="3"/>
  <c r="AZ515" i="3" s="1"/>
  <c r="BA514" i="3"/>
  <c r="BL513" i="3"/>
  <c r="BA513" i="3"/>
  <c r="BL512" i="3"/>
  <c r="AZ512" i="3" s="1"/>
  <c r="BA511" i="3"/>
  <c r="AZ511" i="3" s="1"/>
  <c r="BA510" i="3"/>
  <c r="BL509" i="3"/>
  <c r="BL507" i="3"/>
  <c r="AZ507" i="3" s="1"/>
  <c r="BA507" i="3"/>
  <c r="BA506" i="3"/>
  <c r="BL505" i="3"/>
  <c r="AZ505" i="3" s="1"/>
  <c r="BL504" i="3"/>
  <c r="AZ504" i="3" s="1"/>
  <c r="BA504" i="3"/>
  <c r="BA503" i="3"/>
  <c r="AZ503" i="3" s="1"/>
  <c r="BA500" i="3"/>
  <c r="BL499" i="3"/>
  <c r="BA499" i="3"/>
  <c r="AZ499" i="3"/>
  <c r="BL497" i="3"/>
  <c r="BA497" i="3"/>
  <c r="AZ497" i="3" s="1"/>
  <c r="BL496" i="3"/>
  <c r="BA496" i="3"/>
  <c r="AZ496" i="3" s="1"/>
  <c r="BA495" i="3"/>
  <c r="BL494" i="3"/>
  <c r="BA494" i="3"/>
  <c r="AZ494" i="3"/>
  <c r="BA491" i="3"/>
  <c r="AZ491" i="3" s="1"/>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1" i="3"/>
  <c r="AZ439" i="3"/>
  <c r="B41" i="1"/>
  <c r="F34" i="44" s="1"/>
  <c r="J42" i="40"/>
  <c r="AC42" i="40" s="1"/>
  <c r="J40" i="40"/>
  <c r="AC40" i="40" s="1"/>
  <c r="J34" i="40"/>
  <c r="AC34" i="40" s="1"/>
  <c r="H16" i="40"/>
  <c r="AB16" i="40" s="1"/>
  <c r="H14" i="40"/>
  <c r="U14" i="40" s="1"/>
  <c r="F32" i="40"/>
  <c r="AA32" i="40" s="1"/>
  <c r="AZ428" i="3"/>
  <c r="AZ433" i="3"/>
  <c r="AZ436" i="3"/>
  <c r="AZ441" i="3"/>
  <c r="AZ444" i="3"/>
  <c r="AZ449" i="3"/>
  <c r="M1" i="46"/>
  <c r="M6" i="46"/>
  <c r="M10" i="46"/>
  <c r="N2" i="46"/>
  <c r="N5" i="46"/>
  <c r="F58" i="46" s="1"/>
  <c r="F47" i="46"/>
  <c r="H49" i="46" s="1"/>
  <c r="N7" i="46"/>
  <c r="AZ466" i="3"/>
  <c r="AZ469" i="3"/>
  <c r="AZ388" i="3"/>
  <c r="AZ207" i="3"/>
  <c r="AZ215" i="3"/>
  <c r="AZ220" i="3"/>
  <c r="AZ223" i="3"/>
  <c r="AZ228" i="3"/>
  <c r="AZ231" i="3"/>
  <c r="AZ236" i="3"/>
  <c r="AZ239" i="3"/>
  <c r="AZ255" i="3"/>
  <c r="AZ260" i="3"/>
  <c r="AZ263" i="3"/>
  <c r="AZ268" i="3"/>
  <c r="AZ276" i="3"/>
  <c r="AZ281" i="3"/>
  <c r="AZ289" i="3"/>
  <c r="AZ292" i="3"/>
  <c r="AZ121" i="3"/>
  <c r="AZ137" i="3"/>
  <c r="AZ140" i="3"/>
  <c r="AZ152" i="3"/>
  <c r="M7" i="46"/>
  <c r="M11" i="46"/>
  <c r="N3" i="46"/>
  <c r="N6" i="46"/>
  <c r="N10" i="46"/>
  <c r="AZ164" i="3"/>
  <c r="AZ167" i="3"/>
  <c r="AZ177" i="3"/>
  <c r="AZ180" i="3"/>
  <c r="AZ32" i="3"/>
  <c r="AZ48" i="3"/>
  <c r="AZ63" i="3"/>
  <c r="AZ91" i="3"/>
  <c r="AZ107" i="3"/>
  <c r="AZ112" i="3"/>
  <c r="H47" i="46"/>
  <c r="J13" i="40"/>
  <c r="W13" i="40" s="1"/>
  <c r="W40" i="40"/>
  <c r="F27" i="43"/>
  <c r="F71" i="9"/>
  <c r="AC14" i="40"/>
  <c r="S33" i="40"/>
  <c r="AC47" i="39"/>
  <c r="U37" i="34"/>
  <c r="AC41" i="40"/>
  <c r="U41" i="40"/>
  <c r="J23" i="40"/>
  <c r="AC23" i="40" s="1"/>
  <c r="F23" i="40"/>
  <c r="S23" i="40" s="1"/>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AZ486" i="3"/>
  <c r="AZ529" i="3"/>
  <c r="AZ548" i="3"/>
  <c r="U39" i="39"/>
  <c r="J29" i="39"/>
  <c r="AC29" i="39" s="1"/>
  <c r="AB33" i="36"/>
  <c r="AA14" i="35"/>
  <c r="S14" i="35"/>
  <c r="AC30" i="34"/>
  <c r="W12" i="34"/>
  <c r="AC13" i="33"/>
  <c r="AA11" i="34"/>
  <c r="W32" i="33"/>
  <c r="H15" i="33"/>
  <c r="U15" i="33" s="1"/>
  <c r="AA11" i="33"/>
  <c r="AA40" i="21"/>
  <c r="U16" i="40"/>
  <c r="W34" i="40"/>
  <c r="AB34" i="40"/>
  <c r="U42" i="40"/>
  <c r="W32" i="40"/>
  <c r="H25" i="40"/>
  <c r="AB25" i="40" s="1"/>
  <c r="F94" i="40"/>
  <c r="G94" i="40" s="1"/>
  <c r="U47" i="39"/>
  <c r="J37" i="34"/>
  <c r="AC37" i="34" s="1"/>
  <c r="J36" i="33"/>
  <c r="W36" i="33" s="1"/>
  <c r="S41" i="40"/>
  <c r="J23" i="39"/>
  <c r="AC23" i="39" s="1"/>
  <c r="F97" i="39"/>
  <c r="H23" i="39" s="1"/>
  <c r="AB23" i="39" s="1"/>
  <c r="S16" i="39"/>
  <c r="S15" i="34"/>
  <c r="AA15" i="34"/>
  <c r="F106" i="33"/>
  <c r="G106" i="33" s="1"/>
  <c r="H106" i="33" s="1"/>
  <c r="I106" i="33" s="1"/>
  <c r="J106" i="33" s="1"/>
  <c r="K106" i="33" s="1"/>
  <c r="L106" i="33" s="1"/>
  <c r="M106" i="33" s="1"/>
  <c r="J34" i="33"/>
  <c r="AC34" i="33" s="1"/>
  <c r="U30" i="40"/>
  <c r="AA37" i="39"/>
  <c r="W29" i="35"/>
  <c r="W39" i="39"/>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AC36" i="33"/>
  <c r="F25" i="40"/>
  <c r="AA25" i="40" s="1"/>
  <c r="J11" i="33"/>
  <c r="W11" i="33" s="1"/>
  <c r="H33" i="37"/>
  <c r="AB33" i="37" s="1"/>
  <c r="W15" i="34"/>
  <c r="AB20" i="35"/>
  <c r="W23" i="40"/>
  <c r="D73" i="9"/>
  <c r="N73" i="9" s="1"/>
  <c r="AP11" i="1"/>
  <c r="J51" i="15"/>
  <c r="B11" i="1"/>
  <c r="E11" i="1" s="1"/>
  <c r="K11" i="1"/>
  <c r="M11" i="1" s="1"/>
  <c r="B9" i="1"/>
  <c r="E9" i="1" s="1"/>
  <c r="B7" i="1"/>
  <c r="E7" i="1" s="1"/>
  <c r="C20" i="43"/>
  <c r="E2" i="65"/>
  <c r="L47" i="68"/>
  <c r="K8" i="1" l="1"/>
  <c r="E9" i="12"/>
  <c r="E32" i="6"/>
  <c r="C9" i="12"/>
  <c r="C10" i="12" s="1"/>
  <c r="D9" i="12"/>
  <c r="K7" i="1"/>
  <c r="AA12" i="21"/>
  <c r="S12" i="21"/>
  <c r="W14" i="21"/>
  <c r="AC14" i="21"/>
  <c r="AA28" i="21"/>
  <c r="S28" i="21"/>
  <c r="U30" i="21"/>
  <c r="AB30" i="21"/>
  <c r="U44" i="21"/>
  <c r="AB44" i="21"/>
  <c r="AB46" i="21"/>
  <c r="U46" i="21"/>
  <c r="U28" i="33"/>
  <c r="AB28" i="33"/>
  <c r="AA31" i="33"/>
  <c r="S31" i="33"/>
  <c r="AA12" i="35"/>
  <c r="S12" i="35"/>
  <c r="S9" i="21"/>
  <c r="AA9" i="21"/>
  <c r="U14" i="37"/>
  <c r="AB14" i="37"/>
  <c r="AC39" i="37"/>
  <c r="W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09" i="3"/>
  <c r="AZ513" i="3"/>
  <c r="AZ518" i="3"/>
  <c r="AZ530" i="3"/>
  <c r="AZ552" i="3"/>
  <c r="AZ564" i="3"/>
  <c r="AZ566" i="3"/>
  <c r="AZ571" i="3"/>
  <c r="AA44" i="34"/>
  <c r="S28" i="33"/>
  <c r="U31" i="34"/>
  <c r="U25" i="35"/>
  <c r="AC29" i="37"/>
  <c r="AB45" i="34"/>
  <c r="AA36" i="37"/>
  <c r="AA36" i="35"/>
  <c r="S37" i="34"/>
  <c r="AB15" i="37"/>
  <c r="AZ370" i="3"/>
  <c r="AZ381" i="3"/>
  <c r="AZ372" i="3"/>
  <c r="AZ359" i="3"/>
  <c r="AZ355" i="3"/>
  <c r="AZ307" i="3"/>
  <c r="AZ354" i="3"/>
  <c r="AZ343" i="3"/>
  <c r="AZ327" i="3"/>
  <c r="S39" i="33"/>
  <c r="U39" i="37"/>
  <c r="AC41" i="34"/>
  <c r="AZ492" i="3"/>
  <c r="AZ526" i="3"/>
  <c r="AZ534"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393" i="3"/>
  <c r="AZ406" i="3"/>
  <c r="AZ412" i="3"/>
  <c r="AZ425" i="3"/>
  <c r="AZ502" i="3"/>
  <c r="AZ550" i="3"/>
  <c r="AZ556" i="3"/>
  <c r="BF5" i="3"/>
  <c r="F34" i="15"/>
  <c r="F61" i="15" s="1"/>
  <c r="F34" i="73"/>
  <c r="M20" i="73"/>
  <c r="M20" i="72"/>
  <c r="M20" i="71"/>
  <c r="F34" i="72"/>
  <c r="F34" i="71"/>
  <c r="J42" i="39"/>
  <c r="AC42" i="39" s="1"/>
  <c r="A14" i="55"/>
  <c r="B65" i="63" s="1"/>
  <c r="E23" i="6"/>
  <c r="G9" i="12" s="1"/>
  <c r="K145" i="21"/>
  <c r="BL390" i="3"/>
  <c r="AZ390" i="3" s="1"/>
  <c r="G393" i="3"/>
  <c r="BL393" i="3"/>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AZ419" i="3" s="1"/>
  <c r="BA420" i="3"/>
  <c r="AZ420" i="3" s="1"/>
  <c r="BL422" i="3"/>
  <c r="AZ422" i="3" s="1"/>
  <c r="G425" i="3"/>
  <c r="BL425" i="3"/>
  <c r="G428" i="3"/>
  <c r="G429" i="3"/>
  <c r="BL429" i="3"/>
  <c r="AZ429" i="3" s="1"/>
  <c r="G433" i="3"/>
  <c r="G434" i="3"/>
  <c r="G435" i="3"/>
  <c r="BL435" i="3"/>
  <c r="G438" i="3"/>
  <c r="G439" i="3"/>
  <c r="G440" i="3"/>
  <c r="BL440" i="3"/>
  <c r="BL442" i="3"/>
  <c r="AZ442" i="3" s="1"/>
  <c r="G444" i="3"/>
  <c r="G445" i="3"/>
  <c r="BL445" i="3"/>
  <c r="G448" i="3"/>
  <c r="BL448" i="3"/>
  <c r="AZ448" i="3" s="1"/>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AZ227" i="3"/>
  <c r="BA229" i="3"/>
  <c r="AZ229" i="3" s="1"/>
  <c r="AZ232" i="3"/>
  <c r="BA233" i="3"/>
  <c r="AZ233" i="3" s="1"/>
  <c r="BL238" i="3"/>
  <c r="G241" i="3"/>
  <c r="G242" i="3"/>
  <c r="BL242" i="3"/>
  <c r="AZ242" i="3" s="1"/>
  <c r="BA243" i="3"/>
  <c r="AZ243" i="3" s="1"/>
  <c r="BA244" i="3"/>
  <c r="AZ244" i="3" s="1"/>
  <c r="BA245" i="3"/>
  <c r="AZ245" i="3" s="1"/>
  <c r="BL247" i="3"/>
  <c r="AZ247" i="3" s="1"/>
  <c r="BA248" i="3"/>
  <c r="AZ248" i="3" s="1"/>
  <c r="AZ445" i="3"/>
  <c r="AZ468" i="3"/>
  <c r="BA208" i="3"/>
  <c r="AZ208" i="3" s="1"/>
  <c r="BA209" i="3"/>
  <c r="AZ209" i="3" s="1"/>
  <c r="BA219" i="3"/>
  <c r="AZ219" i="3" s="1"/>
  <c r="BA221" i="3"/>
  <c r="AZ221" i="3" s="1"/>
  <c r="BA224" i="3"/>
  <c r="AZ224" i="3" s="1"/>
  <c r="AZ235" i="3"/>
  <c r="AZ238" i="3"/>
  <c r="AZ251" i="3"/>
  <c r="BA252" i="3"/>
  <c r="AZ252" i="3" s="1"/>
  <c r="BA256" i="3"/>
  <c r="AZ256" i="3" s="1"/>
  <c r="AZ267" i="3"/>
  <c r="AZ271" i="3"/>
  <c r="BL273" i="3"/>
  <c r="AZ273" i="3" s="1"/>
  <c r="G276" i="3"/>
  <c r="G277" i="3"/>
  <c r="BL277" i="3"/>
  <c r="G280" i="3"/>
  <c r="BL280" i="3"/>
  <c r="BA283" i="3"/>
  <c r="AZ283" i="3" s="1"/>
  <c r="BA284" i="3"/>
  <c r="AZ284" i="3" s="1"/>
  <c r="BA287" i="3"/>
  <c r="AZ287" i="3" s="1"/>
  <c r="AZ294" i="3"/>
  <c r="BA295" i="3"/>
  <c r="AZ295" i="3" s="1"/>
  <c r="BA124" i="3"/>
  <c r="AZ124" i="3" s="1"/>
  <c r="G130" i="3"/>
  <c r="G133" i="3"/>
  <c r="BL133" i="3"/>
  <c r="BA135" i="3"/>
  <c r="AZ135" i="3" s="1"/>
  <c r="BL136" i="3"/>
  <c r="G139" i="3"/>
  <c r="AZ144" i="3"/>
  <c r="G173" i="3"/>
  <c r="G176" i="3"/>
  <c r="BL176" i="3"/>
  <c r="AZ259"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AZ64" i="3" s="1"/>
  <c r="BA65" i="3"/>
  <c r="AZ65" i="3" s="1"/>
  <c r="BA66" i="3"/>
  <c r="AZ66" i="3" s="1"/>
  <c r="G69" i="3"/>
  <c r="BL69" i="3"/>
  <c r="BL71" i="3"/>
  <c r="AZ71"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G1" i="73"/>
  <c r="G1" i="72"/>
  <c r="G1" i="71"/>
  <c r="E26" i="57"/>
  <c r="I10" i="57"/>
  <c r="F32" i="73"/>
  <c r="F28" i="73"/>
  <c r="C28" i="73" s="1"/>
  <c r="M18" i="73"/>
  <c r="M18" i="72"/>
  <c r="M18" i="71"/>
  <c r="F32" i="72"/>
  <c r="F28" i="72"/>
  <c r="C28" i="72" s="1"/>
  <c r="F32" i="71"/>
  <c r="F28" i="71"/>
  <c r="C28" i="71" s="1"/>
  <c r="H43" i="39"/>
  <c r="U43" i="39" s="1"/>
  <c r="H42" i="39"/>
  <c r="AB42" i="39" s="1"/>
  <c r="U34" i="39"/>
  <c r="U27" i="39"/>
  <c r="U21" i="39"/>
  <c r="AB19" i="39"/>
  <c r="AB17" i="39"/>
  <c r="S17" i="39"/>
  <c r="AA33" i="39"/>
  <c r="AA19" i="39"/>
  <c r="S42" i="39"/>
  <c r="AC43" i="39"/>
  <c r="AC33" i="39"/>
  <c r="AB29" i="39"/>
  <c r="AB25" i="39"/>
  <c r="S23" i="39"/>
  <c r="W14" i="39"/>
  <c r="AP10" i="1"/>
  <c r="G10" i="1"/>
  <c r="BT5" i="3"/>
  <c r="BL22" i="3"/>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B44" i="33"/>
  <c r="AA23" i="37"/>
  <c r="AB43" i="33"/>
  <c r="AZ572" i="3"/>
  <c r="W42" i="21"/>
  <c r="AA38" i="21"/>
  <c r="G572" i="3"/>
  <c r="H5" i="3"/>
  <c r="AB9" i="33"/>
  <c r="U9" i="33"/>
  <c r="AA33" i="33"/>
  <c r="S33" i="33"/>
  <c r="AB38" i="33"/>
  <c r="U38" i="33"/>
  <c r="J9" i="33"/>
  <c r="F9" i="33"/>
  <c r="AA9" i="33" s="1"/>
  <c r="F28" i="34"/>
  <c r="J28" i="34"/>
  <c r="H45" i="33"/>
  <c r="J45" i="33"/>
  <c r="H12" i="35"/>
  <c r="J12" i="35"/>
  <c r="AC24"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AB24" i="36"/>
  <c r="U24" i="36"/>
  <c r="W24" i="36"/>
  <c r="AC24" i="36"/>
  <c r="J26" i="37"/>
  <c r="F26" i="37"/>
  <c r="AA26" i="37" s="1"/>
  <c r="H40" i="37"/>
  <c r="F40" i="37"/>
  <c r="AA40" i="37" s="1"/>
  <c r="J17" i="40"/>
  <c r="F86" i="40"/>
  <c r="G86" i="40" s="1"/>
  <c r="AZ389" i="3"/>
  <c r="AZ404" i="3"/>
  <c r="BL13" i="3"/>
  <c r="BI5" i="3"/>
  <c r="G15" i="3"/>
  <c r="G14" i="3"/>
  <c r="C18" i="9"/>
  <c r="A30" i="64"/>
  <c r="A30" i="51"/>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8" i="3"/>
  <c r="AZ155" i="3"/>
  <c r="AZ61" i="3"/>
  <c r="AZ67" i="3"/>
  <c r="AZ168" i="3"/>
  <c r="AZ171" i="3"/>
  <c r="AZ186" i="3"/>
  <c r="AZ194" i="3"/>
  <c r="AZ33" i="3"/>
  <c r="AZ38" i="3"/>
  <c r="AZ49" i="3"/>
  <c r="AZ54" i="3"/>
  <c r="AZ22" i="3"/>
  <c r="G22" i="3"/>
  <c r="AZ69" i="3"/>
  <c r="AZ73" i="3"/>
  <c r="AZ83" i="3"/>
  <c r="AZ87" i="3"/>
  <c r="AZ93" i="3"/>
  <c r="AZ96" i="3"/>
  <c r="AZ103"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52" i="15"/>
  <c r="A4" i="64"/>
  <c r="A4" i="51"/>
  <c r="C51" i="10"/>
  <c r="H58" i="46"/>
  <c r="H61" i="46"/>
  <c r="H62" i="46"/>
  <c r="H71"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28" i="15"/>
  <c r="L48" i="44"/>
  <c r="J36" i="15"/>
  <c r="F45" i="44"/>
  <c r="F28" i="44"/>
  <c r="M11" i="44"/>
  <c r="F18" i="44"/>
  <c r="L48" i="15"/>
  <c r="F37" i="15"/>
  <c r="M8" i="15"/>
  <c r="M29" i="68"/>
  <c r="M31" i="44"/>
  <c r="F40" i="44"/>
  <c r="M28" i="44"/>
  <c r="L49" i="44"/>
  <c r="M30" i="44"/>
  <c r="M26" i="44"/>
  <c r="M23" i="15"/>
  <c r="F42" i="15"/>
  <c r="M24" i="44"/>
  <c r="F38" i="44"/>
  <c r="M26" i="15"/>
  <c r="F16" i="15"/>
  <c r="M25" i="44"/>
  <c r="M22" i="15"/>
  <c r="F36" i="15"/>
  <c r="F15" i="44"/>
  <c r="F8" i="44"/>
  <c r="F31" i="68"/>
  <c r="F9" i="44"/>
  <c r="F43" i="68"/>
  <c r="M6" i="15"/>
  <c r="F8" i="15"/>
  <c r="M29" i="15"/>
  <c r="F7" i="68"/>
  <c r="F39" i="44"/>
  <c r="M8" i="44"/>
  <c r="J17" i="44"/>
  <c r="M10" i="44"/>
  <c r="F11" i="44"/>
  <c r="F9" i="15"/>
  <c r="F43" i="44"/>
  <c r="F10" i="44"/>
  <c r="H76" i="46" l="1"/>
  <c r="F61" i="71"/>
  <c r="K9" i="1"/>
  <c r="F9" i="12"/>
  <c r="W25" i="37"/>
  <c r="AC25" i="37"/>
  <c r="AC9" i="21"/>
  <c r="W9" i="21"/>
  <c r="W12" i="21"/>
  <c r="AC12" i="21"/>
  <c r="U14" i="21"/>
  <c r="AB14" i="21"/>
  <c r="AA46" i="21"/>
  <c r="S46" i="21"/>
  <c r="M8" i="1"/>
  <c r="O8" i="1" s="1"/>
  <c r="P8" i="1" s="1"/>
  <c r="AH8" i="1"/>
  <c r="M10" i="1"/>
  <c r="O10" i="1" s="1"/>
  <c r="P10" i="1" s="1"/>
  <c r="AH10" i="1"/>
  <c r="F61" i="72"/>
  <c r="F61" i="73"/>
  <c r="AB9" i="21"/>
  <c r="U9" i="21"/>
  <c r="AC30" i="21"/>
  <c r="W30" i="21"/>
  <c r="W28" i="33"/>
  <c r="AC28" i="33"/>
  <c r="M7" i="1"/>
  <c r="O7" i="1" s="1"/>
  <c r="P7" i="1" s="1"/>
  <c r="AH7" i="1"/>
  <c r="F59" i="71"/>
  <c r="F59" i="72"/>
  <c r="F59" i="73"/>
  <c r="C24" i="73"/>
  <c r="F24" i="71"/>
  <c r="F24" i="72"/>
  <c r="C24" i="71"/>
  <c r="AB11" i="46"/>
  <c r="AB13" i="46" s="1"/>
  <c r="C16" i="46"/>
  <c r="C5" i="46" s="1"/>
  <c r="F71" i="68"/>
  <c r="F50" i="68"/>
  <c r="M7" i="68"/>
  <c r="C6" i="68"/>
  <c r="C5" i="68"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AP16" i="1" s="1"/>
  <c r="F22" i="11" s="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S6" i="46"/>
  <c r="S5" i="46"/>
  <c r="AF11" i="46"/>
  <c r="AF13" i="46" s="1"/>
  <c r="S2" i="46"/>
  <c r="AI11" i="46"/>
  <c r="AI13" i="46" s="1"/>
  <c r="AA11" i="46"/>
  <c r="AA13" i="46" s="1"/>
  <c r="E297" i="3"/>
  <c r="AO6" i="3"/>
  <c r="E561" i="3"/>
  <c r="E476" i="3"/>
  <c r="C23" i="46"/>
  <c r="C21" i="46" s="1"/>
  <c r="C29" i="46" s="1"/>
  <c r="E29" i="46" s="1"/>
  <c r="S3" i="46"/>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F64" i="15"/>
  <c r="Q72" i="15"/>
  <c r="F50" i="15"/>
  <c r="F63" i="15"/>
  <c r="L56" i="15"/>
  <c r="J57" i="15"/>
  <c r="J55" i="15" s="1"/>
  <c r="J58" i="15" s="1"/>
  <c r="Q51" i="15" s="1"/>
  <c r="G66" i="36"/>
  <c r="J18" i="36"/>
  <c r="AE6" i="1"/>
  <c r="M19" i="44"/>
  <c r="M17" i="15"/>
  <c r="F31" i="15"/>
  <c r="F33" i="44"/>
  <c r="F58" i="15"/>
  <c r="J15" i="15"/>
  <c r="M9" i="15"/>
  <c r="L48" i="71"/>
  <c r="M6" i="71"/>
  <c r="J36" i="71"/>
  <c r="F16" i="73"/>
  <c r="M26" i="73"/>
  <c r="M9" i="73"/>
  <c r="M27" i="72"/>
  <c r="F16" i="72"/>
  <c r="M9" i="72"/>
  <c r="L47" i="15"/>
  <c r="F9" i="71"/>
  <c r="F38" i="71"/>
  <c r="F6" i="71"/>
  <c r="M29" i="71"/>
  <c r="J15" i="73"/>
  <c r="F8" i="73"/>
  <c r="M27" i="73"/>
  <c r="F13" i="73"/>
  <c r="F6" i="72"/>
  <c r="F42" i="72"/>
  <c r="M24" i="72"/>
  <c r="C18" i="44"/>
  <c r="C16" i="15"/>
  <c r="M24" i="15"/>
  <c r="F8" i="71"/>
  <c r="J15" i="71"/>
  <c r="M24" i="71"/>
  <c r="M8" i="71"/>
  <c r="M24" i="73"/>
  <c r="M6" i="73"/>
  <c r="F9" i="73"/>
  <c r="L48" i="72"/>
  <c r="M8" i="72"/>
  <c r="F43" i="72"/>
  <c r="F26" i="15"/>
  <c r="F16" i="71"/>
  <c r="M28" i="71"/>
  <c r="F38" i="73"/>
  <c r="M28" i="73"/>
  <c r="F40" i="72"/>
  <c r="F26" i="72"/>
  <c r="AE7" i="1"/>
  <c r="F40" i="15"/>
  <c r="F37" i="71"/>
  <c r="F26" i="73"/>
  <c r="F7" i="72"/>
  <c r="F13" i="72"/>
  <c r="C16" i="68"/>
  <c r="F13" i="15"/>
  <c r="F43" i="71"/>
  <c r="F36" i="71"/>
  <c r="L47" i="73"/>
  <c r="F7" i="73"/>
  <c r="F38" i="72"/>
  <c r="M29" i="72"/>
  <c r="M27" i="71"/>
  <c r="M23" i="71"/>
  <c r="M23" i="73"/>
  <c r="F42" i="73"/>
  <c r="M26" i="72"/>
  <c r="M28" i="72"/>
  <c r="F46" i="44"/>
  <c r="F6" i="15"/>
  <c r="F13" i="71"/>
  <c r="F37" i="73"/>
  <c r="M29" i="73"/>
  <c r="M22" i="72"/>
  <c r="F36" i="72"/>
  <c r="L47" i="71"/>
  <c r="M9" i="71"/>
  <c r="J36" i="73"/>
  <c r="J36" i="72"/>
  <c r="M26" i="71"/>
  <c r="F40" i="73"/>
  <c r="M6" i="72"/>
  <c r="F41" i="68"/>
  <c r="F7" i="71"/>
  <c r="L48" i="73"/>
  <c r="F8" i="72"/>
  <c r="M23" i="72"/>
  <c r="F38" i="15"/>
  <c r="M22" i="71"/>
  <c r="M22" i="73"/>
  <c r="F6" i="73"/>
  <c r="F9" i="72"/>
  <c r="F37" i="72"/>
  <c r="M17" i="68"/>
  <c r="F40" i="71"/>
  <c r="F26" i="71"/>
  <c r="F43" i="73"/>
  <c r="L47" i="72"/>
  <c r="F43" i="15"/>
  <c r="F42" i="71"/>
  <c r="F36" i="73"/>
  <c r="J15" i="72"/>
  <c r="F59" i="68"/>
  <c r="M8" i="73"/>
  <c r="F7" i="15"/>
  <c r="M7" i="15" l="1"/>
  <c r="J6" i="15" s="1"/>
  <c r="J5" i="15" s="1"/>
  <c r="J18" i="15" s="1"/>
  <c r="F49" i="15"/>
  <c r="C48" i="15" s="1"/>
  <c r="Q72" i="72"/>
  <c r="F64" i="72"/>
  <c r="C27" i="72"/>
  <c r="C6" i="72"/>
  <c r="C5" i="72" s="1"/>
  <c r="F67" i="72"/>
  <c r="M7" i="72"/>
  <c r="J6" i="72" s="1"/>
  <c r="J5" i="72" s="1"/>
  <c r="F49" i="72"/>
  <c r="Q72" i="73"/>
  <c r="C6" i="73"/>
  <c r="C5" i="73" s="1"/>
  <c r="C27" i="73"/>
  <c r="F50" i="73"/>
  <c r="F63" i="73"/>
  <c r="F67" i="73"/>
  <c r="F65" i="73"/>
  <c r="F64" i="71"/>
  <c r="C6" i="71"/>
  <c r="C10" i="71"/>
  <c r="F65" i="71"/>
  <c r="L59" i="71"/>
  <c r="L58" i="71"/>
  <c r="C27" i="15"/>
  <c r="F65" i="15"/>
  <c r="F67" i="15"/>
  <c r="L58" i="15"/>
  <c r="Q74" i="15" s="1"/>
  <c r="L59" i="15"/>
  <c r="Q75" i="15" s="1"/>
  <c r="F70" i="15"/>
  <c r="F70" i="72"/>
  <c r="F63" i="72"/>
  <c r="F65" i="72"/>
  <c r="J59" i="72"/>
  <c r="J57" i="72"/>
  <c r="J55" i="72" s="1"/>
  <c r="J58" i="72" s="1"/>
  <c r="Q51" i="72" s="1"/>
  <c r="I54" i="72"/>
  <c r="J53" i="72"/>
  <c r="L56" i="72"/>
  <c r="J60" i="72"/>
  <c r="Q49" i="72" s="1"/>
  <c r="L59" i="72"/>
  <c r="L58" i="72"/>
  <c r="F50" i="72"/>
  <c r="M7" i="73"/>
  <c r="F49" i="73"/>
  <c r="J6" i="73"/>
  <c r="J5" i="73" s="1"/>
  <c r="F70" i="73"/>
  <c r="L56" i="73"/>
  <c r="I54" i="73"/>
  <c r="J53" i="73"/>
  <c r="J59" i="73"/>
  <c r="L57" i="73"/>
  <c r="J57" i="73"/>
  <c r="J55" i="73" s="1"/>
  <c r="J58" i="73" s="1"/>
  <c r="Q51" i="73" s="1"/>
  <c r="L60" i="73"/>
  <c r="J60" i="73"/>
  <c r="Q49" i="73" s="1"/>
  <c r="F64" i="73"/>
  <c r="L59" i="73"/>
  <c r="L58" i="73"/>
  <c r="Q72" i="71"/>
  <c r="C27" i="71"/>
  <c r="F63" i="71"/>
  <c r="F70" i="71"/>
  <c r="J53" i="71"/>
  <c r="L56" i="71"/>
  <c r="J59" i="71"/>
  <c r="J60" i="71"/>
  <c r="Q49" i="71" s="1"/>
  <c r="I54" i="71"/>
  <c r="J57" i="71"/>
  <c r="J55" i="71" s="1"/>
  <c r="J58" i="71" s="1"/>
  <c r="Q51" i="71" s="1"/>
  <c r="F67" i="71"/>
  <c r="F49" i="71"/>
  <c r="M7" i="71"/>
  <c r="J6" i="71" s="1"/>
  <c r="J5" i="71" s="1"/>
  <c r="F50" i="71"/>
  <c r="C48" i="71" s="1"/>
  <c r="C47" i="71" s="1"/>
  <c r="C10" i="15"/>
  <c r="C6" i="15"/>
  <c r="H7" i="36"/>
  <c r="AB7" i="36" s="1"/>
  <c r="T36" i="36" s="1"/>
  <c r="G36" i="36" s="1"/>
  <c r="G40" i="36" s="1"/>
  <c r="H40" i="36" s="1"/>
  <c r="J7" i="35"/>
  <c r="AC7" i="35" s="1"/>
  <c r="V38" i="35" s="1"/>
  <c r="I38" i="35" s="1"/>
  <c r="F7" i="34"/>
  <c r="M9" i="1"/>
  <c r="AO9" i="1"/>
  <c r="C24" i="72"/>
  <c r="T6" i="46"/>
  <c r="V6" i="46" s="1"/>
  <c r="C37" i="46"/>
  <c r="G37" i="46" s="1"/>
  <c r="I37" i="46" s="1"/>
  <c r="T15" i="46"/>
  <c r="V15" i="46" s="1"/>
  <c r="T11" i="46"/>
  <c r="V11" i="46" s="1"/>
  <c r="T5" i="46"/>
  <c r="V5" i="46" s="1"/>
  <c r="T14" i="46"/>
  <c r="V14" i="46" s="1"/>
  <c r="T10" i="46"/>
  <c r="V10" i="46" s="1"/>
  <c r="T3" i="46"/>
  <c r="V3" i="46" s="1"/>
  <c r="T2" i="46"/>
  <c r="V2" i="46" s="1"/>
  <c r="J7" i="36"/>
  <c r="W7" i="36" s="1"/>
  <c r="F7" i="36"/>
  <c r="H7" i="35"/>
  <c r="AB7" i="35" s="1"/>
  <c r="T38" i="35" s="1"/>
  <c r="G38" i="35" s="1"/>
  <c r="G42" i="35" s="1"/>
  <c r="H42" i="35" s="1"/>
  <c r="F7" i="35"/>
  <c r="H7" i="34"/>
  <c r="AB7" i="34" s="1"/>
  <c r="T49" i="34" s="1"/>
  <c r="G49" i="34" s="1"/>
  <c r="G53" i="34" s="1"/>
  <c r="H53" i="34" s="1"/>
  <c r="J7" i="34"/>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53" i="15"/>
  <c r="AB12" i="39"/>
  <c r="C20" i="11"/>
  <c r="C21" i="11" s="1"/>
  <c r="C22" i="11" s="1"/>
  <c r="C23" i="11" s="1"/>
  <c r="B2" i="11" s="1"/>
  <c r="AC12" i="40"/>
  <c r="W12" i="40"/>
  <c r="E46" i="37"/>
  <c r="F46" i="37" s="1"/>
  <c r="C48" i="33"/>
  <c r="C49" i="33"/>
  <c r="B3" i="33" s="1"/>
  <c r="B2" i="33" s="1"/>
  <c r="F41" i="15"/>
  <c r="L52" i="44"/>
  <c r="M27" i="15"/>
  <c r="C16" i="73"/>
  <c r="M27" i="68"/>
  <c r="C16" i="72"/>
  <c r="M29" i="44"/>
  <c r="C16" i="71"/>
  <c r="F7" i="67"/>
  <c r="Q61" i="15" l="1"/>
  <c r="C5" i="15"/>
  <c r="C65" i="71"/>
  <c r="Q62" i="15"/>
  <c r="C48" i="72"/>
  <c r="C47" i="72" s="1"/>
  <c r="F68" i="15"/>
  <c r="C5" i="71"/>
  <c r="C38" i="71" s="1"/>
  <c r="C59" i="71"/>
  <c r="J24" i="71"/>
  <c r="J26" i="71"/>
  <c r="J18" i="71"/>
  <c r="O9" i="1"/>
  <c r="P9" i="1" s="1"/>
  <c r="Q74" i="73"/>
  <c r="Q61" i="73"/>
  <c r="L46" i="73"/>
  <c r="Q58" i="73"/>
  <c r="Q67" i="73"/>
  <c r="F1" i="73"/>
  <c r="Q53" i="73"/>
  <c r="Q62" i="72"/>
  <c r="Q75" i="72"/>
  <c r="Q74" i="71"/>
  <c r="Q61" i="71"/>
  <c r="C48" i="73"/>
  <c r="C47" i="73" s="1"/>
  <c r="C38" i="73"/>
  <c r="C32" i="73"/>
  <c r="J24" i="72"/>
  <c r="J26" i="72"/>
  <c r="J18" i="72"/>
  <c r="F1" i="71"/>
  <c r="Q53" i="71"/>
  <c r="Q62" i="73"/>
  <c r="Q75" i="73"/>
  <c r="J24" i="73"/>
  <c r="J26" i="73"/>
  <c r="J18" i="73"/>
  <c r="Q74" i="72"/>
  <c r="Q61" i="72"/>
  <c r="Q53" i="72"/>
  <c r="F1" i="72"/>
  <c r="Q62" i="71"/>
  <c r="Q75" i="71"/>
  <c r="C38" i="72"/>
  <c r="C32" i="72"/>
  <c r="M23" i="6"/>
  <c r="I23" i="6" s="1"/>
  <c r="S23" i="6" s="1"/>
  <c r="S10" i="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72"/>
  <c r="C14" i="68"/>
  <c r="AE9" i="1"/>
  <c r="AE10" i="1"/>
  <c r="AE8" i="1"/>
  <c r="E7" i="67"/>
  <c r="C17" i="71"/>
  <c r="C17" i="68"/>
  <c r="C17" i="73"/>
  <c r="C17" i="15"/>
  <c r="C32" i="71" l="1"/>
  <c r="C65" i="72"/>
  <c r="C59" i="72"/>
  <c r="C65" i="73"/>
  <c r="C59" i="73"/>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1"/>
  <c r="F41" i="73"/>
  <c r="F41" i="72"/>
  <c r="B7" i="67"/>
  <c r="J29" i="73" l="1"/>
  <c r="F68" i="73"/>
  <c r="J29" i="71"/>
  <c r="F68" i="71"/>
  <c r="F68" i="72"/>
  <c r="J29" i="72"/>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3"/>
  <c r="C14" i="72"/>
  <c r="C14" i="15"/>
  <c r="C14" i="71"/>
  <c r="M21" i="73"/>
  <c r="C16" i="44"/>
  <c r="F35" i="73"/>
  <c r="C15" i="71" l="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1"/>
  <c r="F35" i="15"/>
  <c r="M21" i="72"/>
  <c r="F35" i="68"/>
  <c r="M21" i="15"/>
  <c r="F35" i="72"/>
  <c r="M21" i="68"/>
  <c r="F37" i="44"/>
  <c r="F35" i="71"/>
  <c r="M23" i="44"/>
  <c r="C19" i="72" l="1"/>
  <c r="C19" i="73"/>
  <c r="C19" i="71"/>
  <c r="C20" i="71" s="1"/>
  <c r="J20" i="71"/>
  <c r="F62" i="71"/>
  <c r="C61" i="71" s="1"/>
  <c r="C34" i="71"/>
  <c r="F62" i="72"/>
  <c r="C61" i="72" s="1"/>
  <c r="C34" i="72"/>
  <c r="J20" i="72"/>
  <c r="C20" i="73"/>
  <c r="C26" i="73" s="1"/>
  <c r="C20" i="72"/>
  <c r="C26" i="72" s="1"/>
  <c r="Q67" i="72"/>
  <c r="Q58" i="72"/>
  <c r="J20" i="68"/>
  <c r="C34" i="68"/>
  <c r="F63" i="68"/>
  <c r="C62" i="68" s="1"/>
  <c r="C57" i="68"/>
  <c r="J14" i="68"/>
  <c r="C13" i="68"/>
  <c r="C36" i="68"/>
  <c r="C33" i="68"/>
  <c r="Q49" i="68"/>
  <c r="J19" i="68"/>
  <c r="J59" i="68"/>
  <c r="J60" i="68" s="1"/>
  <c r="C21" i="44"/>
  <c r="C22" i="44" s="1"/>
  <c r="C25" i="44" s="1"/>
  <c r="C19" i="15"/>
  <c r="J20" i="15"/>
  <c r="C36" i="44"/>
  <c r="C34" i="15"/>
  <c r="F62" i="15"/>
  <c r="C61" i="15" s="1"/>
  <c r="J22" i="44"/>
  <c r="C20" i="15"/>
  <c r="C23" i="15" s="1"/>
  <c r="C18" i="12"/>
  <c r="R16" i="1"/>
  <c r="D31" i="6"/>
  <c r="I6" i="6" s="1"/>
  <c r="I7" i="6" s="1"/>
  <c r="C13" i="39" s="1"/>
  <c r="R27" i="6"/>
  <c r="C18" i="43"/>
  <c r="K70" i="39"/>
  <c r="J72" i="39"/>
  <c r="K65" i="40"/>
  <c r="J67" i="40"/>
  <c r="C65" i="15"/>
  <c r="C59" i="15"/>
  <c r="C26" i="71" l="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56" i="73" l="1"/>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J22" i="73"/>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37" i="73" l="1"/>
  <c r="C30" i="73" s="1"/>
  <c r="C39" i="73" s="1"/>
  <c r="C60" i="73"/>
  <c r="C58" i="73" s="1"/>
  <c r="C55" i="73"/>
  <c r="C64" i="73" s="1"/>
  <c r="J35" i="73"/>
  <c r="C56" i="71"/>
  <c r="C33" i="71"/>
  <c r="C31" i="71" s="1"/>
  <c r="J14" i="71"/>
  <c r="J19" i="71"/>
  <c r="J17" i="71" s="1"/>
  <c r="C36" i="71"/>
  <c r="C13" i="71"/>
  <c r="Q50" i="71"/>
  <c r="J16" i="73"/>
  <c r="J25" i="73" s="1"/>
  <c r="C63" i="72"/>
  <c r="C60" i="72"/>
  <c r="C58" i="72" s="1"/>
  <c r="C37" i="72"/>
  <c r="Q71" i="72"/>
  <c r="J35" i="72"/>
  <c r="C55" i="72"/>
  <c r="C64" i="72" s="1"/>
  <c r="C30" i="72"/>
  <c r="C39" i="72" s="1"/>
  <c r="J13" i="72"/>
  <c r="J23" i="72" s="1"/>
  <c r="J22" i="72"/>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Q70" i="73" l="1"/>
  <c r="Q69" i="73" s="1"/>
  <c r="C40" i="73"/>
  <c r="C57" i="73"/>
  <c r="C66" i="73" s="1"/>
  <c r="C67" i="73" s="1"/>
  <c r="J39" i="73"/>
  <c r="J40" i="73" s="1"/>
  <c r="J16" i="72"/>
  <c r="J25" i="72" s="1"/>
  <c r="J22" i="71"/>
  <c r="J13" i="71"/>
  <c r="J23" i="71" s="1"/>
  <c r="C63" i="71"/>
  <c r="C60" i="71"/>
  <c r="C58" i="71" s="1"/>
  <c r="C55" i="71"/>
  <c r="C64" i="71" s="1"/>
  <c r="C37" i="71"/>
  <c r="C30" i="71" s="1"/>
  <c r="C39" i="71" s="1"/>
  <c r="Q71" i="71"/>
  <c r="J35" i="71"/>
  <c r="J39" i="71" s="1"/>
  <c r="J40" i="71" s="1"/>
  <c r="Q68" i="73"/>
  <c r="Q70" i="72"/>
  <c r="Q69" i="72" s="1"/>
  <c r="C40" i="72"/>
  <c r="C57" i="72"/>
  <c r="C66" i="72" s="1"/>
  <c r="C67" i="72" s="1"/>
  <c r="D44" i="73"/>
  <c r="Q66" i="73"/>
  <c r="Q76" i="73" s="1"/>
  <c r="B2" i="73"/>
  <c r="C43" i="73"/>
  <c r="Q48" i="73"/>
  <c r="Q54" i="73" s="1"/>
  <c r="Q57" i="73"/>
  <c r="Q63" i="73" s="1"/>
  <c r="J42" i="73"/>
  <c r="J43" i="73" s="1"/>
  <c r="C70" i="73"/>
  <c r="C46" i="73"/>
  <c r="J39" i="72"/>
  <c r="J40" i="72"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L51" i="71"/>
  <c r="C57" i="71" l="1"/>
  <c r="C66" i="71" s="1"/>
  <c r="C67" i="71" s="1"/>
  <c r="C70" i="71" s="1"/>
  <c r="Q68" i="71"/>
  <c r="C40" i="71"/>
  <c r="Q70" i="71"/>
  <c r="Q69" i="71" s="1"/>
  <c r="J16" i="71"/>
  <c r="J25" i="71" s="1"/>
  <c r="Q68" i="72"/>
  <c r="C70" i="72"/>
  <c r="C46" i="72"/>
  <c r="F10" i="12"/>
  <c r="B3" i="73"/>
  <c r="Q57" i="72"/>
  <c r="Q63" i="72" s="1"/>
  <c r="C43" i="72"/>
  <c r="Q66" i="72"/>
  <c r="Q76" i="72" s="1"/>
  <c r="Q48" i="72"/>
  <c r="Q54" i="72" s="1"/>
  <c r="B2" i="72"/>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71" l="1"/>
  <c r="Q76" i="71" s="1"/>
  <c r="Q57" i="71"/>
  <c r="Q63" i="71" s="1"/>
  <c r="B2" i="71"/>
  <c r="C46" i="71"/>
  <c r="Q48" i="71"/>
  <c r="Q54" i="71" s="1"/>
  <c r="C43" i="71"/>
  <c r="J42" i="71"/>
  <c r="J43" i="71" s="1"/>
  <c r="B3" i="72"/>
  <c r="G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E10" i="12"/>
  <c r="L46" i="15"/>
  <c r="B2" i="15" s="1"/>
  <c r="Q76" i="15"/>
  <c r="Q58" i="15"/>
  <c r="Q63" i="15" s="1"/>
  <c r="E54" i="39"/>
  <c r="F54" i="39" s="1"/>
  <c r="E53" i="39"/>
  <c r="F53" i="39" s="1"/>
  <c r="E48" i="40"/>
  <c r="F48" i="40" s="1"/>
  <c r="E49" i="40"/>
  <c r="F49" i="40" s="1"/>
  <c r="C50" i="39"/>
  <c r="C49" i="39"/>
  <c r="I54" i="39"/>
  <c r="J54" i="39" s="1"/>
  <c r="C45" i="40"/>
  <c r="C44" i="40"/>
  <c r="I49" i="40"/>
  <c r="J49" i="40" s="1"/>
  <c r="B3" i="15" l="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G20" i="9" l="1"/>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<sst xmlns="http://schemas.openxmlformats.org/spreadsheetml/2006/main" count="8681" uniqueCount="3394">
  <si>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</si>
  <si>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</si>
  <si>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</si>
  <si>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</si>
  <si>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</si>
  <si>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</si>
  <si>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</si>
  <si>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</si>
  <si>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</si>
  <si>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</si>
  <si>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</si>
  <si>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</si>
  <si>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</si>
  <si>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</si>
  <si>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</si>
  <si>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</si>
  <si>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</si>
  <si>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</si>
  <si>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</si>
  <si>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</si>
  <si>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</si>
  <si>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</si>
  <si>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</si>
  <si>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</si>
  <si>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</si>
  <si>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</si>
  <si>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</si>
  <si>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</si>
  <si>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</si>
  <si>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</si>
  <si>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</si>
  <si>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</si>
  <si>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</si>
  <si>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</si>
  <si>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</si>
  <si>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</si>
  <si>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</si>
  <si>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</si>
  <si>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</si>
  <si>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</si>
  <si>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</si>
  <si>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</si>
  <si>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</si>
  <si>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</si>
  <si>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</si>
  <si>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</si>
  <si>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</si>
  <si>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</si>
  <si>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</si>
  <si>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</si>
  <si>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</si>
  <si>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</si>
  <si>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</si>
  <si>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</si>
  <si>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</si>
  <si>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</si>
  <si>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</si>
  <si>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</si>
  <si>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</si>
  <si>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</si>
  <si>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</si>
  <si>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</si>
  <si>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</si>
  <si>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</si>
  <si>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</si>
  <si>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</si>
  <si>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</si>
  <si>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</si>
  <si>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</si>
  <si>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</si>
  <si>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</si>
  <si>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</si>
  <si>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</si>
  <si>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</si>
  <si>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</si>
  <si>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</si>
  <si>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</si>
  <si>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</si>
  <si>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</si>
  <si>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</si>
  <si>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</si>
  <si>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</si>
  <si>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</si>
  <si>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</si>
  <si>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</si>
  <si>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</si>
  <si>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</si>
  <si>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</si>
  <si>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</si>
  <si>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</si>
  <si>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</si>
  <si>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</si>
  <si>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</si>
  <si>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</si>
  <si>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</si>
  <si>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</si>
  <si>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</si>
  <si>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</si>
  <si>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</si>
  <si>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</si>
  <si>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</si>
  <si>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</si>
  <si>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</si>
  <si>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</si>
  <si>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</si>
  <si>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</si>
  <si>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</si>
  <si>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</si>
  <si>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</si>
  <si>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</si>
  <si>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</si>
  <si>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</si>
  <si>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</si>
  <si>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</si>
  <si>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</si>
  <si>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</si>
  <si>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</si>
  <si>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</si>
  <si>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</si>
  <si>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</si>
  <si>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</si>
  <si>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</si>
  <si>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</si>
  <si>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</si>
  <si>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</si>
  <si>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</si>
  <si>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</si>
  <si>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</si>
  <si>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</si>
  <si>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</si>
  <si>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</si>
  <si>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</si>
  <si>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</si>
  <si>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</si>
  <si>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</si>
  <si>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</si>
  <si>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</si>
  <si>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</si>
  <si>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</si>
  <si>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</si>
  <si>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</si>
  <si>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</si>
  <si>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</si>
  <si>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</si>
  <si>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</si>
  <si>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</si>
  <si>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</si>
  <si>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</si>
  <si>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</si>
  <si>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</si>
  <si>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</si>
  <si>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</si>
  <si>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</si>
  <si>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</si>
  <si>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</si>
  <si>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</si>
  <si>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</si>
  <si>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</si>
  <si>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</si>
  <si>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</si>
  <si>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</si>
  <si>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</si>
  <si>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</si>
  <si>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</si>
  <si>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</si>
  <si>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</si>
  <si>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</si>
  <si>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</si>
  <si>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</si>
  <si>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</si>
  <si>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</si>
  <si>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</si>
  <si>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</si>
  <si>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</si>
  <si>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</si>
  <si>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</si>
  <si>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</si>
  <si>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</si>
  <si>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</si>
  <si>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</si>
  <si>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</si>
  <si>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</si>
  <si>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</si>
  <si>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</si>
  <si>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</si>
  <si>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</si>
  <si>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</si>
  <si>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</si>
  <si>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</si>
  <si>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</si>
  <si>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</si>
  <si>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</si>
  <si>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</si>
  <si>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</si>
  <si>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</si>
  <si>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</si>
  <si>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</si>
  <si>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</si>
  <si>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</si>
  <si>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</si>
  <si>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</si>
  <si>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</si>
  <si>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</si>
  <si>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</si>
  <si>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</si>
  <si>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</si>
  <si>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</si>
  <si>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</si>
  <si>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</si>
  <si>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</si>
  <si>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</si>
  <si>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</si>
  <si>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</si>
  <si>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</si>
  <si>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</si>
  <si>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</si>
  <si>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</si>
  <si>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</si>
  <si>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</si>
  <si>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</si>
  <si>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</si>
  <si>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</si>
  <si>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</si>
  <si>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</si>
  <si>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</si>
  <si>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</si>
  <si>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</si>
  <si>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</si>
  <si>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</si>
  <si>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</si>
  <si>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</si>
  <si>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</si>
  <si>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</si>
  <si>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</si>
  <si>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</si>
  <si>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</si>
  <si>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</si>
  <si>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</si>
  <si>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</si>
  <si>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</si>
  <si>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</si>
  <si>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</si>
  <si>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</si>
  <si>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</si>
  <si>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</si>
  <si>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</si>
  <si>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</si>
  <si>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</si>
  <si>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</si>
  <si>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</si>
  <si>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</si>
  <si>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</si>
  <si>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</si>
  <si>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</si>
  <si>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</si>
  <si>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</si>
  <si>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</si>
  <si>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</si>
  <si>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</si>
  <si>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</si>
  <si>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</si>
  <si>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</si>
  <si>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</si>
  <si>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</si>
  <si>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</si>
  <si>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</si>
  <si>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</si>
  <si>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</si>
  <si>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</si>
  <si>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</si>
  <si>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</si>
  <si>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</si>
  <si>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</si>
  <si>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</si>
  <si>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</si>
  <si>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</si>
  <si>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</si>
  <si>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</si>
  <si>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</si>
  <si>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</si>
  <si>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</si>
  <si>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</si>
  <si>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</si>
  <si>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</si>
  <si>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</si>
  <si>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</si>
  <si>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</si>
  <si>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</si>
  <si>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</si>
  <si>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</si>
  <si>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</si>
  <si>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</si>
  <si>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</si>
  <si>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</si>
  <si>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</si>
  <si>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</si>
  <si>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</si>
  <si>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</si>
  <si>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</si>
  <si>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</si>
  <si>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</si>
  <si>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</si>
  <si>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</si>
  <si>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</si>
  <si>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</si>
  <si>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</si>
  <si>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</si>
  <si>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</si>
  <si>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</si>
  <si>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</si>
  <si>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</si>
  <si>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</si>
  <si>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</si>
  <si>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</si>
  <si>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</si>
  <si>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</si>
  <si>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</si>
  <si>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</si>
  <si>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</si>
  <si>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</si>
  <si>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</si>
  <si>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</si>
  <si>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</si>
  <si>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</si>
  <si>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</si>
  <si>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</si>
  <si>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</si>
  <si>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</si>
  <si>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</si>
  <si>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</si>
  <si>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</si>
  <si>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</si>
  <si>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</si>
  <si>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</si>
  <si>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</si>
  <si>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</si>
  <si>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</si>
  <si>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</si>
  <si>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</si>
  <si>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</si>
  <si>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</si>
  <si>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</si>
  <si>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</si>
  <si>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</si>
  <si>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</si>
  <si>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</si>
  <si>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</si>
  <si>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</si>
  <si>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</si>
  <si>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</si>
  <si>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</si>
  <si>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</si>
  <si>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</si>
  <si>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</si>
  <si>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</si>
  <si>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</si>
  <si>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</si>
  <si>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</si>
  <si>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</si>
  <si>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</si>
  <si>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</si>
  <si>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</si>
  <si>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</si>
  <si>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</si>
  <si>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</si>
  <si>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</si>
  <si>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</si>
  <si>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</si>
  <si>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</si>
  <si>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</si>
  <si>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</si>
  <si>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</si>
  <si>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</si>
  <si>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</si>
  <si>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</si>
  <si>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</si>
  <si>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</si>
  <si>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</si>
  <si>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</si>
  <si>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</si>
  <si>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</si>
  <si>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</si>
  <si>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</si>
  <si>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</si>
  <si>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</si>
  <si>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</si>
  <si>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</si>
  <si>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</si>
  <si>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</si>
  <si>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</si>
  <si>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</si>
  <si>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</si>
  <si>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</si>
  <si>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</si>
  <si>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</si>
  <si>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</si>
  <si>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</si>
  <si>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</si>
  <si>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</si>
  <si>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</si>
  <si>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</si>
  <si>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</si>
  <si>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</si>
  <si>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</si>
  <si>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</si>
  <si>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</si>
  <si>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</si>
  <si>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</si>
  <si>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</si>
  <si>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</si>
  <si>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</si>
  <si>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</si>
  <si>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</si>
  <si>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</si>
  <si>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</si>
  <si>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</si>
  <si>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</si>
  <si>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</si>
  <si>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</si>
  <si>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</si>
  <si>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</si>
  <si>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</si>
  <si>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</si>
  <si>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</si>
  <si>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</si>
  <si>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</si>
  <si>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</si>
  <si>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</si>
  <si>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</si>
  <si>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</si>
  <si>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</si>
  <si>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</si>
  <si>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</si>
  <si>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</si>
  <si>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</si>
  <si>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</si>
  <si>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</si>
  <si>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</si>
  <si>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</si>
  <si>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</si>
  <si>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</si>
  <si>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</si>
  <si>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</si>
  <si>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</si>
  <si>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</si>
  <si>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</si>
  <si>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</si>
  <si>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</si>
  <si>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</si>
  <si>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</si>
  <si>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</si>
  <si>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</si>
  <si>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</si>
  <si>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</si>
  <si>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</si>
  <si>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</si>
  <si>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</si>
  <si>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</si>
  <si>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</si>
  <si>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</si>
  <si>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</si>
  <si>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</si>
  <si>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</si>
  <si>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</si>
  <si>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</si>
  <si>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</si>
  <si>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</si>
  <si>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</si>
  <si>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</si>
  <si>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</si>
  <si>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</si>
  <si>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</si>
  <si>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</si>
  <si>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</si>
  <si>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</si>
  <si>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</si>
  <si>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</si>
  <si>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</si>
  <si>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</si>
  <si>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</si>
  <si>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</si>
  <si>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</si>
  <si>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</si>
  <si>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</si>
  <si>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</si>
  <si>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</si>
  <si>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</si>
  <si>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</si>
  <si>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</si>
  <si>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</si>
  <si>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</si>
  <si>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</si>
  <si>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</si>
  <si>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</si>
  <si>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</si>
  <si>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</si>
  <si>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</si>
  <si>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</si>
  <si>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</si>
  <si>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</si>
  <si>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</si>
  <si>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</si>
  <si>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</si>
  <si>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</si>
  <si>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</si>
  <si>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</si>
  <si>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</si>
  <si>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</si>
  <si>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</si>
  <si>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</si>
  <si>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</si>
  <si>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</si>
  <si>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</si>
  <si>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</si>
  <si>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</si>
  <si>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</si>
  <si>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</si>
  <si>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</si>
  <si>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</si>
  <si>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</si>
  <si>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</si>
  <si>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</si>
  <si>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</si>
  <si>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</si>
  <si>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</si>
  <si>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</si>
  <si>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</si>
  <si>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</si>
  <si>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</si>
  <si>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</si>
  <si>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</si>
  <si>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</si>
  <si>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</si>
  <si>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</si>
  <si>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</si>
  <si>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</si>
  <si>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</si>
  <si>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</si>
  <si>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</si>
  <si>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</si>
  <si>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</si>
  <si>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</si>
  <si>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</si>
  <si>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</si>
  <si>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</si>
  <si>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</si>
  <si>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</si>
  <si>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</si>
  <si>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</si>
  <si>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</si>
  <si>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</si>
  <si>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</si>
  <si>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</si>
  <si>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</si>
  <si>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</si>
  <si>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</si>
  <si>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</si>
  <si>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</si>
  <si>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</si>
  <si>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</si>
  <si>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</si>
  <si>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</si>
  <si>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</si>
  <si>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</si>
  <si>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</si>
  <si>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</si>
  <si>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</si>
  <si>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</si>
  <si>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</si>
  <si>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</si>
  <si>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</si>
  <si>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</si>
  <si>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</si>
  <si>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</si>
  <si>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</si>
  <si>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</si>
  <si>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</si>
  <si>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</si>
  <si>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</si>
  <si>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</si>
  <si>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</si>
  <si>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</si>
  <si>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</si>
  <si>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</si>
  <si>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</si>
  <si>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</si>
  <si>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</si>
  <si>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</si>
  <si>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</si>
  <si>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</si>
  <si>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</si>
  <si>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</si>
  <si>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</si>
  <si>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</si>
  <si>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</si>
  <si>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</si>
  <si>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</si>
  <si>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</si>
  <si>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</si>
  <si>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</si>
  <si>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</si>
  <si>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</si>
  <si>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</si>
  <si>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</si>
  <si>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</si>
  <si>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</si>
  <si>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</si>
  <si>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</si>
  <si>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</si>
  <si>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</si>
  <si>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</si>
  <si>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</si>
  <si>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</si>
  <si>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</si>
  <si>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</si>
  <si>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</si>
  <si>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</si>
  <si>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</si>
  <si>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</si>
  <si>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</si>
  <si>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</si>
  <si>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</si>
  <si>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</si>
  <si>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</si>
  <si>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</si>
  <si>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</si>
  <si>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</si>
  <si>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</si>
  <si>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</si>
  <si>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</si>
  <si>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</si>
  <si>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</si>
  <si>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</si>
  <si>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</si>
  <si>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</si>
  <si>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</si>
  <si>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</si>
  <si>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</si>
  <si>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</si>
  <si>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</si>
  <si>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</si>
  <si>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</si>
  <si>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</si>
  <si>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</si>
  <si>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</si>
  <si>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</si>
  <si>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</si>
  <si>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</si>
  <si>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</si>
  <si>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</si>
  <si>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</si>
  <si>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</si>
  <si>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</si>
  <si>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</si>
  <si>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</si>
  <si>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</si>
  <si>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</si>
  <si>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</si>
  <si>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</si>
  <si>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</si>
  <si>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</si>
  <si>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</si>
  <si>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</si>
  <si>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</si>
  <si>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</si>
  <si>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</si>
  <si>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</si>
  <si>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</si>
  <si>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</si>
  <si>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</si>
  <si>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</si>
  <si>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</si>
  <si>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</si>
  <si>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</si>
  <si>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</si>
  <si>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</si>
  <si>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</si>
  <si>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</si>
  <si>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</si>
  <si>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</si>
  <si>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</si>
  <si>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</si>
  <si>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</si>
  <si>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</si>
  <si>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</si>
  <si>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</si>
  <si>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</si>
  <si>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</si>
  <si>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</si>
  <si>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</si>
  <si>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</si>
  <si>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</si>
  <si>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</si>
  <si>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</si>
  <si>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</si>
  <si>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</si>
  <si>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</si>
  <si>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</si>
  <si>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</si>
  <si>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</si>
  <si>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</si>
  <si>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</si>
  <si>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</si>
  <si>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</si>
  <si>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</si>
  <si>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</si>
  <si>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</si>
  <si>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</si>
  <si>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</si>
  <si>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</si>
  <si>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</si>
  <si>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</si>
  <si>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</si>
  <si>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</si>
  <si>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</si>
  <si>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</si>
  <si>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</si>
  <si>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</si>
  <si>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</si>
  <si>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</si>
  <si>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</si>
  <si>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</si>
  <si>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</si>
  <si>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</si>
  <si>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</si>
  <si>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</si>
  <si>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</si>
  <si>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</si>
  <si>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</si>
  <si>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</si>
  <si>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</si>
  <si>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</si>
  <si>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</si>
  <si>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</si>
  <si>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</si>
  <si>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</si>
  <si>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</si>
  <si>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</si>
  <si>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</si>
  <si>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</si>
  <si>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</si>
  <si>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</si>
  <si>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</si>
  <si>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</si>
  <si>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</si>
  <si>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</si>
  <si>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</si>
  <si>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</si>
  <si>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</si>
  <si>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</si>
  <si>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</si>
  <si>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</si>
  <si>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</si>
  <si>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</si>
  <si>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</si>
  <si>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</si>
  <si>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</si>
  <si>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</si>
  <si>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</si>
  <si>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</si>
  <si>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</si>
  <si>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</si>
  <si>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</si>
  <si>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</si>
  <si>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</si>
  <si>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</si>
  <si>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</si>
  <si>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</si>
  <si>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</si>
  <si>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</si>
  <si>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</si>
  <si>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</si>
  <si>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</si>
  <si>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</si>
  <si>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</si>
  <si>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</si>
  <si>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</si>
  <si>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</si>
  <si>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</si>
  <si>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</si>
  <si>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</si>
  <si>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</si>
  <si>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</si>
  <si>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</si>
  <si>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</si>
  <si>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</si>
  <si>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</si>
  <si>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</si>
  <si>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</si>
  <si>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</si>
  <si>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</si>
  <si>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</si>
  <si>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</si>
  <si>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</si>
  <si>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</si>
  <si>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</si>
  <si>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</si>
  <si>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</si>
  <si>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</si>
  <si>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</si>
  <si>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</si>
  <si>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</si>
  <si>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</si>
  <si>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</si>
  <si>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</si>
  <si>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</si>
  <si>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</si>
  <si>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</si>
  <si>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</si>
  <si>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</si>
  <si>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</si>
  <si>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</si>
  <si>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</si>
  <si>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</si>
  <si>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</si>
  <si>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</si>
  <si>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</si>
  <si>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</si>
  <si>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</si>
  <si>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</si>
  <si>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</si>
  <si>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</si>
  <si>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</si>
  <si>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</si>
  <si>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</si>
  <si>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</si>
  <si>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</si>
  <si>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</si>
  <si>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</si>
  <si>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</si>
  <si>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</si>
  <si>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</si>
  <si>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</si>
  <si>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</si>
  <si>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</si>
  <si>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</si>
  <si>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</si>
  <si>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</si>
  <si>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</si>
  <si>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</si>
  <si>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</si>
  <si>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</si>
  <si>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</si>
  <si>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</si>
  <si>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</si>
  <si>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</si>
  <si>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</si>
  <si>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</si>
  <si>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</si>
  <si>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</si>
  <si>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</si>
  <si>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</si>
  <si>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</si>
  <si>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</si>
  <si>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</si>
  <si>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</si>
  <si>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</si>
  <si>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</si>
  <si>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</si>
  <si>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</si>
  <si>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</si>
  <si>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</si>
  <si>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</si>
  <si>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</si>
  <si>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</si>
  <si>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</si>
  <si>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</si>
  <si>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</si>
  <si>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</si>
  <si>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</si>
  <si>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</si>
  <si>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</si>
  <si>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</si>
  <si>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</si>
  <si>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</si>
  <si>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</si>
  <si>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</si>
  <si>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</si>
  <si>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</si>
  <si>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</si>
  <si>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</si>
  <si>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</si>
  <si>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</si>
  <si>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</si>
  <si>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</si>
  <si>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</si>
  <si>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</si>
  <si>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</si>
  <si>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</si>
  <si>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</si>
  <si>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</si>
  <si>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</si>
  <si>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</si>
  <si>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</si>
  <si>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</si>
  <si>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</si>
  <si>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</si>
  <si>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</si>
  <si>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</si>
  <si>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</si>
  <si>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</si>
  <si>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</si>
  <si>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</si>
  <si>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</si>
  <si>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</si>
  <si>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</si>
  <si>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</si>
  <si>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</si>
  <si>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</si>
  <si>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</si>
  <si>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</si>
  <si>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</si>
  <si>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</si>
  <si>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</si>
  <si>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</si>
  <si>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</si>
  <si>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</si>
  <si>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</si>
  <si>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</si>
  <si>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</si>
  <si>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</si>
  <si>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</si>
  <si>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</si>
  <si>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</si>
  <si>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</si>
  <si>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</si>
  <si>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</si>
  <si>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</si>
  <si>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</si>
  <si>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</si>
  <si>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</si>
  <si>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</si>
  <si>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</si>
  <si>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</si>
  <si>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</si>
  <si>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</si>
  <si>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</si>
  <si>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</si>
  <si>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</si>
  <si>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</si>
  <si>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</si>
  <si>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</si>
  <si>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</si>
  <si>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</si>
  <si>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</si>
  <si>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</si>
  <si>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</si>
  <si>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</si>
  <si>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</si>
  <si>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</si>
  <si>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</si>
  <si>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</si>
  <si>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</si>
  <si>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</si>
  <si>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</si>
  <si>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</si>
  <si>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</si>
  <si>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</si>
  <si>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</si>
  <si>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</si>
  <si>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</si>
  <si>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</si>
  <si>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</si>
  <si>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</si>
  <si>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</si>
  <si>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</si>
  <si>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</si>
  <si>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</si>
  <si>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</si>
  <si>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</si>
  <si>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</si>
  <si>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</si>
  <si>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</si>
  <si>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</si>
  <si>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</si>
  <si>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</si>
  <si>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</si>
  <si>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</si>
  <si>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</si>
  <si>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</si>
  <si>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</si>
  <si>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</si>
  <si>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</si>
  <si>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</si>
  <si>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</si>
  <si>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</si>
  <si>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</si>
  <si>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</si>
  <si>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</si>
  <si>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</si>
  <si>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</si>
  <si>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</si>
  <si>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</si>
  <si>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</si>
  <si>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</si>
  <si>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</si>
  <si>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</si>
  <si>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</si>
  <si>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</si>
  <si>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</si>
  <si>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</si>
  <si>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</si>
  <si>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</si>
  <si>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</si>
  <si>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</si>
  <si>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</si>
  <si>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</si>
  <si>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</si>
  <si>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</si>
  <si>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</si>
  <si>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</si>
  <si>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</si>
  <si>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</si>
  <si>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</si>
  <si>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</si>
  <si>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</si>
  <si>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</si>
  <si>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</si>
  <si>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</si>
  <si>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</si>
  <si>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</si>
  <si>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</si>
  <si>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</si>
  <si>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</si>
  <si>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</si>
  <si>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</si>
  <si>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</si>
  <si>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</si>
  <si>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</si>
  <si>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</si>
  <si>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</si>
  <si>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</si>
  <si>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</si>
  <si>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</si>
  <si>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</si>
  <si>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</si>
  <si>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</si>
  <si>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</si>
  <si>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</si>
  <si>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</si>
  <si>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</si>
  <si>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</si>
  <si>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</si>
  <si>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</si>
  <si>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</si>
  <si>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</si>
  <si>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</si>
  <si>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</si>
  <si>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</si>
  <si>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</si>
  <si>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</si>
  <si>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</si>
  <si>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</si>
  <si>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</si>
  <si>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</si>
  <si>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</si>
  <si>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</si>
  <si>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</si>
  <si>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</si>
  <si>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</si>
  <si>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</si>
  <si>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</si>
  <si>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</si>
  <si>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</si>
  <si>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</si>
  <si>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</si>
  <si>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</si>
  <si>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</si>
  <si>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</si>
  <si>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</si>
  <si>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</si>
  <si>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</si>
  <si>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</si>
  <si>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</si>
  <si>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</si>
  <si>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</si>
  <si>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</si>
  <si>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</si>
  <si>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</si>
  <si>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</si>
  <si>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</si>
  <si>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</si>
  <si>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</si>
  <si>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</si>
  <si>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</si>
  <si>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</si>
  <si>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</si>
  <si>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</si>
  <si>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</si>
  <si>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</si>
  <si>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</si>
  <si>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</si>
  <si>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</si>
  <si>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</si>
  <si>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</si>
  <si>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</si>
  <si>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</si>
  <si>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</si>
  <si>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</si>
  <si>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</si>
  <si>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</si>
  <si>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</si>
  <si>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</si>
  <si>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</si>
  <si>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</si>
  <si>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</si>
  <si>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</si>
  <si>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</si>
  <si>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</si>
  <si>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</si>
  <si>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</si>
  <si>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</si>
  <si>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</si>
  <si>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</si>
  <si>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</si>
  <si>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</si>
  <si>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</si>
  <si>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</si>
  <si>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</si>
  <si>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</si>
  <si>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</si>
  <si>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</si>
  <si>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</si>
  <si>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</si>
  <si>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</si>
  <si>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</si>
  <si>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</si>
  <si>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</si>
  <si>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</si>
  <si>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</si>
  <si>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</si>
  <si>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</si>
  <si>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</si>
  <si>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</si>
  <si>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</si>
  <si>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</si>
  <si>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</si>
  <si>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</si>
  <si>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</si>
  <si>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</si>
  <si>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</si>
  <si>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</si>
  <si>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</si>
  <si>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</si>
  <si>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</si>
  <si>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</si>
  <si>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</si>
  <si>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</si>
  <si>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</si>
  <si>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</si>
  <si>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</si>
  <si>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</si>
  <si>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</si>
  <si>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</si>
  <si>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</si>
  <si>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</si>
  <si>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</si>
  <si>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</si>
  <si>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</si>
  <si>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</si>
  <si>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</si>
  <si>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</si>
  <si>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</si>
  <si>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</si>
  <si>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</si>
  <si>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</si>
  <si>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</si>
  <si>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</si>
  <si>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</si>
  <si>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</si>
  <si>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</si>
  <si>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</si>
  <si>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</si>
  <si>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</si>
  <si>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</si>
  <si>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</si>
  <si>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</si>
  <si>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</si>
  <si>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</si>
  <si>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</si>
  <si>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</si>
  <si>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</si>
  <si>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</si>
  <si>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</si>
  <si>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</si>
  <si>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</si>
  <si>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</si>
  <si>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</si>
  <si>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</si>
  <si>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</si>
  <si>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</si>
  <si>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</si>
  <si>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</si>
  <si>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</si>
  <si>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</si>
  <si>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</si>
  <si>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</si>
  <si>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</si>
  <si>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</si>
  <si>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</si>
  <si>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</si>
  <si>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</si>
  <si>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</si>
  <si>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</si>
  <si>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</si>
  <si>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</si>
  <si>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</si>
  <si>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</si>
  <si>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</si>
  <si>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</si>
  <si>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</si>
  <si>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</si>
  <si>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</si>
  <si>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</si>
  <si>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</si>
  <si>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</si>
  <si>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</si>
  <si>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</si>
  <si>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</si>
  <si>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</si>
  <si>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</si>
  <si>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</si>
  <si>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</si>
  <si>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</si>
  <si>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</si>
  <si>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</si>
  <si>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</si>
  <si>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</si>
  <si>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</si>
  <si>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</si>
  <si>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</si>
  <si>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</si>
  <si>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</si>
  <si>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</si>
  <si>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</si>
  <si>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</si>
  <si>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</si>
  <si>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</si>
  <si>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</si>
  <si>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</si>
  <si>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</si>
  <si>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</si>
  <si>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</si>
  <si>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</si>
  <si>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</si>
  <si>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</si>
  <si>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</si>
  <si>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</si>
  <si>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</si>
  <si>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</si>
  <si>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</si>
  <si>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</si>
  <si>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</si>
  <si>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</si>
  <si>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</si>
  <si>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</si>
  <si>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</si>
  <si>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</si>
  <si>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</si>
  <si>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</si>
  <si>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</si>
  <si>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</si>
  <si>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</si>
  <si>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</si>
  <si>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</si>
  <si>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</si>
  <si>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</si>
  <si>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</si>
  <si>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</si>
  <si>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</si>
  <si>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</si>
  <si>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</si>
  <si>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</si>
  <si>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</si>
  <si>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</si>
  <si>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</si>
  <si>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</si>
  <si>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</si>
  <si>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</si>
  <si>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</si>
  <si>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</si>
  <si>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</si>
  <si>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</si>
  <si>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</si>
  <si>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</si>
  <si>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</si>
  <si>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</si>
  <si>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</si>
  <si>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</si>
  <si>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</si>
  <si>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</si>
  <si>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</si>
  <si>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</si>
  <si>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</si>
  <si>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</si>
  <si>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</si>
  <si>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</si>
  <si>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</si>
  <si>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</si>
  <si>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</si>
  <si>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</si>
  <si>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</si>
  <si>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</si>
  <si>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</si>
  <si>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</si>
  <si>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</si>
  <si>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</si>
  <si>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</si>
  <si>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</si>
  <si>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</si>
  <si>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</si>
  <si>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</si>
  <si>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</si>
  <si>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</si>
  <si>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</si>
  <si>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</si>
  <si>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</si>
  <si>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</si>
  <si>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</si>
  <si>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</si>
  <si>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</si>
  <si>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</si>
  <si>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</si>
  <si>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</si>
  <si>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</si>
  <si>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</si>
  <si>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</si>
  <si>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</si>
  <si>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</si>
  <si>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</si>
  <si>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</si>
  <si>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</si>
  <si>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</si>
  <si>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</si>
  <si>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</si>
  <si>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</si>
  <si>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</si>
  <si>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</si>
  <si>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</si>
  <si>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</si>
  <si>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</si>
  <si>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</si>
  <si>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</si>
  <si>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</si>
  <si>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</si>
  <si>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</si>
  <si>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</si>
  <si>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</si>
  <si>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</si>
  <si>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</si>
  <si>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</si>
  <si>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</si>
  <si>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</si>
  <si>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</si>
  <si>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</si>
  <si>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</si>
  <si>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</si>
  <si>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</si>
  <si>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</si>
  <si>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</si>
  <si>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</si>
  <si>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</si>
  <si>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</si>
  <si>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</si>
  <si>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</si>
  <si>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</si>
  <si>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</si>
  <si>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</si>
  <si>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</si>
  <si>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</si>
  <si>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</si>
  <si>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</si>
  <si>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</si>
  <si>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</si>
  <si>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</si>
  <si>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</si>
  <si>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</si>
  <si>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</si>
  <si>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</si>
  <si>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</si>
  <si>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</si>
  <si>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</si>
  <si>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</si>
  <si>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</si>
  <si>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</si>
  <si>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</si>
  <si>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</si>
  <si>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</si>
  <si>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</si>
  <si>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</si>
  <si>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</si>
  <si>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</si>
  <si>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</si>
  <si>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</si>
  <si>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</si>
  <si>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</si>
  <si>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</si>
  <si>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</si>
  <si>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</si>
  <si>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</si>
  <si>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</si>
  <si>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</si>
  <si>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</si>
  <si>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</si>
  <si>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</si>
  <si>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</si>
  <si>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</si>
  <si>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</si>
  <si>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</si>
  <si>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</si>
  <si>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</si>
  <si>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</si>
  <si>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</si>
  <si>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</si>
  <si>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</si>
  <si>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</si>
  <si>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</si>
  <si>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</si>
  <si>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</si>
  <si>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</si>
  <si>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</si>
  <si>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</si>
  <si>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</si>
  <si>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</si>
  <si>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</si>
  <si>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</si>
  <si>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</si>
  <si>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</si>
  <si>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</si>
  <si>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</si>
  <si>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</si>
  <si>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</si>
  <si>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</si>
  <si>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</si>
  <si>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</si>
  <si>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</si>
  <si>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</si>
  <si>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</si>
  <si>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</si>
  <si>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</si>
  <si>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</si>
  <si>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</si>
  <si>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</si>
  <si>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</si>
  <si>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</si>
  <si>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</si>
  <si>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</si>
  <si>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</si>
  <si>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</si>
  <si>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</si>
  <si>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</si>
  <si>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</si>
  <si>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</si>
  <si>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</si>
  <si>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</si>
  <si>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</si>
  <si>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</si>
  <si>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</si>
  <si>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</si>
  <si>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</si>
  <si>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</si>
  <si>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</si>
  <si>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</si>
  <si>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</si>
  <si>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</si>
  <si>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</si>
  <si>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</si>
  <si>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</si>
  <si>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</si>
  <si>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</si>
  <si>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</si>
  <si>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</si>
  <si>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</si>
  <si>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</si>
  <si>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</si>
  <si>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</si>
  <si>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</si>
  <si>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</si>
  <si>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</si>
  <si>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</si>
  <si>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</si>
  <si>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</si>
  <si>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</si>
  <si>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</si>
  <si>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</si>
  <si>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</si>
  <si>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</si>
  <si>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</si>
  <si>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</si>
  <si>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</si>
  <si>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</si>
  <si>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</si>
  <si>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</si>
  <si>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</si>
  <si>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</si>
  <si>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</si>
  <si>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</si>
  <si>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</si>
  <si>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</si>
  <si>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</si>
  <si>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</si>
  <si>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</si>
  <si>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</si>
  <si>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</si>
  <si>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</si>
  <si>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</si>
  <si>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</si>
  <si>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</si>
  <si>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</si>
  <si>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</si>
  <si>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</si>
  <si>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</si>
  <si>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</si>
  <si>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</si>
  <si>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</si>
  <si>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</si>
  <si>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</si>
  <si>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</si>
  <si>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</si>
  <si>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</si>
  <si>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</si>
  <si>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</si>
  <si>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</si>
  <si>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</si>
  <si>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</si>
  <si>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</si>
  <si>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</si>
  <si>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</si>
  <si>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</si>
  <si>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</si>
  <si>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</si>
  <si>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</si>
  <si>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</si>
  <si>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</si>
  <si>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</si>
  <si>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</si>
  <si>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</si>
  <si>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</si>
  <si>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</si>
  <si>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</si>
  <si>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</si>
  <si>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</si>
  <si>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</si>
  <si>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</si>
  <si>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</si>
  <si>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</si>
  <si>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</si>
  <si>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</si>
  <si>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</si>
  <si>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</si>
  <si>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</si>
  <si>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</si>
  <si>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</si>
  <si>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</si>
  <si>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</si>
  <si>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</si>
  <si>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</si>
  <si>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</si>
  <si>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</si>
  <si>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</si>
  <si>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</si>
  <si>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</si>
  <si>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</si>
  <si>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</si>
  <si>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</si>
  <si>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</si>
  <si>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</si>
  <si>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</si>
  <si>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</si>
  <si>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</si>
  <si>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</si>
  <si>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</si>
  <si>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</si>
  <si>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</si>
  <si>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</si>
  <si>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</si>
  <si>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</si>
  <si>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</si>
  <si>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</si>
  <si>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</si>
  <si>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</si>
  <si>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</si>
  <si>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</si>
  <si>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</si>
  <si>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</si>
  <si>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</si>
  <si>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</si>
  <si>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</si>
  <si>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</si>
  <si>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</si>
  <si>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</si>
  <si>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</si>
  <si>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</si>
  <si>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</si>
  <si>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</si>
  <si>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</si>
  <si>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</si>
  <si>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</si>
  <si>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</si>
  <si>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</si>
  <si>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</si>
  <si>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</si>
  <si>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</si>
  <si>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</si>
  <si>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</si>
  <si>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</si>
  <si>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</si>
  <si>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</si>
  <si>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</si>
  <si>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</si>
  <si>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</si>
  <si>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</si>
  <si>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</si>
  <si>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</si>
  <si>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</si>
  <si>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</si>
  <si>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</si>
  <si>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</si>
  <si>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</si>
  <si>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</si>
  <si>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</si>
  <si>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</si>
  <si>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</si>
  <si>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</si>
  <si>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</si>
  <si>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</si>
  <si>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</si>
  <si>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</si>
  <si>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</si>
  <si>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</si>
  <si>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</si>
  <si>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</si>
  <si>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</si>
  <si>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</si>
  <si>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</si>
  <si>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</si>
  <si>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</si>
  <si>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</si>
  <si>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</si>
  <si>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</si>
  <si>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</si>
  <si>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</si>
  <si>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</si>
  <si>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</si>
  <si>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</si>
  <si>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</si>
  <si>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</si>
  <si>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</si>
  <si>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</si>
  <si>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</si>
  <si>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</si>
  <si>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</si>
  <si>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</si>
  <si>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</si>
  <si>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</si>
  <si>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</si>
  <si>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</si>
  <si>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</si>
  <si>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</si>
  <si>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</si>
  <si>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</si>
  <si>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</si>
  <si>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</si>
  <si>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</si>
  <si>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</si>
  <si>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</si>
  <si>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</si>
  <si>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</si>
  <si>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</si>
  <si>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</si>
  <si>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</si>
  <si>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</si>
  <si>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</si>
  <si>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</si>
  <si>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</si>
  <si>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</si>
  <si>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</si>
  <si>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</si>
  <si>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</si>
  <si>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</si>
  <si>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</si>
  <si>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</si>
  <si>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</si>
  <si>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</si>
  <si>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</si>
  <si>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</si>
  <si>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</si>
  <si>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</si>
  <si>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</si>
  <si>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</si>
  <si>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</si>
  <si>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</si>
  <si>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</si>
  <si>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</si>
  <si>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</si>
  <si>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</si>
  <si>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</si>
  <si>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</si>
  <si>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</si>
  <si>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</si>
  <si>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</si>
  <si>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</si>
  <si>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</si>
  <si>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</si>
  <si>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</si>
  <si>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</si>
  <si>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</si>
  <si>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</si>
  <si>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</si>
  <si>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</si>
  <si>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</si>
  <si>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</si>
  <si>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</si>
  <si>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</si>
  <si>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</si>
  <si>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</si>
  <si>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</si>
  <si>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</si>
  <si>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</si>
  <si>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</si>
  <si>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</si>
  <si>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</si>
  <si>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</si>
  <si>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</si>
  <si>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</si>
  <si>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</si>
  <si>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</si>
  <si>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</si>
  <si>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</si>
  <si>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</si>
  <si>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</si>
  <si>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</si>
  <si>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</si>
  <si>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</si>
  <si>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</si>
  <si>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</si>
  <si>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</si>
  <si>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</si>
  <si>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</si>
  <si>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</si>
  <si>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</si>
  <si>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</si>
  <si>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</si>
  <si>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</si>
  <si>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</si>
  <si>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</si>
  <si>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</si>
  <si>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</si>
  <si>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</si>
  <si>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</si>
  <si>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</si>
  <si>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</si>
  <si>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</si>
  <si>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</si>
  <si>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</si>
  <si>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</si>
  <si>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</si>
  <si>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</si>
  <si>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</si>
  <si>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</si>
  <si>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</si>
  <si>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</si>
  <si>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</si>
  <si>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</si>
  <si>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</si>
  <si>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</si>
  <si>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</si>
  <si>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</si>
  <si>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</si>
  <si>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</si>
  <si>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</si>
  <si>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</si>
  <si>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</si>
  <si>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</si>
  <si>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</si>
  <si>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</si>
  <si>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</si>
  <si>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</si>
  <si>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</si>
  <si>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</si>
  <si>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</si>
  <si>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</si>
  <si>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</si>
  <si>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</si>
  <si>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</si>
  <si>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</si>
  <si>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</si>
  <si>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</si>
  <si>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</si>
  <si>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</si>
  <si>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</si>
  <si>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</si>
  <si>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</si>
  <si>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</si>
  <si>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</si>
  <si>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</si>
  <si>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</si>
  <si>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</si>
  <si>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</si>
  <si>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</si>
  <si>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</si>
  <si>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</si>
  <si>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</si>
  <si>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</si>
  <si>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</si>
  <si>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</si>
  <si>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</si>
  <si>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</si>
  <si>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</si>
  <si>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</si>
  <si>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</si>
  <si>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</si>
  <si>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</si>
  <si>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</si>
  <si>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</si>
  <si>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</si>
  <si>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</si>
  <si>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</si>
  <si>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</si>
  <si>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</si>
  <si>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</si>
  <si>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</si>
  <si>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</si>
  <si>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</si>
  <si>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</si>
  <si>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</si>
  <si>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</si>
  <si>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</si>
  <si>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</si>
  <si>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</si>
  <si>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</si>
  <si>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</si>
  <si>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</si>
  <si>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</si>
  <si>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</si>
  <si>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</si>
  <si>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</si>
  <si>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</si>
  <si>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</si>
  <si>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</si>
  <si>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</si>
  <si>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</si>
  <si>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</si>
  <si>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</si>
  <si>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</si>
  <si>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</si>
  <si>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</si>
  <si>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</si>
  <si>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</si>
  <si>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</si>
  <si>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</si>
  <si>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</si>
  <si>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</si>
  <si>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</si>
  <si>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</si>
  <si>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</si>
  <si>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</si>
  <si>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</si>
  <si>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</si>
  <si>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</si>
  <si>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</si>
  <si>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</si>
  <si>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</si>
  <si>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</si>
  <si>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</si>
  <si>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</si>
  <si>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</si>
  <si>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</si>
  <si>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</si>
  <si>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</si>
  <si>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</si>
  <si>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</si>
  <si>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</si>
  <si>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</si>
  <si>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</si>
  <si>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</si>
  <si>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</si>
  <si>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</si>
  <si>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</si>
  <si>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</si>
  <si>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</si>
  <si>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</si>
  <si>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</si>
  <si>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</si>
  <si>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</si>
  <si>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</si>
  <si>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</si>
  <si>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</si>
  <si>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</si>
  <si>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</si>
  <si>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</si>
  <si>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</si>
  <si>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</si>
  <si>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</si>
  <si>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</si>
  <si>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</si>
  <si>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</si>
  <si>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</si>
  <si>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</si>
  <si>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</si>
  <si>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</si>
  <si>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</si>
  <si>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</si>
  <si>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</si>
  <si>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</si>
  <si>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</si>
  <si>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</si>
  <si>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</si>
  <si>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</si>
  <si>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</si>
  <si>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</si>
  <si>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</si>
  <si>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</si>
  <si>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</si>
  <si>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</si>
  <si>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</si>
  <si>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</si>
  <si>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</si>
  <si>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</si>
  <si>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</si>
  <si>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</si>
  <si>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</si>
  <si>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</si>
  <si>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</si>
  <si>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</si>
  <si>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</si>
  <si>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</si>
  <si>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</si>
  <si>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</si>
  <si>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</si>
  <si>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</si>
  <si>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</si>
  <si>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</si>
  <si>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</si>
  <si>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</si>
  <si>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</si>
  <si>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</si>
  <si>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</si>
  <si>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</si>
  <si>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</si>
  <si>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</si>
  <si>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</si>
  <si>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</si>
  <si>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</si>
  <si>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</si>
  <si>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</si>
  <si>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</si>
  <si>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</si>
  <si>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</si>
  <si>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</si>
  <si>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</si>
  <si>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</si>
  <si>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</si>
  <si>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</si>
  <si>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</si>
  <si>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</si>
  <si>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</si>
  <si>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</si>
  <si>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</si>
  <si>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</si>
  <si>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</si>
  <si>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</si>
  <si>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</si>
  <si>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</si>
  <si>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</si>
  <si>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</si>
  <si>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</si>
  <si>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</si>
  <si>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</si>
  <si>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</si>
  <si>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</si>
  <si>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</si>
  <si>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</si>
  <si>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</si>
  <si>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</si>
  <si>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</si>
  <si>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</si>
  <si>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</si>
  <si>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</si>
  <si>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</si>
  <si>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</si>
  <si>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</si>
  <si>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</si>
  <si>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</si>
  <si>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</si>
  <si>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</si>
  <si>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</si>
  <si>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</si>
  <si>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</si>
  <si>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</si>
  <si>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</si>
  <si>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</si>
  <si>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</si>
  <si>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</si>
  <si>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</si>
  <si>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</si>
  <si>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</si>
  <si>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</si>
  <si>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</si>
  <si>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</si>
  <si>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</si>
  <si>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</si>
  <si>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</si>
  <si>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</si>
  <si>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</si>
  <si>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</si>
  <si>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</si>
  <si>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</si>
  <si>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</si>
  <si>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</si>
  <si>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</si>
  <si>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</si>
  <si>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</si>
  <si>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</si>
  <si>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</si>
  <si>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</si>
  <si>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</si>
  <si>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</si>
  <si>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</si>
  <si>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</si>
  <si>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</si>
  <si>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</si>
  <si>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</si>
  <si>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</si>
  <si>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</si>
  <si>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</si>
  <si>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</si>
  <si>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</si>
  <si>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</si>
  <si>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</si>
  <si>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</si>
  <si>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</si>
  <si>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</si>
  <si>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</si>
  <si>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</si>
  <si>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</si>
  <si>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</si>
  <si>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</si>
  <si>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</si>
  <si>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</si>
  <si>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</si>
  <si>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</si>
  <si>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</si>
  <si>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</si>
  <si>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</si>
  <si>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</si>
  <si>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</si>
  <si>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</si>
  <si>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</si>
  <si>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</si>
  <si>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</si>
  <si>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</si>
  <si>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</si>
  <si>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</si>
  <si>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</si>
  <si>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</si>
  <si>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</si>
  <si>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</si>
  <si>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</si>
  <si>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</si>
  <si>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</si>
  <si>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</si>
  <si>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</si>
  <si>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</si>
  <si>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</si>
  <si>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</si>
  <si>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</si>
  <si>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</si>
  <si>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</si>
  <si>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</si>
  <si>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</si>
  <si>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</si>
  <si>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</si>
  <si>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</si>
  <si>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</si>
  <si>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</si>
  <si>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</si>
  <si>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</si>
  <si>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</si>
  <si>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</si>
  <si>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</si>
  <si>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</si>
  <si>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</si>
  <si>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</si>
  <si>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</si>
  <si>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</si>
  <si>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</si>
  <si>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</si>
  <si>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</si>
  <si>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</si>
  <si>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</si>
  <si>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</si>
  <si>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</si>
  <si>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</si>
  <si>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</si>
  <si>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</si>
  <si>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</si>
  <si>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</si>
  <si>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</si>
  <si>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</si>
  <si>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</si>
  <si>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</si>
  <si>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</si>
  <si>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</si>
  <si>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</si>
  <si>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</si>
  <si>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</si>
  <si>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</si>
  <si>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</si>
  <si>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</si>
  <si>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</si>
  <si>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</si>
  <si>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</si>
  <si>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</si>
  <si>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</si>
  <si>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</si>
  <si>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</si>
  <si>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</si>
  <si>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</si>
  <si>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</si>
  <si>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</si>
  <si>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</si>
  <si>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</si>
  <si>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</si>
  <si>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</si>
  <si>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</si>
  <si>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</si>
  <si>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</si>
  <si>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</si>
  <si>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</si>
  <si>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</si>
  <si>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</si>
  <si>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</si>
  <si>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</si>
  <si>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</si>
  <si>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</si>
  <si>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</si>
  <si>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</si>
  <si>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</si>
  <si>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</si>
  <si>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</si>
  <si>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</si>
  <si>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</si>
  <si>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</si>
  <si>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</si>
  <si>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</si>
  <si>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</si>
  <si>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</si>
  <si>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</si>
  <si>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</si>
  <si>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</si>
  <si>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</si>
  <si>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</si>
  <si>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</si>
  <si>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</si>
  <si>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</si>
  <si>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</si>
  <si>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</si>
  <si>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</si>
  <si>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</si>
  <si>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</si>
  <si>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</si>
  <si>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</si>
  <si>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</si>
  <si>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</si>
  <si>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</si>
  <si>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</si>
  <si>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</si>
  <si>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</si>
  <si>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</si>
  <si>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</si>
  <si>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</si>
  <si>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</si>
  <si>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</si>
  <si>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</si>
  <si>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</si>
  <si>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</si>
  <si>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</si>
  <si>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</si>
  <si>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</si>
  <si>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</si>
  <si>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</si>
  <si>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</si>
  <si>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</si>
  <si>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</si>
  <si>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</si>
  <si>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</si>
  <si>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</si>
  <si>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</si>
  <si>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</si>
  <si>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</si>
  <si>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</si>
  <si>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</si>
  <si>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</si>
  <si>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</si>
  <si>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</si>
  <si>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</si>
  <si>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</si>
  <si>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</si>
  <si>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</si>
  <si>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</si>
  <si>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</si>
  <si>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</si>
  <si>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</si>
  <si>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</si>
  <si>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</si>
  <si>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</si>
  <si>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</si>
  <si>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</si>
  <si>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</si>
  <si>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</si>
  <si>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</si>
  <si>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</si>
  <si>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</si>
  <si>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</si>
  <si>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</si>
  <si>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</si>
  <si>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</si>
  <si>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</si>
  <si>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</si>
  <si>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</si>
  <si>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</si>
  <si>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</si>
  <si>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</si>
  <si>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</si>
  <si>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</si>
  <si>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</si>
  <si>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</si>
  <si>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</si>
  <si>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</si>
  <si>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</si>
  <si>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</si>
  <si>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</si>
  <si>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</si>
  <si>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</si>
  <si>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</si>
  <si>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</si>
  <si>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</si>
  <si>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</si>
  <si>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</si>
  <si>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</si>
  <si>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</si>
  <si>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</si>
  <si>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</si>
  <si>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</si>
  <si>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</si>
  <si>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</si>
  <si>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</si>
  <si>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</si>
  <si>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</si>
  <si>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</si>
  <si>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</si>
  <si>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</si>
  <si>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</si>
  <si>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</si>
  <si>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</si>
  <si>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</si>
  <si>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</si>
  <si>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</si>
  <si>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</si>
  <si>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</si>
  <si>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</si>
  <si>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</si>
  <si>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</si>
  <si>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</si>
  <si>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</si>
  <si>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</si>
  <si>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</si>
  <si>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</si>
  <si>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</si>
  <si>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</si>
  <si>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</si>
  <si>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</si>
  <si>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</si>
  <si>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</si>
  <si>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</si>
  <si>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</si>
  <si>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</si>
  <si>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</si>
  <si>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</si>
  <si>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</si>
  <si>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</si>
  <si>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</si>
  <si>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</si>
  <si>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</si>
  <si>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</si>
  <si>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</si>
  <si>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</si>
  <si>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</si>
  <si>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</si>
  <si>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</si>
  <si>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</si>
  <si>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</si>
  <si>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</si>
  <si>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</si>
  <si>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</si>
  <si>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</si>
  <si>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</si>
  <si>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</si>
  <si>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</si>
  <si>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</si>
  <si>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</si>
  <si>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</si>
  <si>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</si>
  <si>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</si>
  <si>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</si>
  <si>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</si>
  <si>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</si>
  <si>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</si>
  <si>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</si>
  <si>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</si>
  <si>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</si>
  <si>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</si>
  <si>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</si>
  <si>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</si>
  <si>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</si>
  <si>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</si>
  <si>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</si>
  <si>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</si>
  <si>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</si>
  <si>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</si>
  <si>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</si>
  <si>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</si>
  <si>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</si>
  <si>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</si>
  <si>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</si>
  <si>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</si>
  <si>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</si>
  <si>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</si>
  <si>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</si>
  <si>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</si>
  <si>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</si>
  <si>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</si>
  <si>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</si>
  <si>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</si>
  <si>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</si>
  <si>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</si>
  <si>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</si>
  <si>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</si>
  <si>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</si>
  <si>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</si>
  <si>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</si>
  <si>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</si>
  <si>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</si>
  <si>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</si>
  <si>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</si>
  <si>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</si>
  <si>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</si>
  <si>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</si>
  <si>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</si>
  <si>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</si>
  <si>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</si>
  <si>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</si>
  <si>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</si>
  <si>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</si>
  <si>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</si>
  <si>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</si>
  <si>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</si>
  <si>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</si>
  <si>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</si>
  <si>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</si>
  <si>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</si>
  <si>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</si>
  <si>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</si>
  <si>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</si>
  <si>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</si>
  <si>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</si>
  <si>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</si>
  <si>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</si>
  <si>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</si>
  <si>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</si>
  <si>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</si>
  <si>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</si>
  <si>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</si>
  <si>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</si>
  <si>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</si>
  <si>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</si>
  <si>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</si>
  <si>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</si>
  <si>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</si>
  <si>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</si>
  <si>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</si>
  <si>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</si>
  <si>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</si>
  <si>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</si>
  <si>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</si>
  <si>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</si>
  <si>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</si>
  <si>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</si>
  <si>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</si>
  <si>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</si>
  <si>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</si>
  <si>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</si>
  <si>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</si>
  <si>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</si>
  <si>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</si>
  <si>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</si>
  <si>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</si>
  <si>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</si>
  <si>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</si>
  <si>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</si>
  <si>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</si>
  <si>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</si>
  <si>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</si>
  <si>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</si>
  <si>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</si>
  <si>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</si>
  <si>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</si>
  <si>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</si>
  <si>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</si>
  <si>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</si>
  <si>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</si>
  <si>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</si>
  <si>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</si>
  <si>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</si>
  <si>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</si>
  <si>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</si>
  <si>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</si>
  <si>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</si>
  <si>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</si>
  <si>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</si>
  <si>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</si>
  <si>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</si>
  <si>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</si>
  <si>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</si>
  <si>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</si>
  <si>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</si>
  <si>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</si>
  <si>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</si>
  <si>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</si>
  <si>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</si>
  <si>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</si>
  <si>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</si>
  <si>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</si>
  <si>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</si>
  <si>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</si>
  <si>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</si>
  <si>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</si>
  <si>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</si>
  <si>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</si>
  <si>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</si>
  <si>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</si>
  <si>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</si>
  <si>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</si>
  <si>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</si>
  <si>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</si>
  <si>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</si>
  <si>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</si>
  <si>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</si>
  <si>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</si>
  <si>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</si>
  <si>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</si>
  <si>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</si>
  <si>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</si>
  <si>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</si>
  <si>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</si>
  <si>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</si>
  <si>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</si>
  <si>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</si>
  <si>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</si>
  <si>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</si>
  <si>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</si>
  <si>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</si>
  <si>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</si>
  <si>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</si>
  <si>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</si>
  <si>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</si>
  <si>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</si>
  <si>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</si>
  <si>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</si>
  <si>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</si>
  <si>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</si>
  <si>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</si>
  <si>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</si>
  <si>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</si>
  <si>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</si>
  <si>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</si>
  <si>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</si>
  <si>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</si>
  <si>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</si>
  <si>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</si>
  <si>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</si>
  <si>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</si>
  <si>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</si>
  <si>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</si>
  <si>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</si>
  <si>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</si>
  <si>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</si>
  <si>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</si>
  <si>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</si>
  <si>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</si>
  <si>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</si>
  <si>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</si>
  <si>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</si>
  <si>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</si>
  <si>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</si>
  <si>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</si>
  <si>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</si>
  <si>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</si>
  <si>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</si>
  <si>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</si>
  <si>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</si>
  <si>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</si>
  <si>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</si>
  <si>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</si>
  <si>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</si>
  <si>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</si>
  <si>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</si>
  <si>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</si>
  <si>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</si>
  <si>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</si>
  <si>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</si>
  <si>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</si>
  <si>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</si>
  <si>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</si>
  <si>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</si>
  <si>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</si>
  <si>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</si>
  <si>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</si>
  <si>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</si>
  <si>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</si>
  <si>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</si>
  <si>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</si>
  <si>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</si>
  <si>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</si>
  <si>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</si>
  <si>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</si>
  <si>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</si>
  <si>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</si>
  <si>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</si>
  <si>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</si>
  <si>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</si>
  <si>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</si>
  <si>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</si>
  <si>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</si>
  <si>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</si>
  <si>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</si>
  <si>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</si>
  <si>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</si>
  <si>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</si>
  <si>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</si>
  <si>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</si>
  <si>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</si>
  <si>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</si>
  <si>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</si>
  <si>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</si>
  <si>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</si>
  <si>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</si>
  <si>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</si>
  <si>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</si>
  <si>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</si>
  <si>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</si>
  <si>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</si>
  <si>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</si>
  <si>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</si>
  <si>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</si>
  <si>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</si>
  <si>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</si>
  <si>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</si>
  <si>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</si>
  <si>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</si>
  <si>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</si>
  <si>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</si>
  <si>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</si>
  <si>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</si>
  <si>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</si>
  <si>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</si>
  <si>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</si>
  <si>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</si>
  <si>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</si>
  <si>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</si>
  <si>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</si>
  <si>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</si>
  <si>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</si>
  <si>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</si>
  <si>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</si>
  <si>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</si>
  <si>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</si>
  <si>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</si>
  <si>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</si>
  <si>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</si>
  <si>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</si>
  <si>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</si>
  <si>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</si>
  <si>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</si>
  <si>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</si>
  <si>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</si>
  <si>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</si>
  <si>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</si>
  <si>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</si>
  <si>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</si>
  <si>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</si>
  <si>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</si>
  <si>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</si>
  <si>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</si>
  <si>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</si>
  <si>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</si>
  <si>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</si>
  <si>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</si>
  <si>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</si>
  <si>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</si>
  <si>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</si>
  <si>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</si>
  <si>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</si>
  <si>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</si>
  <si>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</si>
  <si>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</si>
  <si>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</si>
  <si>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</si>
  <si>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</si>
  <si>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</si>
  <si>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</si>
  <si>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</si>
  <si>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</si>
  <si>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</si>
  <si>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</si>
  <si>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</si>
  <si>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</si>
  <si>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</si>
  <si>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</si>
  <si>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</si>
  <si>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</si>
  <si>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</si>
  <si>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</si>
  <si>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</si>
  <si>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</si>
  <si>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</si>
  <si>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</si>
  <si>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</si>
  <si>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</si>
  <si>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</si>
  <si>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</si>
  <si>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</si>
  <si>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</si>
  <si>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</si>
  <si>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</si>
  <si>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</si>
  <si>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</si>
  <si>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</si>
  <si>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</si>
  <si>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</si>
  <si>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</si>
  <si>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</si>
  <si>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</si>
  <si>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</si>
  <si>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</si>
  <si>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</si>
  <si>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</si>
  <si>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</si>
  <si>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</si>
  <si>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</si>
  <si>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</si>
  <si>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</si>
  <si>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</si>
  <si>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</si>
  <si>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</si>
  <si>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</si>
  <si>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</si>
  <si>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</si>
  <si>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</si>
  <si>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</si>
  <si>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</si>
  <si>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</si>
  <si>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</si>
  <si>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</si>
  <si>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</si>
  <si>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</si>
  <si>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</si>
  <si>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</si>
  <si>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</si>
  <si>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</si>
  <si>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</si>
  <si>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</si>
  <si>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</si>
  <si>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</si>
  <si>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</si>
  <si>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</si>
  <si>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</si>
  <si>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</si>
  <si>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</si>
  <si>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</si>
  <si>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</si>
  <si>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</si>
  <si>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</si>
  <si>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</si>
  <si>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</si>
  <si>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</si>
  <si>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</si>
  <si>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</si>
  <si>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</si>
  <si>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</si>
  <si>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</si>
  <si>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</si>
  <si>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</si>
  <si>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</si>
  <si>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</si>
  <si>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</si>
  <si>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</si>
  <si>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</si>
  <si>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</si>
  <si>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</si>
  <si>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</si>
  <si>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</si>
  <si>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</si>
  <si>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</si>
  <si>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</si>
  <si>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</si>
  <si>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</si>
  <si>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</si>
  <si>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</si>
  <si>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</si>
  <si>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</si>
  <si>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</si>
  <si>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</si>
  <si>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</si>
  <si>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</si>
  <si>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</si>
  <si>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</si>
  <si>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</si>
  <si>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</si>
  <si>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</si>
  <si>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</si>
  <si>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</si>
  <si>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</si>
  <si>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</si>
  <si>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</si>
  <si>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</si>
  <si>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</si>
  <si>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</si>
  <si>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</si>
  <si>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</si>
  <si>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</si>
  <si>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</si>
  <si>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</si>
  <si>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</si>
  <si>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</si>
  <si>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</si>
  <si>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</si>
  <si>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</si>
  <si>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</si>
  <si>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</si>
  <si>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</si>
  <si>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</si>
  <si>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</si>
  <si>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</si>
  <si>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</si>
  <si>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</si>
  <si>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</si>
  <si>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</si>
  <si>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</si>
  <si>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</si>
  <si>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</si>
  <si>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</si>
  <si>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</si>
  <si>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</si>
  <si>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</si>
  <si>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</si>
  <si>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</si>
  <si>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</si>
  <si>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</si>
  <si>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</si>
  <si>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</si>
  <si>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</si>
  <si>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</si>
  <si>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</si>
  <si>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</si>
  <si>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</si>
  <si>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</si>
  <si>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</si>
  <si>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</si>
  <si>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</si>
  <si>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</si>
  <si>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</si>
  <si>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</si>
  <si>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</si>
  <si>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</si>
  <si>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</si>
  <si>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</si>
  <si>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</si>
  <si>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</si>
  <si>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</si>
  <si>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</si>
  <si>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</si>
  <si>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</si>
  <si>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</si>
  <si>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</si>
  <si>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</si>
  <si>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</si>
  <si>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</si>
  <si>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</si>
  <si>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</si>
  <si>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</si>
  <si>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</si>
  <si>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</si>
  <si>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</si>
  <si>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</si>
  <si>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</si>
  <si>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</si>
  <si>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</si>
  <si>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</si>
  <si>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</si>
  <si>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</si>
  <si>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</si>
  <si>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</si>
  <si>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</si>
  <si>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</si>
  <si>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</si>
  <si>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</si>
  <si>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</si>
  <si>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</si>
  <si>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</si>
  <si>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</si>
  <si>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</si>
  <si>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</si>
  <si>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</si>
  <si>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</si>
  <si>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</si>
  <si>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</si>
  <si>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</si>
  <si>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</si>
  <si>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</si>
  <si>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</si>
  <si>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</si>
  <si>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</si>
  <si>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</si>
  <si>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</si>
  <si>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</si>
  <si>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</si>
  <si>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</si>
  <si>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</si>
  <si>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</si>
  <si>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</si>
  <si>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</si>
  <si>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</si>
  <si>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</si>
  <si>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</si>
  <si>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</si>
  <si>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</si>
  <si>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</si>
  <si>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</si>
  <si>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</si>
  <si>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</si>
  <si>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</si>
  <si>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</si>
  <si>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</si>
  <si>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</si>
  <si>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</si>
  <si>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</si>
  <si>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</si>
  <si>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</si>
  <si>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</si>
  <si>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</si>
  <si>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</si>
  <si>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</si>
  <si>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</si>
  <si>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</si>
  <si>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</si>
  <si>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</si>
  <si>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</si>
  <si>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</si>
  <si>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</si>
  <si>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</si>
  <si>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</si>
  <si>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</si>
  <si>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</si>
  <si>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</si>
  <si>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</si>
  <si>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</si>
  <si>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</si>
  <si>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</si>
  <si>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</si>
  <si>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</si>
  <si>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</si>
  <si>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</si>
  <si>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</si>
  <si>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</si>
  <si>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</si>
  <si>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</si>
  <si>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</si>
  <si>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</si>
  <si>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</si>
  <si>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</si>
  <si>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</si>
  <si>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</si>
  <si>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</si>
  <si>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</si>
  <si>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</si>
  <si>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</si>
  <si>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</si>
  <si>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</si>
  <si>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</si>
  <si>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</si>
  <si>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</si>
  <si>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</si>
  <si>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</si>
  <si>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</si>
  <si>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</si>
  <si>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</si>
  <si>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</si>
  <si>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</si>
  <si>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</si>
  <si>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</si>
  <si>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</si>
  <si>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</si>
  <si>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</si>
  <si>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</si>
  <si>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</si>
  <si>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</si>
  <si>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</si>
  <si>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</si>
  <si>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</si>
  <si>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</si>
  <si>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</si>
  <si>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</si>
  <si>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</si>
  <si>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</si>
  <si>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</si>
  <si>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</si>
  <si>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</si>
  <si>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</si>
  <si>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</si>
  <si>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</si>
  <si>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</si>
  <si>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</si>
  <si>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</si>
  <si>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</si>
  <si>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</si>
  <si>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</si>
  <si>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</si>
  <si>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</si>
  <si>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</si>
  <si>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</si>
  <si>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</si>
  <si>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</si>
  <si>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</si>
  <si>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</si>
  <si>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</si>
  <si>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</si>
  <si>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</si>
  <si>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</si>
  <si>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</si>
  <si>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</si>
  <si>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</si>
  <si>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</si>
  <si>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</si>
  <si>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</si>
  <si>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</si>
  <si>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</si>
  <si>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</si>
  <si>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</si>
  <si>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</si>
  <si>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</si>
  <si>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</si>
  <si>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</si>
  <si>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</si>
  <si>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</si>
  <si>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</si>
  <si>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</si>
  <si>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</si>
  <si>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</si>
  <si>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</si>
  <si>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</si>
  <si>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</si>
  <si>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</si>
  <si>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</si>
  <si>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</si>
  <si>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</si>
  <si>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</si>
  <si>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</si>
  <si>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</si>
  <si>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</si>
  <si>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</si>
  <si>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</si>
  <si>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</si>
  <si>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</si>
  <si>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</si>
  <si>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</si>
  <si>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</si>
  <si>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</si>
  <si>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</si>
  <si>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</si>
  <si>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</si>
  <si>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</si>
  <si>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</si>
  <si>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</si>
  <si>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</si>
  <si>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</si>
  <si>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</si>
  <si>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</si>
  <si>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</si>
  <si>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</si>
  <si>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</si>
  <si>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</si>
  <si>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</si>
  <si>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</si>
  <si>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</si>
  <si>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</si>
  <si>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</si>
  <si>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</si>
  <si>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</si>
  <si>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</si>
  <si>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</si>
  <si>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</si>
  <si>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</si>
  <si>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</si>
  <si>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</si>
  <si>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</si>
  <si>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</si>
  <si>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</si>
  <si>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</si>
  <si>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</si>
  <si>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</si>
  <si>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</si>
  <si>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</si>
  <si>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</si>
  <si>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</si>
  <si>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</si>
  <si>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</si>
  <si>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</si>
  <si>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</si>
  <si>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</si>
  <si>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</si>
  <si>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</si>
  <si>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</si>
  <si>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</si>
  <si>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</si>
  <si>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</si>
  <si>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</si>
  <si>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</si>
  <si>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</si>
  <si>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</si>
  <si>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</si>
  <si>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</si>
  <si>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</si>
  <si>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</si>
  <si>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</si>
  <si>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</si>
  <si>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</si>
  <si>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</si>
  <si>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</si>
  <si>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</si>
  <si>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</si>
  <si>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</si>
  <si>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</si>
  <si>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</si>
  <si>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</si>
  <si>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</si>
  <si>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</si>
  <si>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</si>
  <si>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</si>
  <si>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</si>
  <si>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</si>
  <si>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</si>
  <si>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</si>
  <si>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</si>
  <si>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</si>
  <si>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</si>
  <si>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</si>
  <si>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</si>
  <si>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</si>
  <si>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</si>
  <si>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</si>
  <si>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</si>
  <si>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</si>
  <si>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</si>
  <si>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</si>
  <si>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</si>
  <si>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</si>
  <si>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</si>
  <si>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</si>
  <si>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</si>
  <si>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</si>
  <si>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</si>
  <si>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</si>
  <si>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</si>
  <si>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</si>
  <si>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</si>
  <si>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</si>
  <si>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</si>
  <si>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</si>
  <si>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</si>
  <si>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</si>
  <si>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</si>
  <si>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</si>
  <si>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</si>
  <si>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</si>
  <si>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</si>
  <si>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</si>
  <si>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</si>
  <si>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</si>
  <si>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</si>
  <si>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</si>
  <si>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</si>
  <si>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</si>
  <si>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</si>
  <si>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</si>
  <si>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</si>
  <si>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</si>
  <si>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</si>
  <si>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</si>
  <si>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</si>
  <si>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</si>
  <si>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</si>
  <si>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</si>
  <si>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</si>
  <si>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</si>
  <si>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</si>
  <si>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</si>
  <si>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</si>
  <si>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</si>
  <si>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</si>
  <si>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</si>
  <si>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</si>
  <si>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</si>
  <si>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</si>
  <si>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</si>
  <si>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</si>
  <si>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</si>
  <si>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</si>
  <si>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</si>
  <si>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</si>
  <si>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</si>
  <si>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</si>
  <si>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</si>
  <si>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</si>
  <si>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</si>
  <si>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</si>
  <si>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</si>
  <si>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</si>
  <si>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</si>
  <si>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</si>
  <si>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</si>
  <si>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</si>
  <si>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</si>
  <si>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</si>
  <si>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</si>
  <si>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</si>
  <si>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</si>
  <si>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</si>
  <si>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</si>
  <si>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</si>
  <si>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</si>
  <si>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</si>
  <si>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</si>
  <si>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</si>
  <si>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</si>
  <si>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</si>
  <si>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</si>
  <si>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</si>
  <si>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</si>
  <si>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</si>
  <si>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</si>
  <si>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</si>
  <si>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</si>
  <si>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</si>
  <si>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</si>
  <si>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</si>
  <si>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</si>
  <si>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</si>
  <si>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</si>
  <si>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</si>
  <si>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</si>
  <si>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</si>
  <si>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</si>
  <si>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</si>
  <si>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</si>
  <si>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</si>
  <si>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</si>
  <si>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</si>
  <si>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</si>
  <si>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</si>
  <si>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</si>
  <si>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</si>
  <si>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</si>
  <si>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</si>
  <si>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</si>
  <si>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</si>
  <si>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</si>
  <si>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</si>
  <si>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</si>
  <si>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</si>
  <si>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</si>
  <si>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</si>
  <si>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</si>
  <si>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</si>
  <si>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</si>
  <si>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</si>
  <si>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</si>
  <si>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</si>
  <si>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</si>
  <si>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</si>
  <si>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</si>
  <si>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</si>
  <si>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</si>
  <si>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</si>
  <si>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北京诚志置业有限公司</t>
    <phoneticPr fontId="6" type="noConversion"/>
  </si>
  <si>
    <t>渤海银行</t>
    <phoneticPr fontId="6" type="noConversion"/>
  </si>
  <si>
    <t>抵押</t>
  </si>
  <si>
    <t>抵押价格</t>
  </si>
  <si>
    <t>企业</t>
  </si>
  <si>
    <t>朝阳区管庄乡塔营村1208-605地块F1住宅混合公建用地项目</t>
    <phoneticPr fontId="6" type="noConversion"/>
  </si>
  <si>
    <t>住宅、商业、办公、地下车库</t>
    <phoneticPr fontId="6" type="noConversion"/>
  </si>
  <si>
    <t>《国有建设用地使用权出让合同》[]及附件、</t>
    <phoneticPr fontId="6" type="noConversion"/>
  </si>
  <si>
    <t>《建设工程规划许可证》[]</t>
    <phoneticPr fontId="6" type="noConversion"/>
  </si>
  <si>
    <t>符合</t>
  </si>
  <si>
    <t>一致</t>
  </si>
  <si>
    <t>出让</t>
  </si>
  <si>
    <t>商业</t>
  </si>
  <si>
    <t>住宅69.3、办公49.3、地下车库49.3</t>
    <phoneticPr fontId="6" type="noConversion"/>
  </si>
  <si>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</si>
  <si>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</si>
  <si>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</si>
  <si>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</si>
  <si>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</si>
  <si>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</si>
  <si>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</si>
  <si>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</si>
  <si>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</si>
  <si>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</si>
  <si>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</si>
  <si>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</si>
  <si>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</si>
  <si>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</si>
  <si>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</si>
  <si>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</si>
  <si>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</si>
  <si>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</si>
  <si>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</si>
  <si>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5" type="noConversion"/>
  </si>
  <si>
    <t>小计</t>
    <phoneticPr fontId="3" type="noConversion"/>
  </si>
  <si>
    <t>合计</t>
    <phoneticPr fontId="3" type="noConversion"/>
  </si>
  <si>
    <t>2018规（密）建字0001号</t>
    <phoneticPr fontId="285" type="noConversion"/>
  </si>
  <si>
    <t>自住型商品房</t>
  </si>
  <si>
    <t>自住型商品房</t>
    <phoneticPr fontId="285" type="noConversion"/>
  </si>
  <si>
    <t>1#住宅楼（自住型商品房）</t>
    <phoneticPr fontId="285" type="noConversion"/>
  </si>
  <si>
    <t>戊类库房</t>
  </si>
  <si>
    <t>戊类库房</t>
    <phoneticPr fontId="233" type="noConversion"/>
  </si>
  <si>
    <t>2#住宅楼（自住型商品房）</t>
  </si>
  <si>
    <t>3#住宅楼（自住型商品房）</t>
  </si>
  <si>
    <t>4#住宅楼（自住型商品房）</t>
  </si>
  <si>
    <t>物业服务</t>
    <phoneticPr fontId="3" type="noConversion"/>
  </si>
  <si>
    <t>公共配套</t>
    <phoneticPr fontId="233" type="noConversion"/>
  </si>
  <si>
    <t>6#配套楼</t>
    <phoneticPr fontId="285" type="noConversion"/>
  </si>
  <si>
    <t>7#分界室</t>
    <phoneticPr fontId="233" type="noConversion"/>
  </si>
  <si>
    <t>1#地下车库</t>
    <phoneticPr fontId="285" type="noConversion"/>
  </si>
  <si>
    <t>2018规（密）建字0002号</t>
    <phoneticPr fontId="233" type="noConversion"/>
  </si>
  <si>
    <t>办公楼</t>
  </si>
  <si>
    <t>办公楼</t>
    <phoneticPr fontId="3" type="noConversion"/>
  </si>
  <si>
    <t>A#办公楼</t>
    <phoneticPr fontId="3" type="noConversion"/>
  </si>
  <si>
    <t>B1#办公楼</t>
    <phoneticPr fontId="233" type="noConversion"/>
  </si>
  <si>
    <t>B2#办公楼</t>
  </si>
  <si>
    <t>B3#办公楼</t>
  </si>
  <si>
    <t>B4#办公楼</t>
  </si>
  <si>
    <t>B5#办公楼</t>
  </si>
  <si>
    <t>C1#办公楼</t>
    <phoneticPr fontId="233"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</si>
  <si>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</si>
  <si>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</si>
  <si>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</si>
  <si>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</si>
  <si>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</si>
  <si>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</si>
  <si>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</si>
  <si>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</si>
  <si>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</si>
  <si>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</si>
  <si>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</si>
  <si>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</si>
  <si>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</si>
  <si>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</si>
  <si>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</si>
  <si>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</si>
  <si>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</si>
  <si>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</si>
  <si>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3" type="noConversion"/>
  </si>
  <si>
    <t>2#地下车库</t>
    <phoneticPr fontId="3" type="noConversion"/>
  </si>
  <si>
    <t>5#住宅楼（自住型商品房）</t>
    <phoneticPr fontId="233" type="noConversion"/>
  </si>
  <si>
    <t>规证附图</t>
    <phoneticPr fontId="233" type="noConversion"/>
  </si>
  <si>
    <t>地上</t>
  </si>
  <si>
    <t>底商</t>
  </si>
  <si>
    <t>地下</t>
  </si>
  <si>
    <t>车库</t>
  </si>
  <si>
    <t>仓储</t>
  </si>
  <si>
    <t>公共配套</t>
    <phoneticPr fontId="3" type="noConversion"/>
  </si>
  <si>
    <t>综合用地(含住宅)</t>
  </si>
  <si>
    <t>挂牌</t>
  </si>
  <si>
    <t>朝阳区管庄乡塔营村1208-605地块</t>
  </si>
  <si>
    <t>住宅用地</t>
  </si>
  <si>
    <t>2017-04-25</t>
  </si>
  <si>
    <t>北京世纪鸿城置业有限公司</t>
  </si>
  <si>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</si>
  <si>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</si>
  <si>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</si>
  <si>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</si>
  <si>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</si>
  <si>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</si>
  <si>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</si>
  <si>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</si>
  <si>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</si>
  <si>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</si>
  <si>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</si>
  <si>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</si>
  <si>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r>
      <rPr>
        <sz val="10"/>
        <rFont val="宋体"/>
        <family val="3"/>
        <charset val="134"/>
      </rPr>
      <t>朝阳区常营乡</t>
    </r>
    <r>
      <rPr>
        <sz val="11"/>
        <color theme="1"/>
        <rFont val="宋体"/>
        <family val="3"/>
        <charset val="134"/>
        <scheme val="minor"/>
      </rPr>
      <t>1201-602</t>
    </r>
    <r>
      <rPr>
        <sz val="10"/>
        <rFont val="宋体"/>
        <family val="3"/>
        <charset val="134"/>
      </rPr>
      <t>、</t>
    </r>
    <r>
      <rPr>
        <sz val="11"/>
        <color theme="1"/>
        <rFont val="宋体"/>
        <family val="3"/>
        <charset val="134"/>
        <scheme val="minor"/>
      </rPr>
      <t>603</t>
    </r>
    <r>
      <rPr>
        <sz val="10"/>
        <rFont val="宋体"/>
        <family val="3"/>
        <charset val="134"/>
      </rPr>
      <t>地块</t>
    </r>
    <phoneticPr fontId="3" type="noConversion"/>
  </si>
  <si>
    <t>2015-11-12</t>
  </si>
  <si>
    <t>北京世博宏业房地产开发有限公司和北京首都开发股份有限公司联合体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</si>
  <si>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</si>
  <si>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</si>
  <si>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</si>
  <si>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朝阳区东坝南区1106-657地块住宅混合公建用地</t>
  </si>
  <si>
    <t>2015-09-08</t>
  </si>
  <si>
    <t>北京保利营房地产开发有限公司、北京首都开发股份有限公司和北京龙湖中佰置业有限公司联合体</t>
  </si>
  <si>
    <t>住宅商业办公</t>
  </si>
  <si>
    <t>住宅商业办公</t>
    <phoneticPr fontId="3" type="noConversion"/>
  </si>
  <si>
    <t>自住房</t>
    <phoneticPr fontId="26" type="noConversion"/>
  </si>
  <si>
    <t>自住房</t>
    <phoneticPr fontId="26" type="noConversion"/>
  </si>
  <si>
    <t>限价、自住房</t>
    <phoneticPr fontId="26" type="noConversion"/>
  </si>
  <si>
    <t>限价</t>
    <phoneticPr fontId="26" type="noConversion"/>
  </si>
  <si>
    <t>公租</t>
    <phoneticPr fontId="26" type="noConversion"/>
  </si>
  <si>
    <t>估价对象周边居住用地比例较高、居住小区规模和社区发展完善程度较好，有远洋一方、管庄新村等多个项目、综合评价居住社区成熟度较好</t>
    <phoneticPr fontId="3" type="noConversion"/>
  </si>
  <si>
    <t>估价对象位于管庄商圈，周边商业氛围成熟较好，人流量较大，周边2公里有万豪购物广场、国泰百货等多个商业项目，商业繁华度较好</t>
    <phoneticPr fontId="3" type="noConversion"/>
  </si>
  <si>
    <t>估价对象位于管庄商圈，周边办公楼项目较多，入驻率较高，周边2公里有世通国际大厦、意菲克大厦等多个项目，办公集聚程度较好</t>
    <phoneticPr fontId="3" type="noConversion"/>
  </si>
  <si>
    <t>估价对象所在区域公共配套设施齐备情况较好</t>
    <phoneticPr fontId="3" type="noConversion"/>
  </si>
  <si>
    <t>七通</t>
  </si>
  <si>
    <t>七通</t>
    <phoneticPr fontId="3" type="noConversion"/>
  </si>
  <si>
    <t>区域自然环境：八里桥音乐主题公园、西汇公园、金田公园等；人文环境；综合评价环境状况较好</t>
    <phoneticPr fontId="3"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</si>
  <si>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塔营街</t>
    </r>
    <phoneticPr fontId="21" type="noConversion"/>
  </si>
  <si>
    <t>较好</t>
  </si>
  <si>
    <t>一般</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</si>
  <si>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</si>
  <si>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</si>
  <si>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</si>
  <si>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</si>
  <si>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</si>
  <si>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</si>
  <si>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</si>
  <si>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</si>
  <si>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</si>
  <si>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</si>
  <si>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</si>
  <si>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</si>
  <si>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</si>
  <si>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</si>
  <si>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</si>
  <si>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</si>
  <si>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</si>
  <si>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</si>
  <si>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</si>
  <si>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</si>
  <si>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</si>
  <si>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</si>
  <si>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</si>
  <si>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</si>
  <si>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</si>
  <si>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</si>
  <si>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六通一平</t>
  </si>
  <si>
    <t>三通一平</t>
  </si>
  <si>
    <t>规则</t>
  </si>
  <si>
    <t>周边有苹果派、泰福苑、定福家园等多个项目、综合评价居住社区成熟度较好</t>
    <phoneticPr fontId="26" type="noConversion"/>
  </si>
  <si>
    <t>周边有plus365购物中心、北岸商业广场等多个项目、综合评价商业繁华度较好</t>
    <phoneticPr fontId="26" type="noConversion"/>
  </si>
  <si>
    <t>较差</t>
  </si>
  <si>
    <t>周边几乎没有办公类项目</t>
    <phoneticPr fontId="26" type="noConversion"/>
  </si>
  <si>
    <t>有常营公园、黄渠公园等，环境状况较好</t>
    <phoneticPr fontId="26" type="noConversion"/>
  </si>
  <si>
    <t>塔营街</t>
    <phoneticPr fontId="26" type="noConversion"/>
  </si>
  <si>
    <t>黄渠东路</t>
    <phoneticPr fontId="26" type="noConversion"/>
  </si>
  <si>
    <t>周边有华瀚福园、东泽园、金驹家园等多个项目、综合评价居住社区成熟度较好</t>
    <phoneticPr fontId="26" type="noConversion"/>
  </si>
  <si>
    <t>以住宅底商为主</t>
    <phoneticPr fontId="26" type="noConversion"/>
  </si>
  <si>
    <t>有东坝郊野公园公园等，环境状况一般</t>
    <phoneticPr fontId="26" type="noConversion"/>
  </si>
  <si>
    <t>东坝中街</t>
    <phoneticPr fontId="26" type="noConversion"/>
  </si>
  <si>
    <t>周边有顶秀欣园、怡和世家、顶秀金石家园等多个项目、综合评价居住社区成熟度较好</t>
    <phoneticPr fontId="26" type="noConversion"/>
  </si>
  <si>
    <t>周边有首开福茂、石榴中心斯坦福广场等多个项目、综合评价商业繁华度较好</t>
    <phoneticPr fontId="26" type="noConversion"/>
  </si>
  <si>
    <t>周边有五岳大厦、千鹤办公、尚科办公社区等多个项目，办公集聚程度较好</t>
    <phoneticPr fontId="26" type="noConversion"/>
  </si>
  <si>
    <t>估价对象周边道路状况较好、公共交通通达情况一般、停车便捷程度较好，有364、532、690路等公交线路及地铁八通线，综合评价交通便捷度一般</t>
    <phoneticPr fontId="3" type="noConversion"/>
  </si>
  <si>
    <r>
      <rPr>
        <sz val="11"/>
        <rFont val="宋体"/>
        <family val="3"/>
        <charset val="134"/>
      </rPr>
      <t>有</t>
    </r>
    <r>
      <rPr>
        <sz val="11"/>
        <rFont val="Arial"/>
        <family val="2"/>
      </rPr>
      <t>349</t>
    </r>
    <r>
      <rPr>
        <sz val="11"/>
        <rFont val="宋体"/>
        <family val="3"/>
        <charset val="134"/>
      </rPr>
      <t>、</t>
    </r>
    <r>
      <rPr>
        <sz val="11"/>
        <rFont val="Arial"/>
        <family val="2"/>
      </rPr>
      <t>583</t>
    </r>
    <r>
      <rPr>
        <sz val="11"/>
        <rFont val="宋体"/>
        <family val="3"/>
        <charset val="134"/>
      </rPr>
      <t>、</t>
    </r>
    <r>
      <rPr>
        <sz val="11"/>
        <rFont val="Arial"/>
        <family val="2"/>
      </rPr>
      <t>675</t>
    </r>
    <r>
      <rPr>
        <sz val="11"/>
        <rFont val="宋体"/>
        <family val="3"/>
        <charset val="134"/>
      </rPr>
      <t>路等公交线路及地铁八通线，综合评价交通便捷度一般</t>
    </r>
    <phoneticPr fontId="26" type="noConversion"/>
  </si>
  <si>
    <t>有619、659、350路等公交线路，综合评价交通便捷度较差</t>
    <phoneticPr fontId="26" type="noConversion"/>
  </si>
  <si>
    <t>有17、139、366路等公交线路及地铁5、10号线，综合评价交通便捷度较好</t>
    <phoneticPr fontId="26" type="noConversion"/>
  </si>
  <si>
    <t>有石榴庄公园等，环境状况一般</t>
    <phoneticPr fontId="26" type="noConversion"/>
  </si>
  <si>
    <t>次干道</t>
  </si>
  <si>
    <t>宋庄路</t>
    <phoneticPr fontId="26" type="noConversion"/>
  </si>
  <si>
    <t>单面临街</t>
  </si>
  <si>
    <t>楼面地价</t>
  </si>
  <si>
    <t>商业服务</t>
  </si>
  <si>
    <t>押一</t>
  </si>
  <si>
    <t>钢混</t>
  </si>
  <si>
    <t>土地（套用方法）</t>
  </si>
  <si>
    <t>不动产收益法商</t>
  </si>
  <si>
    <t>不动产收益法商</t>
    <phoneticPr fontId="14" type="noConversion"/>
  </si>
  <si>
    <t>不动产收益法办</t>
  </si>
  <si>
    <t>不动产收益法办</t>
    <phoneticPr fontId="14" type="noConversion"/>
  </si>
  <si>
    <t>不动产收益法库</t>
  </si>
  <si>
    <t>不动产收益法库</t>
    <phoneticPr fontId="14" type="noConversion"/>
  </si>
  <si>
    <t>比较法-住宅、综合</t>
  </si>
  <si>
    <t>剩余法-待开发</t>
  </si>
  <si>
    <t>不动产收益法车</t>
    <phoneticPr fontId="14" type="noConversion"/>
  </si>
  <si>
    <t>地下仓储</t>
    <phoneticPr fontId="9" type="noConversion"/>
  </si>
  <si>
    <t>地下车库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</si>
</sst>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145" fillId="0" borderId="0">
      <alignment vertical="center"/>
    </xf>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6" fillId="0" borderId="5" xfId="16" applyNumberFormat="1" applyFont="1" applyFill="1" applyBorder="1" applyAlignment="1">
      <alignment vertical="center" wrapText="1"/>
    </xf>
    <xf numFmtId="0" fontId="166" fillId="0" borderId="8" xfId="16" applyNumberFormat="1" applyFont="1" applyFill="1" applyBorder="1" applyAlignment="1">
      <alignment vertical="center" wrapText="1"/>
    </xf>
    <xf numFmtId="0" fontId="166" fillId="0" borderId="9" xfId="16" applyNumberFormat="1" applyFont="1" applyFill="1" applyBorder="1" applyAlignment="1">
      <alignment vertical="center" wrapText="1"/>
    </xf>
    <xf numFmtId="0" fontId="0" fillId="0" borderId="0" xfId="0" applyFill="1">
      <alignment vertical="center"/>
    </xf>
    <xf numFmtId="0" fontId="166" fillId="0" borderId="2" xfId="16" applyNumberFormat="1" applyFont="1" applyFill="1" applyBorder="1" applyAlignment="1">
      <alignment horizontal="center" vertical="center" wrapText="1"/>
    </xf>
    <xf numFmtId="0" fontId="165" fillId="0" borderId="2" xfId="16" applyNumberFormat="1"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0" fontId="146" fillId="0" borderId="0" xfId="0" applyFont="1" applyFill="1">
      <alignment vertical="center"/>
    </xf>
    <xf numFmtId="0" fontId="166" fillId="0" borderId="10" xfId="16" applyNumberFormat="1" applyFont="1" applyFill="1" applyBorder="1" applyAlignment="1">
      <alignment horizontal="center" vertical="center" wrapText="1"/>
    </xf>
    <xf numFmtId="0" fontId="166" fillId="0" borderId="2" xfId="16" applyNumberFormat="1" applyFont="1" applyFill="1" applyBorder="1" applyAlignment="1">
      <alignment vertical="center" wrapText="1"/>
    </xf>
    <xf numFmtId="180" fontId="76" fillId="0" borderId="2" xfId="0" applyNumberFormat="1" applyFont="1" applyBorder="1" applyAlignment="1" applyProtection="1">
      <alignment horizontal="center" vertical="center" wrapText="1"/>
      <protection locked="0"/>
    </xf>
    <xf numFmtId="179" fontId="71" fillId="0" borderId="11" xfId="0" applyNumberFormat="1" applyFont="1" applyBorder="1" applyAlignment="1" applyProtection="1">
      <alignment horizontal="center" vertical="center"/>
      <protection locked="0"/>
    </xf>
    <xf numFmtId="0" fontId="86" fillId="6" borderId="0" xfId="0" applyFont="1" applyFill="1" applyAlignment="1"/>
    <xf numFmtId="0" fontId="0" fillId="6" borderId="0" xfId="0" applyFill="1" applyAlignment="1"/>
    <xf numFmtId="0" fontId="0" fillId="17"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9" fillId="9" borderId="11" xfId="0" applyFont="1" applyFill="1" applyBorder="1" applyAlignment="1" applyProtection="1">
      <alignment horizontal="center" vertical="center"/>
      <protection locked="0"/>
    </xf>
    <xf numFmtId="181" fontId="85" fillId="9" borderId="25"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6" fillId="0" borderId="2" xfId="16" applyNumberFormat="1" applyFont="1" applyFill="1" applyBorder="1" applyAlignment="1">
      <alignment horizontal="center" vertical="center" wrapText="1"/>
    </xf>
    <xf numFmtId="0" fontId="166" fillId="0" borderId="10" xfId="16" applyNumberFormat="1" applyFont="1" applyFill="1" applyBorder="1" applyAlignment="1">
      <alignment horizontal="center" vertical="center" wrapText="1"/>
    </xf>
    <xf numFmtId="0" fontId="166"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2979</v>
      </c>
      <c r="B1" s="3178"/>
      <c r="C1" s="3179"/>
      <c r="D1" s="3180"/>
      <c r="E1" s="3181" t="s">
        <v>2980</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2981</v>
      </c>
      <c r="B2" s="3190" t="e">
        <f ca="1">ROUND(D2/10000,0)</f>
        <v>#DIV/0!</v>
      </c>
      <c r="C2" s="3191" t="s">
        <v>2982</v>
      </c>
      <c r="D2" s="3192" t="e">
        <f ca="1">C40+J29+L46</f>
        <v>#DIV/0!</v>
      </c>
      <c r="E2" s="3193" t="s">
        <v>2983</v>
      </c>
      <c r="F2" s="3194"/>
      <c r="G2" s="3195"/>
      <c r="H2" s="3196"/>
      <c r="I2" s="3196"/>
      <c r="J2" s="3196"/>
      <c r="K2" s="3197"/>
      <c r="L2" s="3196"/>
      <c r="M2" s="3196"/>
    </row>
    <row r="3" spans="1:37" ht="18" customHeight="1" thickBot="1">
      <c r="A3" s="3200" t="s">
        <v>2984</v>
      </c>
      <c r="B3" s="3201">
        <f ca="1">IF(ISERROR(D2/F43),0,ROUND(D2/F43,0))</f>
        <v>0</v>
      </c>
      <c r="C3" s="3191" t="s">
        <v>2985</v>
      </c>
      <c r="D3" s="3191"/>
      <c r="E3" s="3193"/>
      <c r="F3" s="3194"/>
      <c r="G3" s="3195"/>
      <c r="H3" s="3202" t="s">
        <v>2986</v>
      </c>
      <c r="I3" s="3196"/>
      <c r="J3" s="3196"/>
      <c r="K3" s="3197"/>
      <c r="L3" s="3196"/>
      <c r="M3" s="3196"/>
    </row>
    <row r="4" spans="1:37" ht="18" customHeight="1">
      <c r="A4" s="3203" t="s">
        <v>2987</v>
      </c>
      <c r="B4" s="3204" t="s">
        <v>2988</v>
      </c>
      <c r="C4" s="3204" t="s">
        <v>2989</v>
      </c>
      <c r="D4" s="3204" t="s">
        <v>2990</v>
      </c>
      <c r="E4" s="3205" t="s">
        <v>2991</v>
      </c>
      <c r="F4" s="3206"/>
      <c r="G4" s="3207"/>
      <c r="H4" s="3203" t="s">
        <v>2992</v>
      </c>
      <c r="I4" s="3204" t="s">
        <v>2993</v>
      </c>
      <c r="J4" s="3204" t="s">
        <v>2994</v>
      </c>
      <c r="K4" s="3204" t="s">
        <v>2995</v>
      </c>
      <c r="L4" s="3205" t="s">
        <v>2991</v>
      </c>
      <c r="M4" s="3206"/>
    </row>
    <row r="5" spans="1:37" ht="18" customHeight="1">
      <c r="A5" s="3208">
        <v>1</v>
      </c>
      <c r="B5" s="3209" t="s">
        <v>2996</v>
      </c>
      <c r="C5" s="3210">
        <f ca="1">C6+C10+C12</f>
        <v>0</v>
      </c>
      <c r="D5" s="3211" t="s">
        <v>2997</v>
      </c>
      <c r="E5" s="3212"/>
      <c r="F5" s="3213"/>
      <c r="G5" s="3207"/>
      <c r="H5" s="3208">
        <v>1</v>
      </c>
      <c r="I5" s="3209" t="s">
        <v>2996</v>
      </c>
      <c r="J5" s="3210">
        <f ca="1">J6+J10+J12</f>
        <v>0</v>
      </c>
      <c r="K5" s="3211" t="s">
        <v>2997</v>
      </c>
      <c r="L5" s="3212"/>
      <c r="M5" s="3213"/>
    </row>
    <row r="6" spans="1:37" ht="18" customHeight="1">
      <c r="A6" s="3214" t="s">
        <v>2998</v>
      </c>
      <c r="B6" s="3521" t="s">
        <v>2999</v>
      </c>
      <c r="C6" s="3215">
        <f ca="1">ROUND(F6*F8*F7*(1-F9),0)</f>
        <v>0</v>
      </c>
      <c r="D6" s="3216" t="s">
        <v>3000</v>
      </c>
      <c r="E6" s="3217" t="s">
        <v>3001</v>
      </c>
      <c r="F6" s="3218">
        <f ca="1">INDIRECT("'数据-取费表'!u"&amp;$G$1)</f>
        <v>0</v>
      </c>
      <c r="G6" s="3207"/>
      <c r="H6" s="3214" t="s">
        <v>2998</v>
      </c>
      <c r="I6" s="3521" t="s">
        <v>2999</v>
      </c>
      <c r="J6" s="3219">
        <f ca="1">ROUND(M6*M8*M7*(1-M9),0)</f>
        <v>0</v>
      </c>
      <c r="K6" s="3220" t="s">
        <v>3002</v>
      </c>
      <c r="L6" s="3217" t="s">
        <v>3001</v>
      </c>
      <c r="M6" s="3218">
        <f ca="1">INDIRECT("'数据-取费表'!z"&amp;$G$1)</f>
        <v>0</v>
      </c>
    </row>
    <row r="7" spans="1:37" ht="18" customHeight="1">
      <c r="A7" s="3221"/>
      <c r="B7" s="3522"/>
      <c r="C7" s="3222"/>
      <c r="D7" s="3223"/>
      <c r="E7" s="3224" t="s">
        <v>3003</v>
      </c>
      <c r="F7" s="3218">
        <f ca="1">IF(INDIRECT("'数据-取费表'!ah"&amp;$G$1)="",INDIRECT("'数据-取费表'!k"&amp;$G$1),INDIRECT("'数据-取费表'!ah"&amp;$G$1))</f>
        <v>71612.7</v>
      </c>
      <c r="G7" s="3207"/>
      <c r="H7" s="3225"/>
      <c r="I7" s="3522"/>
      <c r="J7" s="3226"/>
      <c r="K7" s="3223"/>
      <c r="L7" s="3217" t="s">
        <v>3003</v>
      </c>
      <c r="M7" s="3218">
        <f ca="1">F7</f>
        <v>71612.7</v>
      </c>
    </row>
    <row r="8" spans="1:37" ht="18" customHeight="1">
      <c r="A8" s="3225"/>
      <c r="B8" s="3522"/>
      <c r="C8" s="3226"/>
      <c r="D8" s="3223"/>
      <c r="E8" s="3217" t="s">
        <v>3004</v>
      </c>
      <c r="F8" s="3218">
        <f ca="1">INDIRECT("'数据-取费表'!ai"&amp;$G$1)</f>
        <v>0</v>
      </c>
      <c r="G8" s="3207"/>
      <c r="H8" s="3225"/>
      <c r="I8" s="3522"/>
      <c r="J8" s="3226"/>
      <c r="K8" s="3223"/>
      <c r="L8" s="3217" t="s">
        <v>3004</v>
      </c>
      <c r="M8" s="3218">
        <f ca="1">INDIRECT("'数据-取费表'!ai"&amp;$G$1)</f>
        <v>0</v>
      </c>
    </row>
    <row r="9" spans="1:37" ht="18" customHeight="1">
      <c r="A9" s="3225"/>
      <c r="B9" s="3523"/>
      <c r="C9" s="3226"/>
      <c r="D9" s="3223"/>
      <c r="E9" s="3217" t="s">
        <v>3005</v>
      </c>
      <c r="F9" s="3227">
        <f ca="1">INDIRECT("'数据-取费表'!w"&amp;$G$1)</f>
        <v>0</v>
      </c>
      <c r="G9" s="3207"/>
      <c r="H9" s="3225"/>
      <c r="I9" s="3523"/>
      <c r="J9" s="3226"/>
      <c r="K9" s="3223"/>
      <c r="L9" s="3228" t="s">
        <v>3005</v>
      </c>
      <c r="M9" s="3229">
        <f ca="1">INDIRECT("'数据-取费表'!ab"&amp;$G$1)</f>
        <v>0</v>
      </c>
    </row>
    <row r="10" spans="1:37" ht="18" customHeight="1">
      <c r="A10" s="3214" t="s">
        <v>3006</v>
      </c>
      <c r="B10" s="3230" t="s">
        <v>3007</v>
      </c>
      <c r="C10" s="3231">
        <f>ROUND(IF(F10="押一",F6*F8*F7/12*F11,IF(F10="押二",F6*F8*F7/12*2*F11,IF(F10="押三",F6*F8*F7/12*3*F11,C11*F11))),0)</f>
        <v>0</v>
      </c>
      <c r="D10" s="3232" t="s">
        <v>3008</v>
      </c>
      <c r="E10" s="3228" t="s">
        <v>3009</v>
      </c>
      <c r="F10" s="3233"/>
      <c r="G10" s="3207"/>
      <c r="H10" s="3214" t="s">
        <v>3006</v>
      </c>
      <c r="I10" s="3230" t="s">
        <v>3007</v>
      </c>
      <c r="J10" s="3219">
        <f>ROUND(IF(M10="押一",M6*M8*M7/12*M11,IF(M10="押二",M6*M8*M7/12*2*M11,IF(M10="押三",M6*M8*M7/12*3*M11,J11*M11))),0)</f>
        <v>0</v>
      </c>
      <c r="K10" s="3234" t="s">
        <v>3010</v>
      </c>
      <c r="L10" s="3228" t="s">
        <v>3009</v>
      </c>
      <c r="M10" s="3233"/>
    </row>
    <row r="11" spans="1:37" ht="18" customHeight="1">
      <c r="A11" s="3235"/>
      <c r="B11" s="3236" t="s">
        <v>3011</v>
      </c>
      <c r="C11" s="3237"/>
      <c r="D11" s="3223"/>
      <c r="E11" s="3228" t="s">
        <v>3012</v>
      </c>
      <c r="F11" s="3229">
        <f>'[1]数据-取费表'!B39</f>
        <v>0</v>
      </c>
      <c r="G11" s="3207"/>
      <c r="H11" s="3238"/>
      <c r="I11" s="3236" t="s">
        <v>3013</v>
      </c>
      <c r="J11" s="3237"/>
      <c r="K11" s="3239"/>
      <c r="L11" s="3228" t="s">
        <v>3012</v>
      </c>
      <c r="M11" s="3240">
        <f>'[1]数据-取费表'!B39</f>
        <v>0</v>
      </c>
    </row>
    <row r="12" spans="1:37" ht="18" customHeight="1" thickBot="1">
      <c r="A12" s="3241" t="s">
        <v>3014</v>
      </c>
      <c r="B12" s="3242" t="s">
        <v>3015</v>
      </c>
      <c r="C12" s="3243"/>
      <c r="D12" s="3244"/>
      <c r="E12" s="3245"/>
      <c r="F12" s="3246"/>
      <c r="G12" s="3207"/>
      <c r="H12" s="3241" t="s">
        <v>3014</v>
      </c>
      <c r="I12" s="3242" t="s">
        <v>3015</v>
      </c>
      <c r="J12" s="3243"/>
      <c r="K12" s="3247"/>
      <c r="L12" s="3245"/>
      <c r="M12" s="3248"/>
    </row>
    <row r="13" spans="1:37" ht="18" customHeight="1" thickTop="1">
      <c r="A13" s="3249">
        <v>2</v>
      </c>
      <c r="B13" s="3250" t="s">
        <v>3016</v>
      </c>
      <c r="C13" s="3251">
        <f ca="1">ROUND(C29*F13,0)</f>
        <v>0</v>
      </c>
      <c r="D13" s="3252" t="s">
        <v>3017</v>
      </c>
      <c r="E13" s="3252" t="s">
        <v>3018</v>
      </c>
      <c r="F13" s="3253">
        <f ca="1">INDIRECT("'数据-取费表'!y"&amp;$G$1)</f>
        <v>0</v>
      </c>
      <c r="G13" s="3207"/>
      <c r="H13" s="3249">
        <v>2</v>
      </c>
      <c r="I13" s="3250" t="s">
        <v>3016</v>
      </c>
      <c r="J13" s="3254">
        <f ca="1">ROUND(J14*J15,0)</f>
        <v>0</v>
      </c>
      <c r="K13" s="3255" t="s">
        <v>3017</v>
      </c>
      <c r="L13" s="3256"/>
      <c r="M13" s="3257"/>
    </row>
    <row r="14" spans="1:37" ht="18" customHeight="1">
      <c r="A14" s="3258" t="s">
        <v>3019</v>
      </c>
      <c r="B14" s="3217" t="s">
        <v>3020</v>
      </c>
      <c r="C14" s="3259">
        <f ca="1">ROUND(INDIRECT("'数据-取费表'!l"&amp;$G$1)*F43+'[1]数据-取费表'!L14*INDIRECT("'数据-取费表'!S"&amp;$G$1),0)</f>
        <v>214838100</v>
      </c>
      <c r="D14" s="3260" t="s">
        <v>3021</v>
      </c>
      <c r="E14" s="3261"/>
      <c r="F14" s="3262"/>
      <c r="G14" s="3207"/>
      <c r="H14" s="3258" t="s">
        <v>3022</v>
      </c>
      <c r="I14" s="3217" t="s">
        <v>3023</v>
      </c>
      <c r="J14" s="3263">
        <f ca="1">C29</f>
        <v>214838100</v>
      </c>
      <c r="K14" s="3264"/>
      <c r="L14" s="3265"/>
      <c r="M14" s="3266"/>
    </row>
    <row r="15" spans="1:37" s="3275" customFormat="1" ht="18" customHeight="1" thickBot="1">
      <c r="A15" s="3258" t="s">
        <v>3024</v>
      </c>
      <c r="B15" s="3217" t="s">
        <v>3025</v>
      </c>
      <c r="C15" s="3263">
        <f ca="1">ROUND(C14*F15,0)</f>
        <v>0</v>
      </c>
      <c r="D15" s="3267" t="s">
        <v>3026</v>
      </c>
      <c r="E15" s="3267" t="s">
        <v>3027</v>
      </c>
      <c r="F15" s="3268">
        <f>'[1]数据-取费表'!B33</f>
        <v>0</v>
      </c>
      <c r="G15" s="3269"/>
      <c r="H15" s="3270" t="s">
        <v>3006</v>
      </c>
      <c r="I15" s="3245" t="s">
        <v>3018</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3028</v>
      </c>
      <c r="B16" s="3217" t="s">
        <v>3029</v>
      </c>
      <c r="C16" s="3263">
        <f ca="1">ROUND(INDIRECT("'数据-取费表'!l"&amp;$G$1)*F43*F16,0)</f>
        <v>0</v>
      </c>
      <c r="D16" s="3217" t="s">
        <v>3030</v>
      </c>
      <c r="E16" s="3217" t="s">
        <v>3031</v>
      </c>
      <c r="F16" s="3276">
        <f ca="1">IF(INDIRECT("'数据-取费表'!c"&amp;$G$1)="住宅",'[1]数据-取费表'!B34,0)</f>
        <v>0</v>
      </c>
      <c r="G16" s="3207"/>
      <c r="H16" s="3249" t="s">
        <v>3032</v>
      </c>
      <c r="I16" s="3250" t="s">
        <v>3033</v>
      </c>
      <c r="J16" s="3251">
        <f ca="1">ROUND(J17+J22+J23+J24,0)</f>
        <v>1804640</v>
      </c>
      <c r="K16" s="3255" t="s">
        <v>3034</v>
      </c>
      <c r="L16" s="3277"/>
      <c r="M16" s="3213"/>
    </row>
    <row r="17" spans="1:37" s="3275" customFormat="1" ht="18" customHeight="1">
      <c r="A17" s="3258" t="s">
        <v>3035</v>
      </c>
      <c r="B17" s="3217" t="s">
        <v>3036</v>
      </c>
      <c r="C17" s="3263">
        <f ca="1">ROUND(F17*(F43+INDIRECT("'数据-取费表'!S"&amp;$G$1)),0)</f>
        <v>0</v>
      </c>
      <c r="D17" s="3217" t="s">
        <v>3037</v>
      </c>
      <c r="E17" s="3217" t="s">
        <v>3038</v>
      </c>
      <c r="F17" s="3278">
        <f>'[1]数据-取费表'!B35</f>
        <v>0</v>
      </c>
      <c r="G17" s="3269"/>
      <c r="H17" s="3258" t="s">
        <v>2998</v>
      </c>
      <c r="I17" s="3217" t="s">
        <v>3039</v>
      </c>
      <c r="J17" s="3263">
        <f ca="1">ROUND(IF([1]项目基本情况!B11="自然人",J5*M17,J18+J19+J20),0)</f>
        <v>1804640</v>
      </c>
      <c r="K17" s="3260" t="s">
        <v>3040</v>
      </c>
      <c r="L17" s="3279" t="s">
        <v>3041</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3042</v>
      </c>
      <c r="B18" s="3217" t="s">
        <v>3043</v>
      </c>
      <c r="C18" s="3263">
        <f ca="1">ROUND(C14*F18,0)</f>
        <v>0</v>
      </c>
      <c r="D18" s="3217" t="s">
        <v>3026</v>
      </c>
      <c r="E18" s="3217" t="s">
        <v>3027</v>
      </c>
      <c r="F18" s="3276">
        <f>'[1]数据-取费表'!B36</f>
        <v>0</v>
      </c>
      <c r="G18" s="3269"/>
      <c r="H18" s="3258" t="s">
        <v>3019</v>
      </c>
      <c r="I18" s="3217" t="s">
        <v>3044</v>
      </c>
      <c r="J18" s="3263">
        <f ca="1">ROUND(J5*M18/(1+'[1]数据-取费表'!C42),0)</f>
        <v>0</v>
      </c>
      <c r="K18" s="3279" t="s">
        <v>3045</v>
      </c>
      <c r="L18" s="3217" t="s">
        <v>3031</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3022</v>
      </c>
      <c r="B19" s="3217" t="s">
        <v>3046</v>
      </c>
      <c r="C19" s="3263">
        <f ca="1">SUM(C14:C18)</f>
        <v>214838100</v>
      </c>
      <c r="D19" s="3281" t="s">
        <v>3047</v>
      </c>
      <c r="E19" s="3282"/>
      <c r="F19" s="3278"/>
      <c r="G19" s="3207"/>
      <c r="H19" s="3258" t="s">
        <v>3024</v>
      </c>
      <c r="I19" s="3217" t="s">
        <v>3048</v>
      </c>
      <c r="J19" s="3263">
        <f ca="1">IF(K19="按租金收入计税",ROUND(J5*M19,0),ROUND(C29*M19*0.7,0))</f>
        <v>1804640</v>
      </c>
      <c r="K19" s="3283" t="s">
        <v>3049</v>
      </c>
      <c r="L19" s="3217" t="s">
        <v>3027</v>
      </c>
      <c r="M19" s="3276">
        <f>IF(K19="按租金收入计税",'[1]数据-取费表'!B51,'[1]数据-取费表'!B50)</f>
        <v>1.2E-2</v>
      </c>
    </row>
    <row r="20" spans="1:37" s="3275" customFormat="1" ht="18" customHeight="1">
      <c r="A20" s="3258" t="s">
        <v>3006</v>
      </c>
      <c r="B20" s="3217" t="s">
        <v>3050</v>
      </c>
      <c r="C20" s="3263">
        <f ca="1">ROUND(C19*F20,0)</f>
        <v>0</v>
      </c>
      <c r="D20" s="3284" t="s">
        <v>3051</v>
      </c>
      <c r="E20" s="3217" t="s">
        <v>3027</v>
      </c>
      <c r="F20" s="3276">
        <f>'[1]数据-取费表'!B37</f>
        <v>0</v>
      </c>
      <c r="G20" s="3269"/>
      <c r="H20" s="3258" t="s">
        <v>3028</v>
      </c>
      <c r="I20" s="3216" t="s">
        <v>3052</v>
      </c>
      <c r="J20" s="3285">
        <f ca="1">ROUND(M20*M21,0)</f>
        <v>0</v>
      </c>
      <c r="K20" s="3286" t="s">
        <v>3053</v>
      </c>
      <c r="L20" s="3217" t="s">
        <v>3054</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3014</v>
      </c>
      <c r="B21" s="3217" t="s">
        <v>3055</v>
      </c>
      <c r="C21" s="3263" t="s">
        <v>3056</v>
      </c>
      <c r="D21" s="3284" t="s">
        <v>3057</v>
      </c>
      <c r="E21" s="3217" t="s">
        <v>3058</v>
      </c>
      <c r="F21" s="3276">
        <f>'[1]数据-取费表'!B38</f>
        <v>0</v>
      </c>
      <c r="G21" s="3269"/>
      <c r="H21" s="3288"/>
      <c r="I21" s="3289"/>
      <c r="J21" s="3290"/>
      <c r="K21" s="3291"/>
      <c r="L21" s="3217" t="s">
        <v>3059</v>
      </c>
      <c r="M21" s="3218">
        <f ca="1">INDIRECT("'数据-取费表'!r"&amp;$G$1)</f>
        <v>27861.019999999997</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3060</v>
      </c>
      <c r="B22" s="3217" t="s">
        <v>3061</v>
      </c>
      <c r="C22" s="3263"/>
      <c r="D22" s="3281" t="str">
        <f>IF(F23&lt;=1,"单利计息。","复利计息。")&amp;"建造成本、管理费用、销售费用产生的利息。"</f>
        <v>单利计息。建造成本、管理费用、销售费用产生的利息。</v>
      </c>
      <c r="E22" s="3282"/>
      <c r="F22" s="3278"/>
      <c r="G22" s="3207"/>
      <c r="H22" s="3258" t="s">
        <v>3006</v>
      </c>
      <c r="I22" s="3217" t="s">
        <v>3062</v>
      </c>
      <c r="J22" s="3263">
        <f ca="1">ROUND(J14*M22,0)</f>
        <v>0</v>
      </c>
      <c r="K22" s="3279" t="s">
        <v>3063</v>
      </c>
      <c r="L22" s="3217" t="s">
        <v>3027</v>
      </c>
      <c r="M22" s="3292">
        <f ca="1">INDIRECT("'数据-取费表'!Ak"&amp;$G$1)</f>
        <v>0</v>
      </c>
    </row>
    <row r="23" spans="1:37" s="3275" customFormat="1" ht="18" customHeight="1">
      <c r="A23" s="3258" t="s">
        <v>3019</v>
      </c>
      <c r="B23" s="3217" t="s">
        <v>3064</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3065</v>
      </c>
      <c r="F23" s="3287">
        <f>'[1]数据-取费表'!B20</f>
        <v>0</v>
      </c>
      <c r="G23" s="3269"/>
      <c r="H23" s="3258" t="s">
        <v>3014</v>
      </c>
      <c r="I23" s="3217" t="s">
        <v>3066</v>
      </c>
      <c r="J23" s="3263">
        <f ca="1">ROUND(J13*M23,0)</f>
        <v>0</v>
      </c>
      <c r="K23" s="3279" t="s">
        <v>3067</v>
      </c>
      <c r="L23" s="3217" t="s">
        <v>3027</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3068</v>
      </c>
      <c r="B24" s="3217" t="s">
        <v>3069</v>
      </c>
      <c r="C24" s="3263">
        <f>ROUND(IF('[1]数据-取费表'!B22&lt;=1,F21*F24*F23/2,F21*(POWER((1+F24),F23/2)-1)),4)</f>
        <v>0</v>
      </c>
      <c r="D24" s="3293" t="str">
        <f>IF(F23&lt;=1,"销售费用×利率×(建设周期÷2)","销售费用×((1+利率)^(建设周期÷2)-1)")</f>
        <v>销售费用×利率×(建设周期÷2)</v>
      </c>
      <c r="E24" s="3217" t="s">
        <v>3070</v>
      </c>
      <c r="F24" s="3295">
        <f>'[1]数据-取费表'!B40</f>
        <v>0</v>
      </c>
      <c r="G24" s="3269"/>
      <c r="H24" s="3270" t="s">
        <v>3060</v>
      </c>
      <c r="I24" s="3245" t="s">
        <v>3050</v>
      </c>
      <c r="J24" s="3296">
        <f ca="1">ROUND(J5*M24,0)</f>
        <v>0</v>
      </c>
      <c r="K24" s="3297" t="s">
        <v>3071</v>
      </c>
      <c r="L24" s="3245" t="s">
        <v>3027</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3072</v>
      </c>
      <c r="B25" s="3217" t="s">
        <v>3073</v>
      </c>
      <c r="C25" s="3263"/>
      <c r="D25" s="3281" t="s">
        <v>3074</v>
      </c>
      <c r="E25" s="3282"/>
      <c r="F25" s="3278"/>
      <c r="G25" s="3207"/>
      <c r="H25" s="3249" t="s">
        <v>3075</v>
      </c>
      <c r="I25" s="3298" t="s">
        <v>3076</v>
      </c>
      <c r="J25" s="3251">
        <f ca="1">J5-J16</f>
        <v>-1804640</v>
      </c>
      <c r="K25" s="3299" t="s">
        <v>3077</v>
      </c>
      <c r="L25" s="3300"/>
      <c r="M25" s="3301"/>
    </row>
    <row r="26" spans="1:37" ht="18" customHeight="1">
      <c r="A26" s="3258" t="s">
        <v>3019</v>
      </c>
      <c r="B26" s="3217" t="s">
        <v>3078</v>
      </c>
      <c r="C26" s="3263">
        <f ca="1">ROUND((C19+C20)*F26,0)</f>
        <v>0</v>
      </c>
      <c r="D26" s="3284" t="s">
        <v>3079</v>
      </c>
      <c r="E26" s="3228" t="s">
        <v>3080</v>
      </c>
      <c r="F26" s="3227">
        <f ca="1">INDIRECT("'数据-取费表'!q"&amp;$G$1)</f>
        <v>0</v>
      </c>
      <c r="G26" s="3207"/>
      <c r="H26" s="3208" t="s">
        <v>3081</v>
      </c>
      <c r="I26" s="3209" t="s">
        <v>3082</v>
      </c>
      <c r="J26" s="3219">
        <f ca="1">IF(J5&lt;&gt;0,ROUND(J25*(1-((1+M28)/(1+M26))^M27)/(M26-M28),0),0)</f>
        <v>0</v>
      </c>
      <c r="K26" s="3286" t="s">
        <v>3083</v>
      </c>
      <c r="L26" s="3217" t="s">
        <v>3084</v>
      </c>
      <c r="M26" s="3227">
        <f ca="1">INDIRECT("'数据-取费表'!I"&amp;$G$1)</f>
        <v>4.4999999999999998E-2</v>
      </c>
    </row>
    <row r="27" spans="1:37" ht="18" customHeight="1">
      <c r="A27" s="3258" t="s">
        <v>3068</v>
      </c>
      <c r="B27" s="3217" t="s">
        <v>3085</v>
      </c>
      <c r="C27" s="3263">
        <f ca="1">ROUND(F21*F26,4)</f>
        <v>0</v>
      </c>
      <c r="D27" s="3284" t="s">
        <v>3086</v>
      </c>
      <c r="E27" s="3267"/>
      <c r="F27" s="3268"/>
      <c r="G27" s="3207"/>
      <c r="H27" s="3225"/>
      <c r="I27" s="3302"/>
      <c r="J27" s="3226"/>
      <c r="K27" s="3303" t="s">
        <v>3087</v>
      </c>
      <c r="L27" s="3217" t="s">
        <v>3088</v>
      </c>
      <c r="M27" s="3304">
        <f ca="1">INDIRECT("'数据-取费表'!ag"&amp;$G$1)</f>
        <v>0</v>
      </c>
    </row>
    <row r="28" spans="1:37" s="3275" customFormat="1" ht="18" customHeight="1">
      <c r="A28" s="3258" t="s">
        <v>3089</v>
      </c>
      <c r="B28" s="3217" t="s">
        <v>3090</v>
      </c>
      <c r="C28" s="3263">
        <f>ROUND(F28/(1+'[1]数据-取费表'!C42),4)</f>
        <v>0</v>
      </c>
      <c r="D28" s="3284" t="s">
        <v>3091</v>
      </c>
      <c r="E28" s="3217" t="s">
        <v>3027</v>
      </c>
      <c r="F28" s="3276">
        <f>'[1]数据-取费表'!B41</f>
        <v>0</v>
      </c>
      <c r="G28" s="3269"/>
      <c r="H28" s="3235"/>
      <c r="I28" s="3305"/>
      <c r="J28" s="3251"/>
      <c r="K28" s="3291"/>
      <c r="L28" s="3217" t="s">
        <v>3092</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3093</v>
      </c>
      <c r="B29" s="3245" t="s">
        <v>3094</v>
      </c>
      <c r="C29" s="3296">
        <f ca="1">ROUND((C19+C20+C23+C26)/(1-F21-C24-C27-C28),0)</f>
        <v>214838100</v>
      </c>
      <c r="D29" s="3297"/>
      <c r="E29" s="3245"/>
      <c r="F29" s="3306"/>
      <c r="G29" s="3269"/>
      <c r="H29" s="3307" t="s">
        <v>3095</v>
      </c>
      <c r="I29" s="3308" t="s">
        <v>3096</v>
      </c>
      <c r="J29" s="3309">
        <f ca="1">ROUND(J26/(1+F40)^F41,0)</f>
        <v>0</v>
      </c>
      <c r="K29" s="3310" t="s">
        <v>3097</v>
      </c>
      <c r="L29" s="3311"/>
      <c r="M29" s="3312">
        <f ca="1">INDIRECT("'数据-取费表'!k"&amp;$G$1)</f>
        <v>71612.7</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3098</v>
      </c>
      <c r="B30" s="3250" t="s">
        <v>3033</v>
      </c>
      <c r="C30" s="3251">
        <f ca="1">ROUND(C31+C36+C37+C38,0)</f>
        <v>1804640</v>
      </c>
      <c r="D30" s="3255" t="s">
        <v>3034</v>
      </c>
      <c r="E30" s="3277"/>
      <c r="F30" s="3213"/>
      <c r="G30" s="3207"/>
      <c r="H30" s="3313"/>
      <c r="I30" s="3314"/>
      <c r="J30" s="3315"/>
      <c r="K30" s="3239"/>
      <c r="L30" s="3316"/>
      <c r="M30" s="3317"/>
    </row>
    <row r="31" spans="1:37" ht="18" customHeight="1">
      <c r="A31" s="3258" t="s">
        <v>2998</v>
      </c>
      <c r="B31" s="3217" t="s">
        <v>3039</v>
      </c>
      <c r="C31" s="3263">
        <f ca="1">ROUND(IF([1]项目基本情况!B11="自然人",C5*F31,C32+C33+C34),0)</f>
        <v>1804640</v>
      </c>
      <c r="D31" s="3260" t="s">
        <v>3040</v>
      </c>
      <c r="E31" s="3279" t="s">
        <v>3041</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3019</v>
      </c>
      <c r="B32" s="3217" t="s">
        <v>3099</v>
      </c>
      <c r="C32" s="3263">
        <f ca="1">IF([1]项目基本情况!B11="自然人","——",ROUND(C5*F32/(1+'[1]数据-取费表'!C42),0))</f>
        <v>0</v>
      </c>
      <c r="D32" s="3279" t="s">
        <v>3100</v>
      </c>
      <c r="E32" s="3217" t="s">
        <v>3027</v>
      </c>
      <c r="F32" s="3295">
        <f>'[1]数据-取费表'!B41</f>
        <v>0</v>
      </c>
      <c r="G32" s="3207"/>
      <c r="H32" s="3313"/>
      <c r="I32" s="3314"/>
      <c r="J32" s="3315"/>
      <c r="K32" s="3239"/>
      <c r="L32" s="3316"/>
      <c r="M32" s="3317"/>
    </row>
    <row r="33" spans="1:18" ht="18" customHeight="1">
      <c r="A33" s="3258" t="s">
        <v>3068</v>
      </c>
      <c r="B33" s="3217" t="s">
        <v>3048</v>
      </c>
      <c r="C33" s="3263">
        <f ca="1">IF([1]项目基本情况!B11="自然人","——",IF(D33="按租金收入计税",ROUND(C5*F33,0),IF(D33="按房产原值计税",ROUND(C29*F33*0.7,0),INDIRECT("'数据-取费表'!Aj"&amp;$G$1))))</f>
        <v>1804640</v>
      </c>
      <c r="D33" s="3283" t="s">
        <v>3049</v>
      </c>
      <c r="E33" s="3217" t="s">
        <v>3027</v>
      </c>
      <c r="F33" s="3276">
        <f>IF(D33="按票据","——",IF(D33="按租金收入计税",'[1]数据-取费表'!B51,'[1]数据-取费表'!B50))</f>
        <v>1.2E-2</v>
      </c>
      <c r="G33" s="3207"/>
      <c r="H33" s="3318"/>
      <c r="I33" s="3319"/>
      <c r="J33" s="3320"/>
      <c r="K33" s="3321"/>
      <c r="L33" s="3318"/>
      <c r="M33" s="3318"/>
    </row>
    <row r="34" spans="1:18" ht="18" customHeight="1">
      <c r="A34" s="3214" t="s">
        <v>3028</v>
      </c>
      <c r="B34" s="3216" t="s">
        <v>3052</v>
      </c>
      <c r="C34" s="3285">
        <f ca="1">IF([1]项目基本情况!B11="自然人","——",ROUND(F34*F35,))</f>
        <v>0</v>
      </c>
      <c r="D34" s="3286" t="s">
        <v>3053</v>
      </c>
      <c r="E34" s="3217" t="s">
        <v>3054</v>
      </c>
      <c r="F34" s="3287">
        <f>'[1]数据-取费表'!B52</f>
        <v>0</v>
      </c>
      <c r="G34" s="3207"/>
      <c r="H34" s="3313"/>
      <c r="I34" s="3319"/>
      <c r="J34" s="3320"/>
      <c r="K34" s="3322"/>
      <c r="L34" s="3323"/>
      <c r="M34" s="3323"/>
    </row>
    <row r="35" spans="1:18" ht="18" customHeight="1">
      <c r="A35" s="3324"/>
      <c r="B35" s="3325"/>
      <c r="C35" s="3290"/>
      <c r="D35" s="3291"/>
      <c r="E35" s="3217" t="s">
        <v>3059</v>
      </c>
      <c r="F35" s="3218">
        <f ca="1">INDIRECT("'数据-取费表'!r"&amp;$G$1)</f>
        <v>27861.019999999997</v>
      </c>
      <c r="G35" s="3207"/>
      <c r="H35" s="3313"/>
      <c r="I35" s="3319"/>
      <c r="J35" s="3320"/>
      <c r="K35" s="3321"/>
      <c r="L35" s="3318"/>
      <c r="M35" s="3318"/>
    </row>
    <row r="36" spans="1:18" ht="18" customHeight="1">
      <c r="A36" s="3326" t="s">
        <v>3006</v>
      </c>
      <c r="B36" s="3217" t="s">
        <v>3062</v>
      </c>
      <c r="C36" s="3263">
        <f ca="1">ROUND(C29*F36,0)</f>
        <v>0</v>
      </c>
      <c r="D36" s="3279" t="s">
        <v>3101</v>
      </c>
      <c r="E36" s="3217" t="s">
        <v>3027</v>
      </c>
      <c r="F36" s="3292">
        <f ca="1">INDIRECT("'数据-取费表'!Ak"&amp;$G$1)</f>
        <v>0</v>
      </c>
      <c r="G36" s="3207"/>
      <c r="H36" s="3318"/>
      <c r="I36" s="3319"/>
      <c r="J36" s="3320"/>
      <c r="K36" s="3327"/>
      <c r="L36" s="3318"/>
      <c r="M36" s="3318"/>
    </row>
    <row r="37" spans="1:18" ht="18" customHeight="1">
      <c r="A37" s="3258" t="s">
        <v>3014</v>
      </c>
      <c r="B37" s="3217" t="s">
        <v>3066</v>
      </c>
      <c r="C37" s="3263">
        <f ca="1">ROUND(C13*F37,0)</f>
        <v>0</v>
      </c>
      <c r="D37" s="3279" t="s">
        <v>3067</v>
      </c>
      <c r="E37" s="3217" t="s">
        <v>3027</v>
      </c>
      <c r="F37" s="3294">
        <f ca="1">INDIRECT("'数据-取费表'!Al"&amp;$G$1)</f>
        <v>0</v>
      </c>
      <c r="G37" s="3207"/>
      <c r="H37" s="3318"/>
      <c r="I37" s="3319"/>
      <c r="J37" s="3320"/>
      <c r="K37" s="3327"/>
      <c r="L37" s="3318"/>
      <c r="M37" s="3318"/>
    </row>
    <row r="38" spans="1:18" ht="18" customHeight="1" thickBot="1">
      <c r="A38" s="3270" t="s">
        <v>3060</v>
      </c>
      <c r="B38" s="3245" t="s">
        <v>3050</v>
      </c>
      <c r="C38" s="3296">
        <f ca="1">ROUND(C5*F38,1)</f>
        <v>0</v>
      </c>
      <c r="D38" s="3297" t="s">
        <v>3071</v>
      </c>
      <c r="E38" s="3245" t="s">
        <v>3027</v>
      </c>
      <c r="F38" s="3246">
        <f ca="1">INDIRECT("'数据-取费表'!Am"&amp;$G$1)</f>
        <v>0</v>
      </c>
      <c r="G38" s="3207"/>
      <c r="H38" s="3318"/>
      <c r="I38" s="3319"/>
      <c r="J38" s="3320"/>
      <c r="K38" s="3328"/>
      <c r="L38" s="3318"/>
      <c r="M38" s="3318"/>
    </row>
    <row r="39" spans="1:18" ht="24.6" customHeight="1" thickTop="1">
      <c r="A39" s="3249" t="s">
        <v>3075</v>
      </c>
      <c r="B39" s="3298" t="s">
        <v>3076</v>
      </c>
      <c r="C39" s="3251">
        <f ca="1">C5-C30</f>
        <v>-1804640</v>
      </c>
      <c r="D39" s="3299" t="s">
        <v>3077</v>
      </c>
      <c r="E39" s="3300"/>
      <c r="F39" s="3301"/>
      <c r="G39" s="3207"/>
      <c r="H39" s="3318"/>
      <c r="I39" s="3319"/>
      <c r="J39" s="3320"/>
      <c r="K39" s="3328"/>
      <c r="L39" s="3318"/>
      <c r="M39" s="3318"/>
    </row>
    <row r="40" spans="1:18" ht="18" customHeight="1">
      <c r="A40" s="3208" t="s">
        <v>3081</v>
      </c>
      <c r="B40" s="3209" t="s">
        <v>3102</v>
      </c>
      <c r="C40" s="3219">
        <f ca="1">ROUND(C39*(1-((1+F42)/(1+F40))^F41)/(F40-F42),0)</f>
        <v>0</v>
      </c>
      <c r="D40" s="3286" t="s">
        <v>3083</v>
      </c>
      <c r="E40" s="3217" t="s">
        <v>3084</v>
      </c>
      <c r="F40" s="3227">
        <f ca="1">INDIRECT("'数据-取费表'!I"&amp;$G$1)</f>
        <v>4.4999999999999998E-2</v>
      </c>
      <c r="G40" s="3207"/>
      <c r="H40" s="3329"/>
      <c r="I40" s="3319"/>
      <c r="J40" s="3320"/>
      <c r="K40" s="3328"/>
      <c r="L40" s="3329"/>
      <c r="M40" s="3329"/>
    </row>
    <row r="41" spans="1:18" ht="18" customHeight="1">
      <c r="A41" s="3225"/>
      <c r="B41" s="3302"/>
      <c r="C41" s="3226"/>
      <c r="D41" s="3303" t="s">
        <v>3087</v>
      </c>
      <c r="E41" s="3217" t="s">
        <v>3088</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3092</v>
      </c>
      <c r="F42" s="3227">
        <f ca="1">INDIRECT("'数据-取费表'!v"&amp;$G$1)</f>
        <v>0</v>
      </c>
      <c r="G42" s="3207"/>
      <c r="H42" s="3330"/>
      <c r="I42" s="3319"/>
      <c r="J42" s="3320"/>
      <c r="K42" s="3327"/>
      <c r="L42" s="3330"/>
      <c r="M42" s="3330"/>
    </row>
    <row r="43" spans="1:18" ht="18" customHeight="1" thickBot="1">
      <c r="A43" s="3307" t="s">
        <v>3095</v>
      </c>
      <c r="B43" s="3308" t="s">
        <v>3103</v>
      </c>
      <c r="C43" s="3309">
        <f ca="1">ROUND(C40/F43,0)</f>
        <v>0</v>
      </c>
      <c r="D43" s="3310" t="s">
        <v>3104</v>
      </c>
      <c r="E43" s="3311" t="s">
        <v>3105</v>
      </c>
      <c r="F43" s="3312">
        <f ca="1">INDIRECT("'数据-取费表'!k"&amp;$G$1)</f>
        <v>71612.7</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3106</v>
      </c>
      <c r="E45" s="3331"/>
      <c r="F45" s="3331"/>
      <c r="O45" s="3336" t="s">
        <v>3107</v>
      </c>
      <c r="P45" s="3329"/>
      <c r="Q45" s="3329"/>
      <c r="R45" s="3329"/>
    </row>
    <row r="46" spans="1:18" s="3198" customFormat="1" ht="13.5" thickBot="1">
      <c r="A46" s="3337" t="s">
        <v>3108</v>
      </c>
      <c r="C46" s="3338">
        <f ca="1">ROUND(C45/10000,0)</f>
        <v>0</v>
      </c>
      <c r="D46" s="3339" t="str">
        <f>C2</f>
        <v>万元</v>
      </c>
      <c r="I46" s="3340" t="s">
        <v>3109</v>
      </c>
      <c r="J46" s="3341"/>
      <c r="K46" s="3342"/>
      <c r="L46" s="3343" t="e">
        <f ca="1">IF(M47="住宅",0,IF(L48&gt;J51,L60,J60))</f>
        <v>#DIV/0!</v>
      </c>
      <c r="O46" s="3344" t="s">
        <v>3110</v>
      </c>
      <c r="P46" s="3345" t="s">
        <v>3111</v>
      </c>
      <c r="Q46" s="3346" t="s">
        <v>3112</v>
      </c>
      <c r="R46" s="3346" t="s">
        <v>3113</v>
      </c>
    </row>
    <row r="47" spans="1:18" s="3198" customFormat="1" ht="13.5" thickBot="1">
      <c r="A47" s="3347" t="s">
        <v>2992</v>
      </c>
      <c r="B47" s="3348" t="s">
        <v>2993</v>
      </c>
      <c r="C47" s="3348" t="s">
        <v>2994</v>
      </c>
      <c r="D47" s="3348" t="s">
        <v>2995</v>
      </c>
      <c r="E47" s="3349" t="s">
        <v>2991</v>
      </c>
      <c r="F47" s="3350"/>
      <c r="G47" s="3351"/>
      <c r="I47" s="3352" t="s">
        <v>3114</v>
      </c>
      <c r="J47" s="3353"/>
      <c r="K47" s="3354" t="s">
        <v>3115</v>
      </c>
      <c r="L47" s="3355">
        <f ca="1">INDIRECT("'数据-取费表'!d"&amp;$G$1)</f>
        <v>70</v>
      </c>
      <c r="M47" s="3356" t="str">
        <f>IF(ISNUMBER(FIND("住宅",C1)),"住宅","非住宅")</f>
        <v>非住宅</v>
      </c>
      <c r="O47" s="3357" t="s">
        <v>2384</v>
      </c>
      <c r="P47" s="3358" t="s">
        <v>3116</v>
      </c>
      <c r="Q47" s="3359">
        <f ca="1">C40+J29</f>
        <v>0</v>
      </c>
      <c r="R47" s="3359" t="s">
        <v>3117</v>
      </c>
    </row>
    <row r="48" spans="1:18" s="3198" customFormat="1" ht="28.5" thickBot="1">
      <c r="A48" s="3360" t="s">
        <v>3118</v>
      </c>
      <c r="B48" s="3209" t="s">
        <v>2996</v>
      </c>
      <c r="C48" s="3361">
        <f ca="1">C49+C53+C55</f>
        <v>0</v>
      </c>
      <c r="D48" s="3362"/>
      <c r="E48" s="3363"/>
      <c r="F48" s="3364"/>
      <c r="G48" s="3351"/>
      <c r="H48" s="3365"/>
      <c r="I48" s="3366" t="s">
        <v>3119</v>
      </c>
      <c r="J48" s="3367"/>
      <c r="K48" s="3368" t="s">
        <v>3120</v>
      </c>
      <c r="L48" s="3369">
        <f ca="1">INDIRECT("'数据-取费表'!f"&amp;$G$1)</f>
        <v>69.34</v>
      </c>
      <c r="O48" s="3357" t="s">
        <v>2386</v>
      </c>
      <c r="P48" s="3358" t="s">
        <v>3121</v>
      </c>
      <c r="Q48" s="3359" t="str">
        <f ca="1">J60</f>
        <v>0</v>
      </c>
      <c r="R48" s="3359" t="s">
        <v>3122</v>
      </c>
    </row>
    <row r="49" spans="1:18" s="3198" customFormat="1" ht="13.5" thickBot="1">
      <c r="A49" s="3370" t="s">
        <v>3123</v>
      </c>
      <c r="B49" s="3371" t="s">
        <v>3124</v>
      </c>
      <c r="C49" s="3372">
        <f ca="1">ROUND(F49*F51*F50*(1-F52),0)</f>
        <v>0</v>
      </c>
      <c r="D49" s="3373" t="s">
        <v>3125</v>
      </c>
      <c r="E49" s="3374" t="s">
        <v>3126</v>
      </c>
      <c r="F49" s="3375"/>
      <c r="G49" s="3376"/>
      <c r="H49" s="3365"/>
      <c r="I49" s="3366" t="s">
        <v>3127</v>
      </c>
      <c r="J49" s="3377"/>
      <c r="K49" s="3368" t="s">
        <v>3128</v>
      </c>
      <c r="L49" s="3378"/>
      <c r="O49" s="3379" t="s">
        <v>2388</v>
      </c>
      <c r="P49" s="3358" t="s">
        <v>3129</v>
      </c>
      <c r="Q49" s="3359">
        <f ca="1">C29</f>
        <v>214838100</v>
      </c>
      <c r="R49" s="3359" t="s">
        <v>3117</v>
      </c>
    </row>
    <row r="50" spans="1:18" s="3198" customFormat="1" ht="13.5" thickBot="1">
      <c r="A50" s="3380"/>
      <c r="B50" s="3381"/>
      <c r="C50" s="3382"/>
      <c r="D50" s="3383"/>
      <c r="E50" s="3384" t="s">
        <v>3003</v>
      </c>
      <c r="F50" s="3385">
        <f ca="1">F7</f>
        <v>71612.7</v>
      </c>
      <c r="H50" s="3365"/>
      <c r="I50" s="3366" t="s">
        <v>3130</v>
      </c>
      <c r="J50" s="3386">
        <f>SUMPRODUCT((I63:I65=J47)*(J62:L62=J48)*(J63:L65))</f>
        <v>0</v>
      </c>
      <c r="K50" s="3368" t="s">
        <v>3131</v>
      </c>
      <c r="L50" s="3378"/>
      <c r="M50" s="3387"/>
      <c r="O50" s="3379" t="s">
        <v>2389</v>
      </c>
      <c r="P50" s="3358" t="s">
        <v>3132</v>
      </c>
      <c r="Q50" s="3388" t="e">
        <f ca="1">J58</f>
        <v>#VALUE!</v>
      </c>
      <c r="R50" s="3359"/>
    </row>
    <row r="51" spans="1:18" s="3198" customFormat="1" ht="13.5" thickBot="1">
      <c r="A51" s="3389"/>
      <c r="B51" s="3381"/>
      <c r="C51" s="3382"/>
      <c r="D51" s="3383"/>
      <c r="E51" s="3390" t="s">
        <v>3004</v>
      </c>
      <c r="F51" s="3218">
        <f ca="1">F8</f>
        <v>0</v>
      </c>
      <c r="I51" s="3391" t="s">
        <v>3133</v>
      </c>
      <c r="J51" s="3392">
        <f>IF(J49="",J50,J49+J50-YEAR('[1]数据-取费表'!B2))</f>
        <v>0</v>
      </c>
      <c r="K51" s="3393" t="s">
        <v>3134</v>
      </c>
      <c r="L51" s="3394">
        <f ca="1">ROUND(-PV(INDIRECT("'数据-取费表'!h"&amp;$G$1),L48,(C39-C13*C76),0),0)</f>
        <v>-42142699</v>
      </c>
      <c r="M51" s="3395"/>
      <c r="O51" s="3379" t="s">
        <v>2391</v>
      </c>
      <c r="P51" s="3358" t="s">
        <v>3135</v>
      </c>
      <c r="Q51" s="3388">
        <f>J52</f>
        <v>0</v>
      </c>
      <c r="R51" s="3359"/>
    </row>
    <row r="52" spans="1:18" s="3198" customFormat="1" ht="13.5" thickBot="1">
      <c r="A52" s="3389"/>
      <c r="B52" s="3381"/>
      <c r="C52" s="3382"/>
      <c r="D52" s="3383"/>
      <c r="E52" s="3390" t="s">
        <v>3005</v>
      </c>
      <c r="F52" s="3396"/>
      <c r="I52" s="3397" t="s">
        <v>3136</v>
      </c>
      <c r="J52" s="3398"/>
      <c r="K52" s="3397" t="s">
        <v>3137</v>
      </c>
      <c r="L52" s="3398"/>
      <c r="O52" s="3379" t="s">
        <v>2393</v>
      </c>
      <c r="P52" s="3358" t="s">
        <v>3138</v>
      </c>
      <c r="Q52" s="3359" t="b">
        <f>J53</f>
        <v>0</v>
      </c>
      <c r="R52" s="3359" t="s">
        <v>3139</v>
      </c>
    </row>
    <row r="53" spans="1:18" s="3198" customFormat="1" ht="30.75" customHeight="1" thickBot="1">
      <c r="A53" s="3399" t="s">
        <v>3140</v>
      </c>
      <c r="B53" s="3284" t="s">
        <v>3007</v>
      </c>
      <c r="C53" s="3231">
        <f>ROUND(IF(F53="押一",F49*F51*F50/12*F11,IF(F53="押二",F49*F51*F50/12*2*F11,IF(F53="押三",F49*F51*F50/12*3*F11,C54*F11))),0)</f>
        <v>0</v>
      </c>
      <c r="D53" s="3232" t="s">
        <v>3141</v>
      </c>
      <c r="E53" s="3228" t="s">
        <v>3009</v>
      </c>
      <c r="F53" s="3233"/>
      <c r="I53" s="3400" t="s">
        <v>3142</v>
      </c>
      <c r="J53" s="3401" t="b">
        <f>IF(M47="住宅",J51,IF(D1="——",MIN(J51,L48),IF(D1="在建（套用方法）",MIN(J51,L48-'[1]数据-取费表'!B24),IF(D1="土地（套用方法）",MIN(J51,L48-'[1]数据-取费表'!B20)))))</f>
        <v>0</v>
      </c>
      <c r="K53" s="3524" t="s">
        <v>3143</v>
      </c>
      <c r="L53" s="3525"/>
      <c r="O53" s="3357" t="s">
        <v>2396</v>
      </c>
      <c r="P53" s="3358" t="s">
        <v>3144</v>
      </c>
      <c r="Q53" s="3359">
        <f ca="1">Q47+Q48</f>
        <v>0</v>
      </c>
      <c r="R53" s="3359" t="s">
        <v>2397</v>
      </c>
    </row>
    <row r="54" spans="1:18" s="3198" customFormat="1" ht="13.5" thickBot="1">
      <c r="A54" s="3370"/>
      <c r="B54" s="3402" t="s">
        <v>3013</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3145</v>
      </c>
      <c r="P54" s="3329"/>
      <c r="Q54" s="3329"/>
      <c r="R54" s="3329"/>
    </row>
    <row r="55" spans="1:18" s="3198" customFormat="1" ht="13.5" thickBot="1">
      <c r="A55" s="3241" t="s">
        <v>3014</v>
      </c>
      <c r="B55" s="3242" t="s">
        <v>3015</v>
      </c>
      <c r="C55" s="3243"/>
      <c r="D55" s="3232"/>
      <c r="E55" s="3403"/>
      <c r="F55" s="3404"/>
      <c r="I55" s="3407" t="s">
        <v>3146</v>
      </c>
      <c r="J55" s="3408" t="e">
        <f ca="1">ROUND(IF(J47="钢混",J57/J50,1-(1-2%)*(J50-J57)/J50),3)</f>
        <v>#VALUE!</v>
      </c>
      <c r="K55" s="3409" t="s">
        <v>3147</v>
      </c>
      <c r="L55" s="3410"/>
      <c r="O55" s="3344" t="s">
        <v>3110</v>
      </c>
      <c r="P55" s="3345" t="s">
        <v>3111</v>
      </c>
      <c r="Q55" s="3346" t="s">
        <v>3112</v>
      </c>
      <c r="R55" s="3346" t="s">
        <v>3113</v>
      </c>
    </row>
    <row r="56" spans="1:18" s="3198" customFormat="1" ht="36" customHeight="1" thickTop="1" thickBot="1">
      <c r="A56" s="3411">
        <v>2</v>
      </c>
      <c r="B56" s="3412" t="s">
        <v>3016</v>
      </c>
      <c r="C56" s="3413">
        <f ca="1">C13</f>
        <v>0</v>
      </c>
      <c r="D56" s="3414"/>
      <c r="E56" s="3415"/>
      <c r="F56" s="3404"/>
      <c r="I56" s="3416" t="s">
        <v>3148</v>
      </c>
      <c r="J56" s="3417"/>
      <c r="K56" s="3366" t="s">
        <v>3149</v>
      </c>
      <c r="L56" s="3369">
        <f ca="1">IF(L48&lt;J51,"——",L48-J51)</f>
        <v>69.34</v>
      </c>
      <c r="O56" s="3357" t="s">
        <v>2384</v>
      </c>
      <c r="P56" s="3358" t="s">
        <v>3116</v>
      </c>
      <c r="Q56" s="3359">
        <f ca="1">C40+J29</f>
        <v>0</v>
      </c>
      <c r="R56" s="3359" t="s">
        <v>3117</v>
      </c>
    </row>
    <row r="57" spans="1:18" s="3198" customFormat="1" ht="24.75" thickBot="1">
      <c r="A57" s="3418"/>
      <c r="B57" s="3419" t="s">
        <v>3094</v>
      </c>
      <c r="C57" s="3420">
        <f ca="1">C29</f>
        <v>214838100</v>
      </c>
      <c r="D57" s="3421"/>
      <c r="E57" s="3422"/>
      <c r="F57" s="3423"/>
      <c r="I57" s="3424" t="s">
        <v>3150</v>
      </c>
      <c r="J57" s="3425" t="str">
        <f ca="1">IF(OR(M47="住宅",J51&lt;L48,J56="是"),"——",J51-L48)</f>
        <v>——</v>
      </c>
      <c r="K57" s="3366" t="s">
        <v>3151</v>
      </c>
      <c r="L57" s="3369">
        <f ca="1">IF(L48&lt;J51,"——",IF(L55="比较法",L49,IF(L55="基准地价",L50,L51)))</f>
        <v>-42142699</v>
      </c>
      <c r="O57" s="3357" t="s">
        <v>2386</v>
      </c>
      <c r="P57" s="3358" t="s">
        <v>3152</v>
      </c>
      <c r="Q57" s="3359" t="e">
        <f ca="1">L60</f>
        <v>#DIV/0!</v>
      </c>
      <c r="R57" s="3359" t="s">
        <v>3153</v>
      </c>
    </row>
    <row r="58" spans="1:18" s="3198" customFormat="1" ht="24.75" thickBot="1">
      <c r="A58" s="3426" t="s">
        <v>3098</v>
      </c>
      <c r="B58" s="3412" t="s">
        <v>3033</v>
      </c>
      <c r="C58" s="3231">
        <f ca="1">ROUND(C59+C64+C65+C66,0)</f>
        <v>1804640</v>
      </c>
      <c r="D58" s="3427" t="s">
        <v>3034</v>
      </c>
      <c r="E58" s="3428"/>
      <c r="F58" s="3364"/>
      <c r="I58" s="3424" t="s">
        <v>3154</v>
      </c>
      <c r="J58" s="3429" t="e">
        <f ca="1">IF(J55&lt;0.4,0.4,J55)</f>
        <v>#VALUE!</v>
      </c>
      <c r="K58" s="3393" t="s">
        <v>3155</v>
      </c>
      <c r="L58" s="3369" t="e">
        <f ca="1">ROUND(POWER(1+L52,L47-L48)*(POWER(1+L52,L48)-1)/(POWER(1+L52,L47)-1),4)</f>
        <v>#DIV/0!</v>
      </c>
      <c r="O58" s="3379" t="s">
        <v>2388</v>
      </c>
      <c r="P58" s="3358" t="s">
        <v>3156</v>
      </c>
      <c r="Q58" s="3359">
        <f>IF(L55="比较法",L49,IF(L55="基准地价",L50,0))</f>
        <v>0</v>
      </c>
      <c r="R58" s="3359" t="s">
        <v>3117</v>
      </c>
    </row>
    <row r="59" spans="1:18" s="3198" customFormat="1" ht="24.75" thickBot="1">
      <c r="A59" s="3258" t="s">
        <v>2998</v>
      </c>
      <c r="B59" s="3419" t="s">
        <v>3039</v>
      </c>
      <c r="C59" s="3263">
        <f ca="1">ROUND(IF([1]项目基本情况!B11="自然人",C48*F59,C60+C61+C62),0)</f>
        <v>1804640</v>
      </c>
      <c r="D59" s="3430" t="s">
        <v>3040</v>
      </c>
      <c r="E59" s="3431" t="s">
        <v>3041</v>
      </c>
      <c r="F59" s="3280">
        <f ca="1">IF([1]项目基本情况!B11="企业","",IF(INDIRECT("'数据-取费表'!c"&amp;$G$1)="住宅",5%,IF(F49*F50*F51/12/(1+'[1]数据-取费表'!C42)&gt;20000,12%,7%)))</f>
        <v>0.05</v>
      </c>
      <c r="I59" s="3424" t="s">
        <v>3157</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2389</v>
      </c>
      <c r="P59" s="3358" t="s">
        <v>3158</v>
      </c>
      <c r="Q59" s="3388">
        <f>L52</f>
        <v>0</v>
      </c>
      <c r="R59" s="3359"/>
    </row>
    <row r="60" spans="1:18" s="3198" customFormat="1" ht="16.5" thickBot="1">
      <c r="A60" s="3258" t="s">
        <v>3019</v>
      </c>
      <c r="B60" s="3419" t="s">
        <v>3099</v>
      </c>
      <c r="C60" s="3263">
        <f ca="1">IF([1]项目基本情况!B11="自然人","——",ROUND(C48*F60/(1+'[1]数据-取费表'!C42),0))</f>
        <v>0</v>
      </c>
      <c r="D60" s="3431" t="s">
        <v>3100</v>
      </c>
      <c r="E60" s="3419" t="s">
        <v>3027</v>
      </c>
      <c r="F60" s="3295">
        <f t="shared" ref="F60:F66" si="0">F32</f>
        <v>0</v>
      </c>
      <c r="I60" s="3432" t="s">
        <v>3159</v>
      </c>
      <c r="J60" s="3433" t="str">
        <f ca="1">IF(OR(M47="住宅",J51&lt;L48,J56="是"),"0",ROUND(J59/(1+J52)^J53,0))</f>
        <v>0</v>
      </c>
      <c r="K60" s="3434" t="s">
        <v>3160</v>
      </c>
      <c r="L60" s="3433" t="e">
        <f ca="1">IF(OR(M47="住宅",L48&lt;J51),0,ROUND(L57*(L58/L59-1),0))</f>
        <v>#DIV/0!</v>
      </c>
      <c r="O60" s="3379" t="s">
        <v>2391</v>
      </c>
      <c r="P60" s="3358" t="s">
        <v>3161</v>
      </c>
      <c r="Q60" s="3359" t="e">
        <f ca="1">L58</f>
        <v>#DIV/0!</v>
      </c>
      <c r="R60" s="3359" t="s">
        <v>3162</v>
      </c>
    </row>
    <row r="61" spans="1:18" s="3198" customFormat="1" ht="13.5" thickBot="1">
      <c r="A61" s="3258" t="s">
        <v>3163</v>
      </c>
      <c r="B61" s="3419" t="s">
        <v>3048</v>
      </c>
      <c r="C61" s="3263">
        <f ca="1">IF([1]项目基本情况!B11="自然人","——",IF(D61="按租金收入计税",ROUND(C48*F61,0),IF(D61="按房产原值计税",ROUND(C57*F61*0.7,0),INDIRECT("'数据-取费表'!Aj"&amp;$G$1))))</f>
        <v>1804640</v>
      </c>
      <c r="D61" s="3283" t="s">
        <v>3049</v>
      </c>
      <c r="E61" s="3419" t="s">
        <v>3027</v>
      </c>
      <c r="F61" s="3276">
        <f t="shared" si="0"/>
        <v>1.2E-2</v>
      </c>
      <c r="I61" s="3435"/>
      <c r="J61" s="3435"/>
      <c r="K61" s="3435"/>
      <c r="L61" s="3435"/>
      <c r="O61" s="3379" t="s">
        <v>2393</v>
      </c>
      <c r="P61" s="3358" t="str">
        <f>K59</f>
        <v>建设期及建筑物耐用年限下的土地年期修正系数Kn</v>
      </c>
      <c r="Q61" s="3359" t="e">
        <f ca="1">L59</f>
        <v>#DIV/0!</v>
      </c>
      <c r="R61" s="3359" t="s">
        <v>3164</v>
      </c>
    </row>
    <row r="62" spans="1:18" s="3198" customFormat="1" ht="13.5" thickBot="1">
      <c r="A62" s="3258" t="s">
        <v>3165</v>
      </c>
      <c r="B62" s="3436" t="s">
        <v>3052</v>
      </c>
      <c r="C62" s="3285">
        <f ca="1">IF([1]项目基本情况!B11="自然人","——",ROUND(F62*F63,0))</f>
        <v>0</v>
      </c>
      <c r="D62" s="3437" t="s">
        <v>3053</v>
      </c>
      <c r="E62" s="3419" t="s">
        <v>3054</v>
      </c>
      <c r="F62" s="3287">
        <f t="shared" si="0"/>
        <v>0</v>
      </c>
      <c r="I62" s="3438" t="s">
        <v>3166</v>
      </c>
      <c r="J62" s="3439" t="s">
        <v>3167</v>
      </c>
      <c r="K62" s="3439" t="s">
        <v>3168</v>
      </c>
      <c r="L62" s="3439" t="s">
        <v>3169</v>
      </c>
      <c r="M62" s="3440" t="s">
        <v>3170</v>
      </c>
      <c r="O62" s="3357" t="s">
        <v>2396</v>
      </c>
      <c r="P62" s="3358" t="s">
        <v>3144</v>
      </c>
      <c r="Q62" s="3359" t="e">
        <f ca="1">Q56+Q57</f>
        <v>#DIV/0!</v>
      </c>
      <c r="R62" s="3359" t="s">
        <v>2397</v>
      </c>
    </row>
    <row r="63" spans="1:18" s="3198" customFormat="1" ht="13.5" thickBot="1">
      <c r="A63" s="3288"/>
      <c r="B63" s="3441"/>
      <c r="C63" s="3290"/>
      <c r="D63" s="3442"/>
      <c r="E63" s="3419" t="s">
        <v>3059</v>
      </c>
      <c r="F63" s="3218">
        <f t="shared" ca="1" si="0"/>
        <v>27861.019999999997</v>
      </c>
      <c r="I63" s="3438" t="s">
        <v>3171</v>
      </c>
      <c r="J63" s="3439">
        <v>70</v>
      </c>
      <c r="K63" s="3439">
        <v>50</v>
      </c>
      <c r="L63" s="3439">
        <v>80</v>
      </c>
      <c r="M63" s="3443">
        <v>0.02</v>
      </c>
      <c r="O63" s="3336" t="s">
        <v>3172</v>
      </c>
      <c r="P63" s="3329"/>
      <c r="Q63" s="3329"/>
      <c r="R63" s="3329"/>
    </row>
    <row r="64" spans="1:18" s="3198" customFormat="1" ht="13.5" thickBot="1">
      <c r="A64" s="3258" t="s">
        <v>3006</v>
      </c>
      <c r="B64" s="3419" t="s">
        <v>3062</v>
      </c>
      <c r="C64" s="3263">
        <f ca="1">ROUND(C57*F64,0)</f>
        <v>0</v>
      </c>
      <c r="D64" s="3431" t="s">
        <v>3101</v>
      </c>
      <c r="E64" s="3419" t="s">
        <v>3027</v>
      </c>
      <c r="F64" s="3292">
        <f t="shared" ca="1" si="0"/>
        <v>0</v>
      </c>
      <c r="I64" s="3438" t="s">
        <v>3173</v>
      </c>
      <c r="J64" s="3439">
        <v>50</v>
      </c>
      <c r="K64" s="3439">
        <v>35</v>
      </c>
      <c r="L64" s="3439">
        <v>60</v>
      </c>
      <c r="M64" s="3440">
        <v>0</v>
      </c>
      <c r="O64" s="3344" t="s">
        <v>3110</v>
      </c>
      <c r="P64" s="3345" t="s">
        <v>3111</v>
      </c>
      <c r="Q64" s="3346" t="s">
        <v>3112</v>
      </c>
      <c r="R64" s="3346" t="s">
        <v>3113</v>
      </c>
    </row>
    <row r="65" spans="1:18" s="3198" customFormat="1" ht="13.5" thickBot="1">
      <c r="A65" s="3258" t="s">
        <v>3174</v>
      </c>
      <c r="B65" s="3419" t="s">
        <v>3066</v>
      </c>
      <c r="C65" s="3263">
        <f ca="1">ROUND(C56*F65,0)</f>
        <v>0</v>
      </c>
      <c r="D65" s="3431" t="s">
        <v>3067</v>
      </c>
      <c r="E65" s="3419" t="s">
        <v>3027</v>
      </c>
      <c r="F65" s="3294">
        <f t="shared" ca="1" si="0"/>
        <v>0</v>
      </c>
      <c r="I65" s="3438" t="s">
        <v>3175</v>
      </c>
      <c r="J65" s="3439">
        <v>40</v>
      </c>
      <c r="K65" s="3439">
        <v>30</v>
      </c>
      <c r="L65" s="3439">
        <v>50</v>
      </c>
      <c r="M65" s="3443">
        <v>0.02</v>
      </c>
      <c r="O65" s="3357" t="s">
        <v>2384</v>
      </c>
      <c r="P65" s="3358" t="s">
        <v>3116</v>
      </c>
      <c r="Q65" s="3359">
        <f ca="1">C40+J29</f>
        <v>0</v>
      </c>
      <c r="R65" s="3359" t="s">
        <v>3117</v>
      </c>
    </row>
    <row r="66" spans="1:18" s="3198" customFormat="1" ht="16.5" thickBot="1">
      <c r="A66" s="3258" t="s">
        <v>3176</v>
      </c>
      <c r="B66" s="3419" t="s">
        <v>3050</v>
      </c>
      <c r="C66" s="3263">
        <f ca="1">ROUND(C48*F66,0)</f>
        <v>0</v>
      </c>
      <c r="D66" s="3431" t="s">
        <v>3071</v>
      </c>
      <c r="E66" s="3419" t="s">
        <v>3027</v>
      </c>
      <c r="F66" s="3227">
        <f t="shared" ca="1" si="0"/>
        <v>0</v>
      </c>
      <c r="O66" s="3357" t="s">
        <v>2386</v>
      </c>
      <c r="P66" s="3358" t="s">
        <v>3152</v>
      </c>
      <c r="Q66" s="3359" t="e">
        <f ca="1">L60</f>
        <v>#DIV/0!</v>
      </c>
      <c r="R66" s="3359" t="s">
        <v>3177</v>
      </c>
    </row>
    <row r="67" spans="1:18" s="3198" customFormat="1" ht="16.5" thickBot="1">
      <c r="A67" s="3411" t="s">
        <v>3075</v>
      </c>
      <c r="B67" s="3444" t="s">
        <v>3076</v>
      </c>
      <c r="C67" s="3231">
        <f ca="1">C48-C58</f>
        <v>-1804640</v>
      </c>
      <c r="D67" s="3430" t="s">
        <v>3077</v>
      </c>
      <c r="E67" s="3445"/>
      <c r="F67" s="3446"/>
      <c r="O67" s="3379" t="s">
        <v>2388</v>
      </c>
      <c r="P67" s="3358" t="s">
        <v>3156</v>
      </c>
      <c r="Q67" s="3447">
        <f ca="1">L51</f>
        <v>-42142699</v>
      </c>
      <c r="R67" s="3359" t="s">
        <v>3178</v>
      </c>
    </row>
    <row r="68" spans="1:18" s="3198" customFormat="1" ht="16.5" thickBot="1">
      <c r="A68" s="3448" t="s">
        <v>3081</v>
      </c>
      <c r="B68" s="3449" t="s">
        <v>3102</v>
      </c>
      <c r="C68" s="3219">
        <f ca="1">ROUND(C67*(1-((1+F70)/(1+F68))^F69)/(F68-F70),0)</f>
        <v>0</v>
      </c>
      <c r="D68" s="3437" t="s">
        <v>3083</v>
      </c>
      <c r="E68" s="3419" t="s">
        <v>3084</v>
      </c>
      <c r="F68" s="3227">
        <f ca="1">F40</f>
        <v>4.4999999999999998E-2</v>
      </c>
      <c r="O68" s="3379" t="s">
        <v>2389</v>
      </c>
      <c r="P68" s="3450" t="s">
        <v>3179</v>
      </c>
      <c r="Q68" s="3359">
        <f ca="1">ROUND(Q69-Q70*Q71,0)</f>
        <v>-1804640</v>
      </c>
      <c r="R68" s="3359" t="s">
        <v>3180</v>
      </c>
    </row>
    <row r="69" spans="1:18" s="3198" customFormat="1" ht="13.5" thickBot="1">
      <c r="A69" s="3451"/>
      <c r="B69" s="3452"/>
      <c r="C69" s="3226"/>
      <c r="D69" s="3453" t="s">
        <v>3087</v>
      </c>
      <c r="E69" s="3419" t="s">
        <v>3088</v>
      </c>
      <c r="F69" s="3304">
        <f ca="1">F41</f>
        <v>0</v>
      </c>
      <c r="O69" s="3379" t="s">
        <v>2404</v>
      </c>
      <c r="P69" s="3450" t="s">
        <v>3181</v>
      </c>
      <c r="Q69" s="3359">
        <f ca="1">C39</f>
        <v>-1804640</v>
      </c>
      <c r="R69" s="3359" t="s">
        <v>3117</v>
      </c>
    </row>
    <row r="70" spans="1:18" s="3198" customFormat="1" ht="13.5" thickBot="1">
      <c r="A70" s="3454"/>
      <c r="B70" s="3455"/>
      <c r="C70" s="3251"/>
      <c r="D70" s="3442"/>
      <c r="E70" s="3419" t="s">
        <v>3092</v>
      </c>
      <c r="F70" s="3396">
        <f ca="1">F42</f>
        <v>0</v>
      </c>
      <c r="O70" s="3379" t="s">
        <v>2406</v>
      </c>
      <c r="P70" s="3450" t="s">
        <v>3182</v>
      </c>
      <c r="Q70" s="3359">
        <f ca="1">C13</f>
        <v>0</v>
      </c>
      <c r="R70" s="3359" t="s">
        <v>3117</v>
      </c>
    </row>
    <row r="71" spans="1:18" s="3198" customFormat="1" ht="13.5" thickBot="1">
      <c r="A71" s="3456" t="s">
        <v>3095</v>
      </c>
      <c r="B71" s="3457" t="s">
        <v>3103</v>
      </c>
      <c r="C71" s="3309">
        <f ca="1">ROUND(C68/F71,0)</f>
        <v>0</v>
      </c>
      <c r="D71" s="3458" t="s">
        <v>3104</v>
      </c>
      <c r="E71" s="3459" t="s">
        <v>3105</v>
      </c>
      <c r="F71" s="3312">
        <f ca="1">F43</f>
        <v>71612.7</v>
      </c>
      <c r="O71" s="3379" t="s">
        <v>2408</v>
      </c>
      <c r="P71" s="3450" t="s">
        <v>3183</v>
      </c>
      <c r="Q71" s="3388">
        <f ca="1">C76</f>
        <v>0.08</v>
      </c>
      <c r="R71" s="3359"/>
    </row>
    <row r="72" spans="1:18" s="3198" customFormat="1" ht="13.5" thickBot="1">
      <c r="B72" s="3460"/>
      <c r="C72" s="3460"/>
      <c r="O72" s="3379" t="s">
        <v>2391</v>
      </c>
      <c r="P72" s="3358" t="s">
        <v>3158</v>
      </c>
      <c r="Q72" s="3388">
        <f>L52</f>
        <v>0</v>
      </c>
      <c r="R72" s="3359"/>
    </row>
    <row r="73" spans="1:18" ht="16.5" thickBot="1">
      <c r="A73" s="3198"/>
      <c r="B73" s="3460"/>
      <c r="C73" s="3460"/>
      <c r="D73" s="3198"/>
      <c r="E73" s="3198"/>
      <c r="F73" s="3198"/>
      <c r="O73" s="3379" t="s">
        <v>2393</v>
      </c>
      <c r="P73" s="3358" t="s">
        <v>3161</v>
      </c>
      <c r="Q73" s="3359" t="e">
        <f ca="1">L58</f>
        <v>#DIV/0!</v>
      </c>
      <c r="R73" s="3359" t="s">
        <v>3162</v>
      </c>
    </row>
    <row r="74" spans="1:18" ht="13.5" thickBot="1">
      <c r="A74" s="3198"/>
      <c r="B74" s="3462" t="s">
        <v>3184</v>
      </c>
      <c r="C74" s="3463"/>
      <c r="D74" s="3198"/>
      <c r="E74" s="3198"/>
      <c r="F74" s="3198"/>
      <c r="O74" s="3379" t="s">
        <v>3185</v>
      </c>
      <c r="P74" s="3358" t="str">
        <f>K59</f>
        <v>建设期及建筑物耐用年限下的土地年期修正系数Kn</v>
      </c>
      <c r="Q74" s="3359" t="e">
        <f ca="1">L59</f>
        <v>#DIV/0!</v>
      </c>
      <c r="R74" s="3359" t="s">
        <v>3164</v>
      </c>
    </row>
    <row r="75" spans="1:18" ht="13.5" thickBot="1">
      <c r="A75" s="3198"/>
      <c r="B75" s="3464" t="s">
        <v>3186</v>
      </c>
      <c r="C75" s="3465">
        <f ca="1">ROUND(C13*C76,0)</f>
        <v>0</v>
      </c>
      <c r="D75" s="3198"/>
      <c r="E75" s="3198"/>
      <c r="F75" s="3198"/>
      <c r="K75" s="3333"/>
      <c r="L75" s="3198"/>
      <c r="O75" s="3357" t="s">
        <v>2396</v>
      </c>
      <c r="P75" s="3358" t="s">
        <v>3144</v>
      </c>
      <c r="Q75" s="3359" t="e">
        <f ca="1">Q65+Q66</f>
        <v>#DIV/0!</v>
      </c>
      <c r="R75" s="3359" t="s">
        <v>2397</v>
      </c>
    </row>
    <row r="76" spans="1:18">
      <c r="B76" s="3466" t="s">
        <v>3187</v>
      </c>
      <c r="C76" s="3467">
        <f ca="1">INDIRECT("'数据-取费表'!j"&amp;$G$1)</f>
        <v>0.08</v>
      </c>
      <c r="I76" s="3198"/>
      <c r="J76" s="3198"/>
      <c r="K76" s="3333"/>
      <c r="L76" s="3198"/>
    </row>
    <row r="77" spans="1:18">
      <c r="B77" s="3468" t="s">
        <v>3188</v>
      </c>
      <c r="C77" s="3469"/>
      <c r="I77" s="3198"/>
      <c r="J77" s="3198"/>
      <c r="K77" s="3333"/>
      <c r="L77" s="3198"/>
    </row>
    <row r="78" spans="1:18">
      <c r="B78" s="3470" t="s">
        <v>3189</v>
      </c>
      <c r="C78" s="3471"/>
    </row>
    <row r="79" spans="1:18">
      <c r="B79" s="3464" t="s">
        <v>3190</v>
      </c>
      <c r="C79" s="3472">
        <f ca="1">1-C80</f>
        <v>1</v>
      </c>
    </row>
    <row r="80" spans="1:18">
      <c r="B80" s="3464" t="s">
        <v>3191</v>
      </c>
      <c r="C80" s="3472">
        <f ca="1">ROUND(C75/C39,3)</f>
        <v>0</v>
      </c>
    </row>
    <row r="81" spans="2:3">
      <c r="B81" s="3470" t="s">
        <v>3192</v>
      </c>
      <c r="C81" s="3420"/>
    </row>
    <row r="82" spans="2:3">
      <c r="B82" s="3462" t="s">
        <v>3193</v>
      </c>
      <c r="C82" s="3473" t="e">
        <f ca="1">1-C83</f>
        <v>#DIV/0!</v>
      </c>
    </row>
    <row r="83" spans="2:3">
      <c r="B83" s="3462" t="s">
        <v>3194</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5" sqref="AB15"/>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2552</v>
      </c>
      <c r="R1" s="2601" t="s">
        <v>2546</v>
      </c>
      <c r="S1" s="6" t="s">
        <v>146</v>
      </c>
      <c r="T1" s="7" t="s">
        <v>147</v>
      </c>
      <c r="U1" s="6" t="s">
        <v>148</v>
      </c>
      <c r="V1" s="6" t="s">
        <v>149</v>
      </c>
      <c r="W1" s="1000" t="s">
        <v>875</v>
      </c>
    </row>
    <row r="2" spans="1:23">
      <c r="A2" s="8" t="s">
        <v>73</v>
      </c>
      <c r="B2" s="8" t="s">
        <v>150</v>
      </c>
      <c r="C2" s="1545"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6"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5"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5"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47"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5" t="s">
        <v>1716</v>
      </c>
      <c r="F7" s="9" t="s">
        <v>154</v>
      </c>
      <c r="H7" s="9" t="s">
        <v>104</v>
      </c>
      <c r="I7" s="9" t="s">
        <v>105</v>
      </c>
    </row>
    <row r="8" spans="1:23">
      <c r="A8" s="8" t="s">
        <v>106</v>
      </c>
      <c r="B8" s="8" t="s">
        <v>107</v>
      </c>
      <c r="C8" s="1545" t="s">
        <v>1717</v>
      </c>
      <c r="F8" s="9" t="s">
        <v>155</v>
      </c>
      <c r="H8" s="9"/>
      <c r="I8" s="9" t="s">
        <v>108</v>
      </c>
    </row>
    <row r="9" spans="1:23">
      <c r="A9" s="8" t="s">
        <v>109</v>
      </c>
      <c r="B9" s="8" t="s">
        <v>156</v>
      </c>
      <c r="C9" s="1545" t="s">
        <v>1718</v>
      </c>
      <c r="F9" s="9" t="s">
        <v>110</v>
      </c>
      <c r="H9" s="9"/>
    </row>
    <row r="10" spans="1:23">
      <c r="A10" s="8" t="s">
        <v>111</v>
      </c>
      <c r="B10" s="8" t="s">
        <v>157</v>
      </c>
      <c r="C10" s="1545" t="s">
        <v>1719</v>
      </c>
      <c r="F10" s="9" t="s">
        <v>6</v>
      </c>
    </row>
    <row r="11" spans="1:23">
      <c r="A11" s="8" t="s">
        <v>112</v>
      </c>
      <c r="B11" s="8" t="s">
        <v>158</v>
      </c>
      <c r="C11" s="1545" t="s">
        <v>1720</v>
      </c>
    </row>
    <row r="12" spans="1:23">
      <c r="A12" s="8" t="s">
        <v>113</v>
      </c>
      <c r="B12" s="8" t="s">
        <v>159</v>
      </c>
      <c r="C12" s="1545" t="s">
        <v>1721</v>
      </c>
    </row>
    <row r="13" spans="1:23">
      <c r="A13" s="8" t="s">
        <v>114</v>
      </c>
      <c r="B13" s="8" t="s">
        <v>160</v>
      </c>
      <c r="C13" s="1545" t="s">
        <v>1722</v>
      </c>
    </row>
    <row r="14" spans="1:23">
      <c r="A14" s="8" t="s">
        <v>115</v>
      </c>
      <c r="B14" s="8" t="s">
        <v>161</v>
      </c>
      <c r="C14" s="1548" t="s">
        <v>1898</v>
      </c>
    </row>
    <row r="15" spans="1:23">
      <c r="A15" s="8" t="s">
        <v>116</v>
      </c>
      <c r="B15" s="8" t="s">
        <v>1683</v>
      </c>
      <c r="C15" s="1548"/>
    </row>
    <row r="16" spans="1:23">
      <c r="A16" s="8" t="s">
        <v>117</v>
      </c>
      <c r="B16" s="8" t="s">
        <v>1684</v>
      </c>
      <c r="C16" s="1548"/>
    </row>
    <row r="17" spans="1:3">
      <c r="A17" s="8" t="s">
        <v>118</v>
      </c>
      <c r="B17" s="8" t="s">
        <v>1685</v>
      </c>
      <c r="C17" s="1548"/>
    </row>
    <row r="18" spans="1:3">
      <c r="A18" s="8" t="s">
        <v>119</v>
      </c>
      <c r="B18" s="3134" t="s">
        <v>2961</v>
      </c>
      <c r="C18" s="1548"/>
    </row>
    <row r="19" spans="1:3">
      <c r="A19" s="8" t="s">
        <v>120</v>
      </c>
      <c r="B19" s="3134" t="s">
        <v>2969</v>
      </c>
      <c r="C19" s="1548"/>
    </row>
    <row r="20" spans="1:3">
      <c r="A20" s="8" t="s">
        <v>121</v>
      </c>
      <c r="B20" s="1145" t="s">
        <v>3384</v>
      </c>
      <c r="C20" s="1548"/>
    </row>
    <row r="21" spans="1:3">
      <c r="A21" s="8" t="s">
        <v>122</v>
      </c>
      <c r="B21" s="1145" t="s">
        <v>3386</v>
      </c>
      <c r="C21" s="1548"/>
    </row>
    <row r="22" spans="1:3">
      <c r="A22" s="8" t="s">
        <v>123</v>
      </c>
      <c r="B22" s="1145" t="s">
        <v>3388</v>
      </c>
      <c r="C22" s="1548"/>
    </row>
    <row r="23" spans="1:3">
      <c r="A23" s="8" t="s">
        <v>124</v>
      </c>
      <c r="B23" s="1145" t="s">
        <v>3391</v>
      </c>
      <c r="C23" s="1548"/>
    </row>
    <row r="24" spans="1:3">
      <c r="A24" s="8" t="s">
        <v>12</v>
      </c>
      <c r="B24" s="8" t="s">
        <v>1643</v>
      </c>
      <c r="C24" s="1548"/>
    </row>
    <row r="25" spans="1:3">
      <c r="A25" s="8" t="s">
        <v>125</v>
      </c>
      <c r="B25" s="8" t="s">
        <v>1643</v>
      </c>
      <c r="C25" s="1548"/>
    </row>
    <row r="26" spans="1:3">
      <c r="A26" s="8" t="s">
        <v>126</v>
      </c>
      <c r="B26" s="8" t="s">
        <v>1643</v>
      </c>
      <c r="C26" s="1548"/>
    </row>
    <row r="27" spans="1:3">
      <c r="A27" s="8" t="s">
        <v>1643</v>
      </c>
      <c r="B27" s="8" t="s">
        <v>1643</v>
      </c>
      <c r="C27" s="1548"/>
    </row>
    <row r="28" spans="1:3">
      <c r="A28" s="8" t="s">
        <v>1643</v>
      </c>
      <c r="B28" s="8" t="s">
        <v>1643</v>
      </c>
      <c r="C28" s="1548"/>
    </row>
    <row r="29" spans="1:3">
      <c r="A29" s="8" t="s">
        <v>1643</v>
      </c>
      <c r="B29" s="8" t="s">
        <v>1643</v>
      </c>
      <c r="C29" s="1548"/>
    </row>
    <row r="30" spans="1:3">
      <c r="A30" s="8" t="s">
        <v>1643</v>
      </c>
      <c r="B30" s="8" t="s">
        <v>1643</v>
      </c>
      <c r="C30" s="1548"/>
    </row>
    <row r="31" spans="1:3">
      <c r="A31" s="8" t="s">
        <v>1643</v>
      </c>
      <c r="B31" s="8" t="s">
        <v>1643</v>
      </c>
      <c r="C31" s="1548"/>
    </row>
    <row r="32" spans="1:3">
      <c r="A32" s="8" t="s">
        <v>1643</v>
      </c>
      <c r="B32" s="8" t="s">
        <v>1643</v>
      </c>
      <c r="C32" s="1548"/>
    </row>
    <row r="33" spans="1:3">
      <c r="A33" s="8" t="s">
        <v>1643</v>
      </c>
      <c r="B33" s="8" t="s">
        <v>1643</v>
      </c>
      <c r="C33" s="1548"/>
    </row>
    <row r="34" spans="1:3">
      <c r="A34" s="8" t="s">
        <v>1643</v>
      </c>
      <c r="B34" s="8" t="s">
        <v>1643</v>
      </c>
      <c r="C34" s="1548"/>
    </row>
    <row r="35" spans="1:3">
      <c r="A35" s="8" t="s">
        <v>1643</v>
      </c>
      <c r="B35" s="8" t="s">
        <v>1643</v>
      </c>
      <c r="C35" s="1548"/>
    </row>
    <row r="36" spans="1:3">
      <c r="A36" s="8" t="s">
        <v>1643</v>
      </c>
      <c r="B36" s="8" t="s">
        <v>1643</v>
      </c>
      <c r="C36" s="1548"/>
    </row>
    <row r="37" spans="1:3">
      <c r="A37" s="8" t="s">
        <v>1643</v>
      </c>
      <c r="B37" s="8" t="s">
        <v>1643</v>
      </c>
      <c r="C37" s="1548"/>
    </row>
    <row r="38" spans="1:3">
      <c r="A38" s="8" t="s">
        <v>1643</v>
      </c>
      <c r="B38" s="8" t="s">
        <v>1643</v>
      </c>
      <c r="C38" s="1548"/>
    </row>
    <row r="39" spans="1:3">
      <c r="A39" s="8" t="s">
        <v>1643</v>
      </c>
      <c r="B39" s="8" t="s">
        <v>1643</v>
      </c>
      <c r="C39" s="1548"/>
    </row>
    <row r="40" spans="1:3">
      <c r="A40" s="8" t="s">
        <v>1643</v>
      </c>
      <c r="B40" s="8" t="s">
        <v>1643</v>
      </c>
      <c r="C40" s="1548"/>
    </row>
    <row r="41" spans="1:3">
      <c r="A41" s="8" t="s">
        <v>1643</v>
      </c>
      <c r="B41" s="8" t="s">
        <v>1643</v>
      </c>
      <c r="C41" s="1548"/>
    </row>
    <row r="42" spans="1:3">
      <c r="A42" s="8" t="s">
        <v>1643</v>
      </c>
      <c r="B42" s="8" t="s">
        <v>1643</v>
      </c>
      <c r="C42" s="1548"/>
    </row>
    <row r="43" spans="1:3">
      <c r="A43" s="8" t="s">
        <v>1643</v>
      </c>
      <c r="B43" s="8" t="s">
        <v>1643</v>
      </c>
      <c r="C43" s="1548"/>
    </row>
    <row r="44" spans="1:3">
      <c r="A44" s="8" t="s">
        <v>1643</v>
      </c>
      <c r="B44" s="8" t="s">
        <v>1643</v>
      </c>
      <c r="C44" s="1548"/>
    </row>
    <row r="45" spans="1:3">
      <c r="A45" s="8" t="s">
        <v>1643</v>
      </c>
      <c r="B45" s="8" t="s">
        <v>1643</v>
      </c>
      <c r="C45" s="1548"/>
    </row>
    <row r="46" spans="1:3">
      <c r="A46" s="8" t="s">
        <v>1643</v>
      </c>
      <c r="B46" s="8" t="s">
        <v>1643</v>
      </c>
      <c r="C46" s="1548"/>
    </row>
    <row r="47" spans="1:3">
      <c r="A47" s="8" t="s">
        <v>1643</v>
      </c>
      <c r="B47" s="8" t="s">
        <v>1643</v>
      </c>
      <c r="C47" s="1548"/>
    </row>
    <row r="48" spans="1:3">
      <c r="A48" s="8" t="s">
        <v>1643</v>
      </c>
      <c r="B48" s="8" t="s">
        <v>1643</v>
      </c>
      <c r="C48" s="1548"/>
    </row>
    <row r="49" spans="1:5">
      <c r="A49" s="8" t="s">
        <v>1643</v>
      </c>
      <c r="B49" s="8" t="s">
        <v>1643</v>
      </c>
      <c r="C49" s="1548"/>
    </row>
    <row r="50" spans="1:5">
      <c r="A50" s="8" t="s">
        <v>1643</v>
      </c>
      <c r="B50" s="8" t="s">
        <v>1643</v>
      </c>
      <c r="C50" s="1548"/>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诚志置业有限公司拟使用北京市朝阳区管庄乡塔营村1208-605地块F1住宅混合公建用地项目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1990</v>
      </c>
      <c r="B52" s="1763" t="s">
        <v>1991</v>
      </c>
      <c r="C52" s="1761" t="s">
        <v>1992</v>
      </c>
      <c r="D52" s="1761" t="s">
        <v>1993</v>
      </c>
      <c r="E52" s="1762"/>
    </row>
    <row r="53" spans="1:5">
      <c r="A53" s="3553" t="s">
        <v>1994</v>
      </c>
      <c r="B53" s="1761" t="s">
        <v>2000</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c r="D53" s="1762"/>
      <c r="E53" s="1762"/>
    </row>
    <row r="54" spans="1:5">
      <c r="A54" s="3553"/>
      <c r="B54" s="1761" t="s">
        <v>2001</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53"/>
      <c r="B55" s="1761" t="s">
        <v>1995</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53"/>
      <c r="B56" s="1761" t="s">
        <v>1996</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53"/>
      <c r="B57" s="1761" t="s">
        <v>1997</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2053</v>
      </c>
      <c r="B58" s="1761"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4" sqref="H24"/>
    </sheetView>
  </sheetViews>
  <sheetFormatPr defaultColWidth="10" defaultRowHeight="14.25"/>
  <cols>
    <col min="1" max="1" width="15.375" style="1684" customWidth="1"/>
    <col min="2" max="2" width="11.375" style="1684" customWidth="1"/>
    <col min="3" max="3" width="12.625" style="1684" customWidth="1"/>
    <col min="4" max="4" width="16.25" style="1684" customWidth="1"/>
    <col min="5" max="5" width="12.5" style="1684" customWidth="1"/>
    <col min="6" max="6" width="12.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1941</v>
      </c>
      <c r="B1" s="3569" t="str">
        <f>IF(B10="北京市","北京市",C10)&amp;F10&amp;B16&amp;"国有建设用地使用权"&amp;B9&amp;"预评估"</f>
        <v>北京市朝阳区管庄乡塔营村1208-605地块F1住宅混合公建用地项目出让国有建设用地使用权抵押价格预评估</v>
      </c>
      <c r="C1" s="3570"/>
      <c r="D1" s="3570"/>
      <c r="E1" s="3570"/>
      <c r="F1" s="3570"/>
      <c r="G1" s="3570"/>
      <c r="H1" s="3570"/>
      <c r="I1" s="3571"/>
      <c r="J1" s="1687"/>
      <c r="K1" s="2473" t="str">
        <f>IF(B10="北京市","北京市",C10)&amp;F10&amp;B16&amp;"国有建设用地使用权"&amp;B9</f>
        <v>北京市朝阳区管庄乡塔营村1208-605地块F1住宅混合公建用地项目出让国有建设用地使用权抵押价格</v>
      </c>
      <c r="L1" s="1716"/>
      <c r="M1" s="1716"/>
      <c r="N1" s="1687"/>
      <c r="O1" s="1688"/>
      <c r="P1" s="1687"/>
      <c r="Q1" s="1687"/>
      <c r="R1" s="1687"/>
      <c r="S1" s="1687"/>
      <c r="T1" s="1687"/>
      <c r="U1" s="1687"/>
    </row>
    <row r="2" spans="1:21">
      <c r="A2" s="1653" t="s">
        <v>1942</v>
      </c>
      <c r="B2" s="1835"/>
      <c r="D2" s="1687"/>
      <c r="E2" s="1687"/>
      <c r="F2" s="1687"/>
      <c r="G2" s="1687"/>
      <c r="H2" s="1653"/>
      <c r="I2" s="1688"/>
      <c r="J2" s="1687"/>
      <c r="K2" s="2473" t="str">
        <f>IF(B10="北京市","北京市",C10)&amp;F10&amp;B16&amp;"国有建设用地使用权"</f>
        <v>北京市朝阳区管庄乡塔营村1208-605地块F1住宅混合公建用地项目出让国有建设用地使用权</v>
      </c>
      <c r="L2" s="1716"/>
      <c r="M2" s="1716"/>
      <c r="N2" s="1687"/>
      <c r="O2" s="1688"/>
      <c r="P2" s="1687"/>
      <c r="Q2" s="1687"/>
      <c r="R2" s="1687"/>
      <c r="S2" s="1687"/>
      <c r="T2" s="1687"/>
      <c r="U2" s="1687"/>
    </row>
    <row r="3" spans="1:21">
      <c r="A3" s="1654" t="s">
        <v>1943</v>
      </c>
      <c r="B3" s="1655">
        <v>43133</v>
      </c>
      <c r="C3" s="1656" t="s">
        <v>1999</v>
      </c>
      <c r="D3" s="1655">
        <f>B3</f>
        <v>43133</v>
      </c>
      <c r="E3" s="1687"/>
      <c r="F3" s="1687"/>
      <c r="G3" s="1687"/>
      <c r="H3" s="1653"/>
      <c r="I3" s="1688"/>
      <c r="J3" s="1687"/>
      <c r="K3" s="1767"/>
      <c r="L3" s="1716"/>
      <c r="M3" s="1716"/>
      <c r="N3" s="1687"/>
      <c r="O3" s="1688"/>
      <c r="P3" s="1687"/>
      <c r="Q3" s="1687"/>
      <c r="R3" s="1687"/>
      <c r="S3" s="1687"/>
      <c r="T3" s="1687"/>
      <c r="U3" s="1687"/>
    </row>
    <row r="4" spans="1:21" ht="15" thickBot="1">
      <c r="A4" s="1657" t="s">
        <v>1944</v>
      </c>
      <c r="B4" s="1836" t="s">
        <v>2896</v>
      </c>
      <c r="C4" s="1839">
        <f>SUMIF(土地估价师,B4,估价师及机构信息!E3:E24)</f>
        <v>0</v>
      </c>
      <c r="D4" s="1836" t="s">
        <v>2896</v>
      </c>
      <c r="E4" s="1839">
        <f>SUMIF(土地估价师,D4,估价师及机构信息!E3:E24)</f>
        <v>0</v>
      </c>
      <c r="F4" s="1836" t="s">
        <v>953</v>
      </c>
      <c r="G4" s="1839">
        <f>SUMIF(土地估价师,F4,估价师及机构信息!E3:E24)</f>
        <v>0</v>
      </c>
      <c r="H4" s="1836" t="s">
        <v>953</v>
      </c>
      <c r="I4" s="1839">
        <f>SUMIF(土地估价师,H4,估价师及机构信息!E3:E24)</f>
        <v>0</v>
      </c>
      <c r="J4" s="1687"/>
      <c r="K4" s="2473" t="str">
        <f>IF(AND(F4="——",H4="——"),B4&amp;"、"&amp;D4,IF(AND(F4&lt;&gt;"——",H4="——"),B4&amp;"、"&amp;D4&amp;"、"&amp;F4,B4&amp;"、"&amp;D4&amp;"、"&amp;F4&amp;"、"&amp;H4))</f>
        <v>土地估价师、土地估价师</v>
      </c>
      <c r="L4" s="1716"/>
      <c r="M4" s="1716"/>
      <c r="N4" s="1687"/>
      <c r="O4" s="1688"/>
      <c r="P4" s="1687"/>
      <c r="Q4" s="1687"/>
      <c r="R4" s="1687"/>
      <c r="S4" s="1687"/>
      <c r="T4" s="1687"/>
      <c r="U4" s="1687"/>
    </row>
    <row r="5" spans="1:21" ht="15" thickTop="1">
      <c r="A5" s="1658" t="s">
        <v>1945</v>
      </c>
      <c r="B5" s="1782" t="s">
        <v>3195</v>
      </c>
      <c r="C5" s="1659"/>
      <c r="D5" s="1660"/>
      <c r="E5" s="1687"/>
      <c r="F5" s="1687"/>
      <c r="G5" s="1687"/>
      <c r="H5" s="1653"/>
      <c r="I5" s="1688"/>
      <c r="J5" s="1687"/>
      <c r="K5" s="1767"/>
      <c r="L5" s="1716"/>
      <c r="M5" s="1716"/>
      <c r="N5" s="1687"/>
      <c r="O5" s="1688"/>
      <c r="P5" s="1687"/>
      <c r="Q5" s="1687"/>
      <c r="R5" s="1687"/>
      <c r="S5" s="1687"/>
      <c r="T5" s="1687"/>
      <c r="U5" s="1687"/>
    </row>
    <row r="6" spans="1:21" ht="26.25">
      <c r="A6" s="1656" t="s">
        <v>2713</v>
      </c>
      <c r="B6" s="1782" t="s">
        <v>3196</v>
      </c>
      <c r="C6" s="1754"/>
      <c r="D6" s="1661"/>
      <c r="E6" s="1687"/>
      <c r="F6" s="1687"/>
      <c r="G6" s="1687"/>
      <c r="H6" s="1653"/>
      <c r="I6" s="1688"/>
      <c r="J6" s="1687"/>
      <c r="K6" s="3074" t="str">
        <f>IF(COUNTIF(B6,"*上海银行*"),"上海银行","")</f>
        <v/>
      </c>
      <c r="L6" s="1716"/>
      <c r="M6" s="1716"/>
      <c r="N6" s="1687"/>
      <c r="O6" s="1688"/>
      <c r="P6" s="1687"/>
      <c r="Q6" s="1687"/>
      <c r="R6" s="1687"/>
      <c r="S6" s="1687"/>
      <c r="T6" s="1687"/>
      <c r="U6" s="1687"/>
    </row>
    <row r="7" spans="1:21">
      <c r="A7" s="1662" t="s">
        <v>2714</v>
      </c>
      <c r="B7" s="1782" t="str">
        <f>B5</f>
        <v>北京诚志置业有限公司</v>
      </c>
      <c r="C7" s="1754"/>
      <c r="D7" s="1661"/>
      <c r="E7" s="1687"/>
      <c r="F7" s="1687"/>
      <c r="G7" s="1687"/>
      <c r="H7" s="1653"/>
      <c r="I7" s="1688"/>
      <c r="J7" s="1687"/>
      <c r="K7" s="1767"/>
      <c r="L7" s="1716"/>
      <c r="M7" s="1716"/>
      <c r="N7" s="1687"/>
      <c r="O7" s="1688"/>
      <c r="P7" s="1687"/>
      <c r="Q7" s="1687"/>
      <c r="R7" s="1687"/>
      <c r="S7" s="1687"/>
      <c r="T7" s="1687"/>
      <c r="U7" s="1687"/>
    </row>
    <row r="8" spans="1:21">
      <c r="A8" s="1662" t="s">
        <v>1946</v>
      </c>
      <c r="B8" s="1663" t="s">
        <v>3197</v>
      </c>
      <c r="C8" s="1664"/>
      <c r="D8" s="3575" t="s">
        <v>1948</v>
      </c>
      <c r="E8" s="1837" t="s">
        <v>3198</v>
      </c>
      <c r="F8" s="1665"/>
      <c r="G8" s="1653"/>
      <c r="H8" s="1653"/>
      <c r="I8" s="1700"/>
      <c r="J8" s="1687"/>
      <c r="K8" s="1767"/>
      <c r="L8" s="1716"/>
      <c r="M8" s="1716"/>
      <c r="N8" s="1687"/>
      <c r="O8" s="1688"/>
      <c r="P8" s="1687"/>
      <c r="Q8" s="1687"/>
      <c r="R8" s="1687"/>
      <c r="S8" s="1687"/>
      <c r="T8" s="1687"/>
      <c r="U8" s="1687"/>
    </row>
    <row r="9" spans="1:21" ht="15" thickBot="1">
      <c r="A9" s="1666" t="s">
        <v>1947</v>
      </c>
      <c r="B9" s="1667" t="s">
        <v>3198</v>
      </c>
      <c r="C9" s="1668"/>
      <c r="D9" s="3576"/>
      <c r="E9" s="1667"/>
      <c r="F9" s="1740"/>
      <c r="G9" s="1735"/>
      <c r="H9" s="1735"/>
      <c r="I9" s="1736"/>
      <c r="J9" s="1687"/>
      <c r="K9" s="1767"/>
      <c r="L9" s="1716"/>
      <c r="M9" s="1716"/>
      <c r="N9" s="1687"/>
      <c r="O9" s="1688"/>
      <c r="P9" s="1687"/>
      <c r="Q9" s="1687"/>
      <c r="R9" s="1687"/>
      <c r="S9" s="1687"/>
      <c r="T9" s="1687"/>
      <c r="U9" s="1687"/>
    </row>
    <row r="10" spans="1:21" ht="15" thickTop="1">
      <c r="A10" s="1737" t="s">
        <v>2003</v>
      </c>
      <c r="B10" s="1712" t="s">
        <v>1949</v>
      </c>
      <c r="C10" s="1669"/>
      <c r="D10" s="1660"/>
      <c r="E10" s="1670" t="s">
        <v>1950</v>
      </c>
      <c r="F10" s="1671" t="s">
        <v>3200</v>
      </c>
      <c r="G10" s="1738"/>
      <c r="H10" s="1739"/>
      <c r="I10" s="1660"/>
      <c r="J10" s="1687"/>
      <c r="K10" s="1767"/>
      <c r="L10" s="1716"/>
      <c r="M10" s="1716"/>
      <c r="N10" s="1687"/>
      <c r="O10" s="1688"/>
      <c r="P10" s="1687"/>
      <c r="Q10" s="1687"/>
      <c r="R10" s="1687"/>
      <c r="S10" s="1687"/>
      <c r="T10" s="1687"/>
      <c r="U10" s="1687"/>
    </row>
    <row r="11" spans="1:21" ht="28.5">
      <c r="A11" s="1690" t="s">
        <v>2004</v>
      </c>
      <c r="B11" s="1691" t="s">
        <v>3199</v>
      </c>
      <c r="C11" s="1672" t="str">
        <f>B5</f>
        <v>北京诚志置业有限公司</v>
      </c>
      <c r="D11" s="1755"/>
      <c r="E11" s="1653"/>
      <c r="F11" s="1653"/>
      <c r="G11" s="1653"/>
      <c r="H11" s="1653"/>
      <c r="I11" s="1653"/>
      <c r="J11" s="1687"/>
      <c r="K11" s="1767"/>
      <c r="L11" s="1716"/>
      <c r="M11" s="1716"/>
      <c r="N11" s="1687"/>
      <c r="O11" s="1688"/>
      <c r="P11" s="1687"/>
      <c r="Q11" s="1687"/>
      <c r="R11" s="1687"/>
      <c r="S11" s="1687"/>
      <c r="T11" s="1687"/>
      <c r="U11" s="1687"/>
    </row>
    <row r="12" spans="1:21">
      <c r="A12" s="1778" t="s">
        <v>2062</v>
      </c>
      <c r="B12" s="3572" t="s">
        <v>3201</v>
      </c>
      <c r="C12" s="3573"/>
      <c r="D12" s="3574"/>
      <c r="E12" s="1692" t="s">
        <v>2065</v>
      </c>
      <c r="F12" s="3590" t="s">
        <v>3202</v>
      </c>
      <c r="G12" s="3591"/>
      <c r="H12" s="3591"/>
      <c r="I12" s="3592"/>
      <c r="J12" s="1687"/>
      <c r="K12" s="1767"/>
      <c r="L12" s="1716"/>
      <c r="M12" s="1716"/>
      <c r="N12" s="1687"/>
      <c r="O12" s="1688"/>
      <c r="P12" s="1687"/>
      <c r="Q12" s="1687"/>
      <c r="R12" s="1687"/>
      <c r="S12" s="1687"/>
      <c r="T12" s="1687"/>
      <c r="U12" s="1687"/>
    </row>
    <row r="13" spans="1:21">
      <c r="A13" s="1680" t="s">
        <v>2063</v>
      </c>
      <c r="B13" s="3572" t="str">
        <f>B12</f>
        <v>住宅、商业、办公、地下车库</v>
      </c>
      <c r="C13" s="3573"/>
      <c r="D13" s="3574"/>
      <c r="E13" s="1692" t="s">
        <v>2065</v>
      </c>
      <c r="F13" s="3590" t="s">
        <v>3203</v>
      </c>
      <c r="G13" s="3591"/>
      <c r="H13" s="3591"/>
      <c r="I13" s="3592"/>
      <c r="J13" s="1687"/>
      <c r="K13" s="1767"/>
      <c r="L13" s="1716"/>
      <c r="M13" s="1716"/>
      <c r="N13" s="1687"/>
      <c r="O13" s="1688"/>
      <c r="P13" s="1687"/>
      <c r="Q13" s="1687"/>
      <c r="R13" s="1687"/>
      <c r="S13" s="1687"/>
      <c r="T13" s="1687"/>
      <c r="U13" s="1687"/>
    </row>
    <row r="14" spans="1:21">
      <c r="A14" s="1654" t="s">
        <v>2066</v>
      </c>
      <c r="B14" s="1692"/>
      <c r="C14" s="1838" t="s">
        <v>3205</v>
      </c>
      <c r="D14" s="1726" t="str">
        <f>IF(C14="不一致","是否符合证载地类范围","")</f>
        <v/>
      </c>
      <c r="E14" s="1692"/>
      <c r="F14" s="1783" t="s">
        <v>3204</v>
      </c>
      <c r="G14" s="1721"/>
      <c r="H14" s="1721"/>
      <c r="I14" s="1830"/>
      <c r="J14" s="1687"/>
      <c r="K14" s="1767"/>
      <c r="L14" s="1716"/>
      <c r="M14" s="1716"/>
      <c r="N14" s="1687"/>
      <c r="O14" s="1688"/>
      <c r="P14" s="1687"/>
      <c r="Q14" s="1687"/>
      <c r="R14" s="1687"/>
      <c r="S14" s="1687"/>
      <c r="T14" s="1687"/>
      <c r="U14" s="1687"/>
    </row>
    <row r="15" spans="1:21" hidden="1">
      <c r="A15" s="2664"/>
      <c r="B15" s="1656"/>
      <c r="C15" s="1656"/>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42.75">
      <c r="A16" s="1673" t="s">
        <v>1951</v>
      </c>
      <c r="B16" s="1674" t="s">
        <v>3206</v>
      </c>
      <c r="C16" s="1692" t="s">
        <v>1952</v>
      </c>
      <c r="D16" s="2665" t="s">
        <v>1953</v>
      </c>
      <c r="E16" s="1715" t="s">
        <v>3207</v>
      </c>
      <c r="F16" s="1715" t="s">
        <v>1679</v>
      </c>
      <c r="G16" s="1715" t="s">
        <v>35</v>
      </c>
      <c r="H16" s="1715" t="s">
        <v>3281</v>
      </c>
      <c r="I16" s="1679" t="s">
        <v>1958</v>
      </c>
      <c r="J16" s="1687"/>
      <c r="K16" s="2474" t="str">
        <f>IF(D17="","",D16&amp;TEXT(D17,"yyyy年m月d日;;"))</f>
        <v>住宅2087年5月22日</v>
      </c>
      <c r="L16" s="1692" t="str">
        <f>IF(OR(K16="",M16=""),"","、")</f>
        <v>、</v>
      </c>
      <c r="M16" s="2474" t="str">
        <f>IF(E17="","",E16&amp;TEXT(E17,"yyyy年m月d日;;"))</f>
        <v>商业2057年5月22日</v>
      </c>
      <c r="N16" s="1692" t="str">
        <f>IF(OR(M16="",O16=""),"","、")</f>
        <v>、</v>
      </c>
      <c r="O16" s="2474" t="str">
        <f>IF(F17="","",F16&amp;TEXT(F17,"yyyy年m月d日;;"))</f>
        <v>办公2067年5月22日</v>
      </c>
      <c r="P16" s="1692" t="str">
        <f>IF(OR(O16="",Q16=""),"","、")</f>
        <v>、</v>
      </c>
      <c r="Q16" s="2474" t="str">
        <f>IF(G17="","",G16&amp;TEXT(G17,"yyyy年m月d日;;"))</f>
        <v>地下车库2067年5月22日</v>
      </c>
      <c r="R16" s="1692" t="str">
        <f>IF(OR(Q16="",S16=""),"","、")</f>
        <v>、</v>
      </c>
      <c r="S16" s="2474" t="str">
        <f>IF(H17="","",H16&amp;TEXT(H17,"yyyy年m月d日;;"))</f>
        <v>仓储2067年5月22日</v>
      </c>
      <c r="T16" s="1692" t="str">
        <f>IF(OR(S16="",U16=""),"","、")</f>
        <v/>
      </c>
      <c r="U16" s="2474" t="str">
        <f>IF(I17="","",I16&amp;TEXT(I17,"yyyy年m月d日;;"))</f>
        <v/>
      </c>
    </row>
    <row r="17" spans="1:21">
      <c r="A17" s="1756"/>
      <c r="B17" s="1675"/>
      <c r="C17" s="1676" t="s">
        <v>1959</v>
      </c>
      <c r="D17" s="1693">
        <v>68444</v>
      </c>
      <c r="E17" s="1693">
        <v>57487</v>
      </c>
      <c r="F17" s="1693">
        <v>61139</v>
      </c>
      <c r="G17" s="1693">
        <v>61139</v>
      </c>
      <c r="H17" s="1693">
        <v>61139</v>
      </c>
      <c r="I17" s="1693"/>
      <c r="J17" s="1687"/>
      <c r="K17" s="2473" t="str">
        <f>CONCATENATE(K16,L16,M16,N16,O16,P16,Q16,R16,S16,T16,,U16)</f>
        <v>住宅2087年5月22日、商业2057年5月22日、办公2067年5月22日、地下车库2067年5月22日、仓储2067年5月22日</v>
      </c>
      <c r="L17" s="1716"/>
      <c r="M17" s="1716"/>
      <c r="N17" s="1687"/>
      <c r="O17" s="1688"/>
      <c r="P17" s="1687"/>
      <c r="Q17" s="1687"/>
      <c r="R17" s="1687"/>
      <c r="S17" s="1687"/>
      <c r="T17" s="1687"/>
      <c r="U17" s="1687"/>
    </row>
    <row r="18" spans="1:21">
      <c r="A18" s="1756"/>
      <c r="B18" s="1675"/>
      <c r="C18" s="1676" t="s">
        <v>1960</v>
      </c>
      <c r="D18" s="1677">
        <v>70</v>
      </c>
      <c r="E18" s="1677">
        <v>40</v>
      </c>
      <c r="F18" s="1677">
        <v>50</v>
      </c>
      <c r="G18" s="1677">
        <v>50</v>
      </c>
      <c r="H18" s="1677">
        <v>50</v>
      </c>
      <c r="I18" s="1677"/>
      <c r="J18" s="1687"/>
      <c r="K18" s="1767"/>
      <c r="L18" s="1716"/>
      <c r="M18" s="1716"/>
      <c r="N18" s="1687"/>
      <c r="O18" s="1688"/>
      <c r="P18" s="1687"/>
      <c r="Q18" s="1687"/>
      <c r="R18" s="1687"/>
      <c r="S18" s="1687"/>
      <c r="T18" s="1687"/>
      <c r="U18" s="1687"/>
    </row>
    <row r="19" spans="1:21">
      <c r="A19" s="1756"/>
      <c r="B19" s="1675"/>
      <c r="C19" s="1653" t="s">
        <v>1961</v>
      </c>
      <c r="D19" s="1751">
        <f>IF(B16="出让",IF(D17="","",ROUNDDOWN(MIN((D17-$D$3)/365,D18),2)),D18)</f>
        <v>69.34</v>
      </c>
      <c r="E19" s="1678">
        <f>IF(B16="出让",IF(E17="","",ROUNDDOWN(MIN((E17-$D$3)/365,E18),2)),E18)</f>
        <v>39.32</v>
      </c>
      <c r="F19" s="1678">
        <f>IF(B16="出让",IF(F17="","",ROUNDDOWN(MIN((F17-$D$3)/365,F18),2)),F18)</f>
        <v>49.33</v>
      </c>
      <c r="G19" s="1678">
        <f>IF(B16="出让",IF(G17="","",ROUNDDOWN(MIN((G17-$D$3)/365,G18),2)),G18)</f>
        <v>49.33</v>
      </c>
      <c r="H19" s="1678">
        <f>IF(B16="出让",IF(H17="","",ROUNDDOWN(MIN((H17-$D$3)/365,H18),2)),H18)</f>
        <v>49.33</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2064</v>
      </c>
      <c r="D20" s="3587" t="s">
        <v>3208</v>
      </c>
      <c r="E20" s="3588"/>
      <c r="F20" s="3588"/>
      <c r="G20" s="3588"/>
      <c r="H20" s="3588"/>
      <c r="I20" s="3589"/>
      <c r="J20" s="1687"/>
      <c r="K20" s="1767"/>
      <c r="L20" s="1716"/>
      <c r="M20" s="1716"/>
      <c r="N20" s="1687"/>
      <c r="O20" s="1688"/>
      <c r="P20" s="1687"/>
      <c r="Q20" s="1687"/>
      <c r="R20" s="1687"/>
      <c r="S20" s="1687"/>
      <c r="T20" s="1687"/>
      <c r="U20" s="1687"/>
    </row>
    <row r="21" spans="1:21">
      <c r="A21" s="1756" t="s">
        <v>1962</v>
      </c>
      <c r="B21" s="1757" t="s">
        <v>1963</v>
      </c>
      <c r="C21" s="1752">
        <f>'数据-汇总表'!E3</f>
        <v>177832.7</v>
      </c>
      <c r="D21" s="1753" t="s">
        <v>1964</v>
      </c>
      <c r="E21" s="3577" t="s">
        <v>2002</v>
      </c>
      <c r="F21" s="3578"/>
      <c r="G21" s="3578"/>
      <c r="H21" s="3578"/>
      <c r="I21" s="3579"/>
      <c r="J21" s="1687"/>
      <c r="K21" s="1767"/>
      <c r="L21" s="1716"/>
      <c r="M21" s="1716"/>
      <c r="N21" s="1687"/>
      <c r="O21" s="1688"/>
      <c r="P21" s="1687"/>
      <c r="Q21" s="1687"/>
      <c r="R21" s="1687"/>
      <c r="S21" s="1687"/>
      <c r="T21" s="1687"/>
      <c r="U21" s="1687"/>
    </row>
    <row r="22" spans="1:21">
      <c r="A22" s="2656" t="s">
        <v>953</v>
      </c>
      <c r="B22" s="1654" t="s">
        <v>1965</v>
      </c>
      <c r="C22" s="1679">
        <f>'数据-汇总表'!D3</f>
        <v>57230.39</v>
      </c>
      <c r="D22" s="1680" t="s">
        <v>1964</v>
      </c>
      <c r="E22" s="3577" t="s">
        <v>2897</v>
      </c>
      <c r="F22" s="3578"/>
      <c r="G22" s="3578"/>
      <c r="H22" s="3578"/>
      <c r="I22" s="3579"/>
      <c r="J22" s="1687"/>
      <c r="K22" s="1767"/>
      <c r="L22" s="1716"/>
      <c r="M22" s="1716"/>
      <c r="N22" s="1687"/>
      <c r="O22" s="1688"/>
      <c r="P22" s="1687"/>
      <c r="Q22" s="1687"/>
      <c r="R22" s="1687"/>
      <c r="S22" s="1687"/>
      <c r="T22" s="1687"/>
      <c r="U22" s="1687"/>
    </row>
    <row r="23" spans="1:21" ht="29.25" thickBot="1">
      <c r="A23" s="1758" t="s">
        <v>1966</v>
      </c>
      <c r="B23" s="1694" t="s">
        <v>1967</v>
      </c>
      <c r="C23" s="1695" t="s">
        <v>3209</v>
      </c>
      <c r="D23" s="1696" t="s">
        <v>1968</v>
      </c>
      <c r="E23" s="1697" t="s">
        <v>3209</v>
      </c>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1969</v>
      </c>
      <c r="B24" s="3580" t="s">
        <v>1970</v>
      </c>
      <c r="C24" s="3581"/>
      <c r="D24" s="3582" t="s">
        <v>1971</v>
      </c>
      <c r="E24" s="3583"/>
      <c r="F24" s="1701" t="s">
        <v>1972</v>
      </c>
      <c r="G24" s="1687"/>
      <c r="H24" s="1687"/>
      <c r="I24" s="1700"/>
      <c r="J24" s="1687"/>
      <c r="K24" s="3568" t="s">
        <v>1973</v>
      </c>
      <c r="L24" s="247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6"/>
      <c r="N24" s="1687"/>
      <c r="O24" s="1688"/>
      <c r="P24" s="1687"/>
      <c r="Q24" s="1687"/>
      <c r="R24" s="1687"/>
      <c r="S24" s="1687"/>
      <c r="T24" s="1687"/>
      <c r="U24" s="1687"/>
    </row>
    <row r="25" spans="1:21" ht="28.5">
      <c r="A25" s="1744"/>
      <c r="B25" s="1741" t="s">
        <v>2329</v>
      </c>
      <c r="C25" s="1702" t="s">
        <v>1974</v>
      </c>
      <c r="D25" s="1703"/>
      <c r="E25" s="1704" t="s">
        <v>953</v>
      </c>
      <c r="F25" s="1705"/>
      <c r="G25" s="1687"/>
      <c r="H25" s="1687"/>
      <c r="I25" s="1700"/>
      <c r="J25" s="1687"/>
      <c r="K25" s="3568"/>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29.25" thickBot="1">
      <c r="A26" s="1745"/>
      <c r="B26" s="1742" t="s">
        <v>1975</v>
      </c>
      <c r="C26" s="1702" t="s">
        <v>2330</v>
      </c>
      <c r="D26" s="1653"/>
      <c r="E26" s="1653"/>
      <c r="F26" s="1681"/>
      <c r="G26" s="1687"/>
      <c r="H26" s="1687"/>
      <c r="I26" s="1700"/>
      <c r="J26" s="1687"/>
      <c r="K26" s="3568"/>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1976</v>
      </c>
      <c r="B27" s="1746" t="s">
        <v>1977</v>
      </c>
      <c r="C27" s="1706"/>
      <c r="D27" s="2670" t="s">
        <v>1977</v>
      </c>
      <c r="E27" s="1707"/>
      <c r="F27" s="1681"/>
      <c r="G27" s="1687"/>
      <c r="H27" s="1687"/>
      <c r="I27" s="1700"/>
      <c r="J27" s="1687"/>
      <c r="K27" s="1767"/>
      <c r="L27" s="1716"/>
      <c r="M27" s="1716"/>
      <c r="N27" s="1687"/>
      <c r="O27" s="1688"/>
      <c r="P27" s="1687"/>
      <c r="Q27" s="1687"/>
      <c r="R27" s="1687"/>
      <c r="S27" s="1687"/>
      <c r="T27" s="1687"/>
      <c r="U27" s="1687"/>
    </row>
    <row r="28" spans="1:21">
      <c r="A28" s="1749"/>
      <c r="B28" s="1746" t="s">
        <v>1978</v>
      </c>
      <c r="C28" s="1708"/>
      <c r="D28" s="2671" t="s">
        <v>1978</v>
      </c>
      <c r="E28" s="1709"/>
      <c r="F28" s="1681"/>
      <c r="G28" s="1687"/>
      <c r="H28" s="1687"/>
      <c r="I28" s="1700"/>
      <c r="J28" s="1687"/>
      <c r="K28" s="1767"/>
      <c r="L28" s="1716"/>
      <c r="M28" s="1716"/>
      <c r="N28" s="1687"/>
      <c r="O28" s="1688"/>
      <c r="P28" s="1687"/>
      <c r="Q28" s="1687"/>
      <c r="R28" s="1687"/>
      <c r="S28" s="1687"/>
      <c r="T28" s="1687"/>
      <c r="U28" s="1687"/>
    </row>
    <row r="29" spans="1:21">
      <c r="A29" s="1749"/>
      <c r="B29" s="1746" t="s">
        <v>1979</v>
      </c>
      <c r="C29" s="1708"/>
      <c r="D29" s="2671" t="s">
        <v>1979</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1980</v>
      </c>
      <c r="C30" s="1710"/>
      <c r="D30" s="2672" t="s">
        <v>1980</v>
      </c>
      <c r="E30" s="1711"/>
      <c r="F30" s="1682"/>
      <c r="G30" s="1735"/>
      <c r="H30" s="1735"/>
      <c r="I30" s="1736"/>
      <c r="J30" s="1687"/>
      <c r="K30" s="1767"/>
      <c r="L30" s="1716"/>
      <c r="M30" s="1716"/>
      <c r="N30" s="1687"/>
      <c r="O30" s="1688"/>
      <c r="P30" s="1687"/>
      <c r="Q30" s="1687"/>
      <c r="R30" s="1687"/>
      <c r="S30" s="1687"/>
      <c r="T30" s="1687"/>
      <c r="U30" s="1687"/>
    </row>
    <row r="31" spans="1:21" ht="15" thickTop="1">
      <c r="A31" s="3554" t="s">
        <v>2005</v>
      </c>
      <c r="B31" s="1757" t="s">
        <v>2006</v>
      </c>
      <c r="C31" s="3593"/>
      <c r="D31" s="3594"/>
      <c r="E31" s="1687"/>
      <c r="F31" s="1687"/>
      <c r="G31" s="1687"/>
      <c r="H31" s="1687"/>
      <c r="I31" s="1700"/>
      <c r="J31" s="1687"/>
      <c r="K31" s="2476"/>
      <c r="L31" s="1687"/>
      <c r="M31" s="1687"/>
      <c r="N31" s="1687"/>
      <c r="O31" s="1687"/>
      <c r="P31" s="1687"/>
      <c r="Q31" s="1687"/>
      <c r="R31" s="1687"/>
      <c r="S31" s="1687"/>
      <c r="T31" s="1687"/>
      <c r="U31" s="1687"/>
    </row>
    <row r="32" spans="1:21">
      <c r="A32" s="3554"/>
      <c r="B32" s="1654" t="s">
        <v>2007</v>
      </c>
      <c r="C32" s="1712"/>
      <c r="D32" s="1713"/>
      <c r="E32" s="1687"/>
      <c r="F32" s="1687"/>
      <c r="G32" s="1687"/>
      <c r="H32" s="1687"/>
      <c r="I32" s="1700"/>
      <c r="J32" s="1687"/>
      <c r="K32" s="2476"/>
      <c r="L32" s="1687"/>
      <c r="M32" s="1687"/>
      <c r="N32" s="1687"/>
      <c r="O32" s="1687"/>
      <c r="P32" s="1687"/>
      <c r="Q32" s="1687"/>
      <c r="R32" s="1687"/>
      <c r="S32" s="1687"/>
      <c r="T32" s="1687"/>
      <c r="U32" s="1687"/>
    </row>
    <row r="33" spans="1:21">
      <c r="A33" s="3554"/>
      <c r="B33" s="1654" t="s">
        <v>2008</v>
      </c>
      <c r="C33" s="1714"/>
      <c r="D33" s="1831"/>
      <c r="E33" s="1687"/>
      <c r="F33" s="1687"/>
      <c r="G33" s="1687"/>
      <c r="H33" s="1687"/>
      <c r="I33" s="1700"/>
      <c r="J33" s="1687"/>
      <c r="K33" s="2476"/>
      <c r="L33" s="1687"/>
      <c r="M33" s="1687"/>
      <c r="N33" s="1687"/>
      <c r="O33" s="1687"/>
      <c r="P33" s="1687"/>
      <c r="Q33" s="1687"/>
      <c r="R33" s="1687"/>
      <c r="S33" s="1687"/>
      <c r="T33" s="1687"/>
      <c r="U33" s="1687"/>
    </row>
    <row r="34" spans="1:21">
      <c r="A34" s="3555"/>
      <c r="B34" s="1654" t="s">
        <v>2009</v>
      </c>
      <c r="C34" s="3556"/>
      <c r="D34" s="3557"/>
      <c r="E34" s="1687"/>
      <c r="F34" s="1687"/>
      <c r="G34" s="1687"/>
      <c r="H34" s="1687"/>
      <c r="I34" s="1700"/>
      <c r="J34" s="1687"/>
      <c r="K34" s="2476"/>
      <c r="L34" s="1687"/>
      <c r="M34" s="1687"/>
      <c r="N34" s="1687"/>
      <c r="O34" s="1687"/>
      <c r="P34" s="1687"/>
      <c r="Q34" s="1687"/>
      <c r="R34" s="1687"/>
      <c r="S34" s="1687"/>
      <c r="T34" s="1687"/>
      <c r="U34" s="1687"/>
    </row>
    <row r="35" spans="1:21">
      <c r="A35" s="3558" t="s">
        <v>848</v>
      </c>
      <c r="B35" s="1715" t="s">
        <v>3216</v>
      </c>
      <c r="C35" s="1769" t="str">
        <f>IF(B35="场地平整","——","具体情况：")</f>
        <v>——</v>
      </c>
      <c r="D35" s="3560"/>
      <c r="E35" s="3561"/>
      <c r="F35" s="3561"/>
      <c r="G35" s="3561"/>
      <c r="H35" s="3561"/>
      <c r="I35" s="3562"/>
      <c r="J35" s="1687"/>
      <c r="K35" s="1768"/>
      <c r="L35" s="1716"/>
      <c r="M35" s="1716"/>
      <c r="N35" s="1687"/>
      <c r="O35" s="1688"/>
      <c r="P35" s="1687"/>
      <c r="Q35" s="1687"/>
      <c r="R35" s="1687"/>
      <c r="S35" s="1687"/>
      <c r="T35" s="1687"/>
      <c r="U35" s="1687"/>
    </row>
    <row r="36" spans="1:21">
      <c r="A36" s="3554"/>
      <c r="B36" s="3563" t="s">
        <v>2058</v>
      </c>
      <c r="C36" s="3564"/>
      <c r="D36" s="1785"/>
      <c r="E36" s="3565"/>
      <c r="F36" s="3565"/>
      <c r="G36" s="1680" t="str">
        <f>IF(B35="场地未平整","估价结果处理","")</f>
        <v/>
      </c>
      <c r="H36" s="3566"/>
      <c r="I36" s="3566"/>
      <c r="J36" s="1687"/>
      <c r="K36" s="1768"/>
      <c r="L36" s="1716"/>
      <c r="M36" s="1716"/>
      <c r="N36" s="1687"/>
      <c r="O36" s="1688"/>
      <c r="P36" s="1687"/>
      <c r="Q36" s="1687"/>
      <c r="R36" s="1687"/>
      <c r="S36" s="1687"/>
      <c r="T36" s="1687"/>
      <c r="U36" s="1687"/>
    </row>
    <row r="37" spans="1:21" ht="28.5">
      <c r="A37" s="3554"/>
      <c r="B37" s="3584" t="s">
        <v>849</v>
      </c>
      <c r="C37" s="1717" t="s">
        <v>850</v>
      </c>
      <c r="D37" s="1718">
        <v>43230</v>
      </c>
      <c r="E37" s="1719"/>
      <c r="F37" s="1687"/>
      <c r="G37" s="1687"/>
      <c r="H37" s="1687"/>
      <c r="I37" s="1700"/>
      <c r="J37" s="1687"/>
      <c r="K37" s="1768"/>
      <c r="L37" s="1687"/>
      <c r="M37" s="1687"/>
      <c r="N37" s="1687"/>
      <c r="O37" s="1687"/>
      <c r="P37" s="1687"/>
      <c r="Q37" s="1687"/>
      <c r="R37" s="1687"/>
      <c r="S37" s="1687"/>
      <c r="T37" s="1687"/>
      <c r="U37" s="1687"/>
    </row>
    <row r="38" spans="1:21">
      <c r="A38" s="3554"/>
      <c r="B38" s="3585"/>
      <c r="C38" s="1662" t="s">
        <v>851</v>
      </c>
      <c r="D38" s="1784">
        <f>ROUNDDOWN(MIN(('数据-取费表'!$B$2-D37)/365,D34),1)</f>
        <v>-0.2</v>
      </c>
      <c r="E38" s="1720" t="s">
        <v>852</v>
      </c>
      <c r="F38" s="1687"/>
      <c r="G38" s="1687"/>
      <c r="H38" s="1687"/>
      <c r="I38" s="1700"/>
      <c r="J38" s="1687"/>
      <c r="K38" s="1768"/>
      <c r="L38" s="1687"/>
      <c r="M38" s="1687"/>
      <c r="N38" s="1687"/>
      <c r="O38" s="1687"/>
      <c r="P38" s="1687"/>
      <c r="Q38" s="1687"/>
      <c r="R38" s="1687"/>
      <c r="S38" s="1687"/>
      <c r="T38" s="1687"/>
      <c r="U38" s="1687"/>
    </row>
    <row r="39" spans="1:21">
      <c r="A39" s="3555"/>
      <c r="B39" s="3586"/>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1981</v>
      </c>
      <c r="B40" s="1683" t="s">
        <v>3210</v>
      </c>
      <c r="C40" s="1683" t="s">
        <v>3211</v>
      </c>
      <c r="D40" s="1683" t="s">
        <v>3212</v>
      </c>
      <c r="E40" s="1683" t="s">
        <v>3213</v>
      </c>
      <c r="F40" s="1683" t="s">
        <v>3214</v>
      </c>
      <c r="G40" s="1683" t="s">
        <v>3215</v>
      </c>
      <c r="H40" s="1683"/>
      <c r="I40" s="1700"/>
      <c r="J40" s="1687"/>
      <c r="K40" s="1723">
        <f>COUNTIF(B40:H40,"——")</f>
        <v>0</v>
      </c>
      <c r="L40" s="1692" t="s">
        <v>1982</v>
      </c>
      <c r="M40" s="1689" t="s">
        <v>1983</v>
      </c>
      <c r="N40" s="1689" t="s">
        <v>1984</v>
      </c>
      <c r="O40" s="1689" t="s">
        <v>1985</v>
      </c>
      <c r="P40" s="1689" t="s">
        <v>1986</v>
      </c>
      <c r="Q40" s="1689" t="s">
        <v>1987</v>
      </c>
      <c r="R40" s="1689" t="s">
        <v>1988</v>
      </c>
      <c r="S40" s="3567" t="s">
        <v>1989</v>
      </c>
      <c r="T40" s="1724" t="str">
        <f>NUMBERSTRING(7-K40,1)&amp;"通"</f>
        <v>七通</v>
      </c>
      <c r="U40" s="1687"/>
    </row>
    <row r="41" spans="1:21">
      <c r="A41" s="1656"/>
      <c r="B41" s="3559" t="s">
        <v>1723</v>
      </c>
      <c r="C41" s="3559"/>
      <c r="D41" s="3559"/>
      <c r="E41" s="3559"/>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v>
      </c>
      <c r="S41" s="3567"/>
      <c r="T41" s="1726" t="str">
        <f>IF(T40="一通",L41,IF(T40="二通",M41,IF(T40="三通",N41,IF(T40="四通",O41,IF(T40="五通",P41,IF(T40="六通",Q41,R41))))))</f>
        <v>通路、通电、通讯、通上水、通下水、燃气、</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t="s">
        <v>1411</v>
      </c>
      <c r="C43" s="1731" t="s">
        <v>1411</v>
      </c>
      <c r="D43" s="1731" t="s">
        <v>1411</v>
      </c>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t="s">
        <v>1263</v>
      </c>
      <c r="C44" s="1731" t="s">
        <v>1263</v>
      </c>
      <c r="D44" s="1731" t="s">
        <v>1263</v>
      </c>
      <c r="E44" s="1785"/>
      <c r="F44" s="1732"/>
      <c r="G44" s="1687"/>
      <c r="H44" s="1687"/>
      <c r="I44" s="1700"/>
      <c r="J44" s="1687"/>
      <c r="K44" s="1767"/>
      <c r="L44" s="1716"/>
      <c r="M44" s="1716"/>
      <c r="N44" s="1687"/>
      <c r="O44" s="1688"/>
      <c r="P44" s="1687"/>
      <c r="Q44" s="1687"/>
      <c r="R44" s="1687"/>
      <c r="S44" s="1687"/>
      <c r="T44" s="1687"/>
      <c r="U44" s="1687"/>
    </row>
    <row r="45" spans="1:21" s="3091" customFormat="1" ht="21" thickBot="1">
      <c r="A45" s="3092" t="s">
        <v>2898</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2010</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2011</v>
      </c>
      <c r="B48" s="1679" t="s">
        <v>2012</v>
      </c>
      <c r="C48" s="1679" t="s">
        <v>2013</v>
      </c>
      <c r="D48" s="1679" t="s">
        <v>2014</v>
      </c>
      <c r="E48" s="1679" t="s">
        <v>2015</v>
      </c>
      <c r="F48" s="1679" t="s">
        <v>2016</v>
      </c>
      <c r="G48" s="1679" t="s">
        <v>2017</v>
      </c>
      <c r="H48" s="1679" t="s">
        <v>2018</v>
      </c>
      <c r="I48" s="1679" t="s">
        <v>2019</v>
      </c>
      <c r="J48" s="1765" t="s">
        <v>2020</v>
      </c>
      <c r="K48" s="1759" t="s">
        <v>2021</v>
      </c>
      <c r="L48" s="1759" t="s">
        <v>2022</v>
      </c>
      <c r="M48" s="1759" t="s">
        <v>2023</v>
      </c>
      <c r="N48" s="1679" t="s">
        <v>2024</v>
      </c>
      <c r="O48" s="1679" t="s">
        <v>2025</v>
      </c>
      <c r="P48" s="1679" t="s">
        <v>2026</v>
      </c>
      <c r="Q48" s="1692" t="s">
        <v>2027</v>
      </c>
      <c r="R48" s="1692" t="s">
        <v>2028</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2"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4" t="s">
        <v>2337</v>
      </c>
      <c r="BA2" s="2355"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3491">
        <v>60374.362999999998</v>
      </c>
      <c r="B3" s="21">
        <f>IF(C3="否",G5-AT5,G5)</f>
        <v>187602</v>
      </c>
      <c r="C3" s="22"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2"/>
      <c r="BA3" s="2356"/>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5" t="s">
        <v>168</v>
      </c>
      <c r="B5" s="985"/>
      <c r="C5" s="985"/>
      <c r="D5" s="992"/>
      <c r="E5" s="26" t="s">
        <v>1</v>
      </c>
      <c r="F5" s="26">
        <f>SUM(F13:F572)</f>
        <v>0</v>
      </c>
      <c r="G5" s="26">
        <f>SUM(G13:G572)</f>
        <v>187602</v>
      </c>
      <c r="H5" s="26">
        <f t="shared" ref="H5:AT5" si="0">SUM(H13:H641)</f>
        <v>146966.5</v>
      </c>
      <c r="I5" s="26">
        <f t="shared" si="0"/>
        <v>71612.7</v>
      </c>
      <c r="J5" s="26">
        <f t="shared" si="0"/>
        <v>0</v>
      </c>
      <c r="K5" s="26">
        <f t="shared" si="0"/>
        <v>41</v>
      </c>
      <c r="L5" s="26">
        <f t="shared" si="0"/>
        <v>0</v>
      </c>
      <c r="M5" s="26">
        <f t="shared" si="0"/>
        <v>30762.799999999999</v>
      </c>
      <c r="N5" s="26">
        <f t="shared" si="0"/>
        <v>0</v>
      </c>
      <c r="O5" s="26">
        <f t="shared" si="0"/>
        <v>38124.199999999997</v>
      </c>
      <c r="P5" s="26">
        <f t="shared" si="0"/>
        <v>0</v>
      </c>
      <c r="Q5" s="26">
        <f t="shared" si="0"/>
        <v>6425.8</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30866.2</v>
      </c>
      <c r="AD5" s="26">
        <f t="shared" si="0"/>
        <v>0</v>
      </c>
      <c r="AE5" s="26">
        <f t="shared" si="0"/>
        <v>0</v>
      </c>
      <c r="AF5" s="26">
        <f t="shared" si="0"/>
        <v>14.3</v>
      </c>
      <c r="AG5" s="26">
        <f t="shared" si="0"/>
        <v>0</v>
      </c>
      <c r="AH5" s="26">
        <f t="shared" si="0"/>
        <v>100</v>
      </c>
      <c r="AI5" s="26">
        <f t="shared" si="0"/>
        <v>0</v>
      </c>
      <c r="AJ5" s="26">
        <f t="shared" si="0"/>
        <v>50</v>
      </c>
      <c r="AK5" s="26">
        <f t="shared" si="0"/>
        <v>0</v>
      </c>
      <c r="AL5" s="26">
        <f t="shared" si="0"/>
        <v>62.2</v>
      </c>
      <c r="AM5" s="26">
        <f t="shared" si="0"/>
        <v>0</v>
      </c>
      <c r="AN5" s="26">
        <f t="shared" si="0"/>
        <v>30639.7</v>
      </c>
      <c r="AO5" s="26">
        <f t="shared" si="0"/>
        <v>0</v>
      </c>
      <c r="AP5" s="26">
        <f t="shared" si="0"/>
        <v>0</v>
      </c>
      <c r="AQ5" s="26">
        <f t="shared" si="0"/>
        <v>0</v>
      </c>
      <c r="AR5" s="26">
        <f t="shared" si="0"/>
        <v>0</v>
      </c>
      <c r="AS5" s="26">
        <f t="shared" si="0"/>
        <v>0</v>
      </c>
      <c r="AT5" s="26">
        <f t="shared" si="0"/>
        <v>9769.2999999999993</v>
      </c>
      <c r="AU5" s="984"/>
      <c r="AV5" s="25" t="s">
        <v>168</v>
      </c>
      <c r="AW5" s="985"/>
      <c r="AX5" s="985"/>
      <c r="AY5" s="27" t="s">
        <v>3</v>
      </c>
      <c r="AZ5" s="28">
        <f t="shared" ref="AZ5:BT5" si="1">SUM(AZ13:AZ641)</f>
        <v>177832.7</v>
      </c>
      <c r="BA5" s="28">
        <f t="shared" si="1"/>
        <v>146966.5</v>
      </c>
      <c r="BB5" s="28">
        <f t="shared" si="1"/>
        <v>71612.7</v>
      </c>
      <c r="BC5" s="28">
        <f t="shared" si="1"/>
        <v>41</v>
      </c>
      <c r="BD5" s="28">
        <f t="shared" si="1"/>
        <v>30762.799999999999</v>
      </c>
      <c r="BE5" s="28">
        <f t="shared" si="1"/>
        <v>38124.199999999997</v>
      </c>
      <c r="BF5" s="28">
        <f t="shared" si="1"/>
        <v>6425.8</v>
      </c>
      <c r="BG5" s="28">
        <f t="shared" si="1"/>
        <v>0</v>
      </c>
      <c r="BH5" s="28">
        <f t="shared" si="1"/>
        <v>0</v>
      </c>
      <c r="BI5" s="28">
        <f t="shared" si="1"/>
        <v>0</v>
      </c>
      <c r="BJ5" s="28">
        <f t="shared" si="1"/>
        <v>0</v>
      </c>
      <c r="BK5" s="28">
        <f t="shared" si="1"/>
        <v>0</v>
      </c>
      <c r="BL5" s="28">
        <f t="shared" si="1"/>
        <v>30866.2</v>
      </c>
      <c r="BM5" s="28">
        <f t="shared" si="1"/>
        <v>0</v>
      </c>
      <c r="BN5" s="28">
        <f t="shared" si="1"/>
        <v>14.3</v>
      </c>
      <c r="BO5" s="28">
        <f t="shared" si="1"/>
        <v>100</v>
      </c>
      <c r="BP5" s="28">
        <f t="shared" si="1"/>
        <v>50</v>
      </c>
      <c r="BQ5" s="28">
        <f t="shared" si="1"/>
        <v>62.2</v>
      </c>
      <c r="BR5" s="28">
        <f t="shared" si="1"/>
        <v>30639.7</v>
      </c>
      <c r="BS5" s="28">
        <f t="shared" si="1"/>
        <v>0</v>
      </c>
      <c r="BT5" s="29">
        <f t="shared" si="1"/>
        <v>0</v>
      </c>
    </row>
    <row r="6" spans="1:72" s="36" customFormat="1" ht="12.75">
      <c r="A6" s="25" t="s">
        <v>169</v>
      </c>
      <c r="B6" s="30"/>
      <c r="C6" s="30"/>
      <c r="D6" s="31"/>
      <c r="E6" s="26">
        <f>H6+AC6+AT6</f>
        <v>60374.36</v>
      </c>
      <c r="F6" s="26" t="s">
        <v>1</v>
      </c>
      <c r="G6" s="26" t="s">
        <v>2</v>
      </c>
      <c r="H6" s="32">
        <f>SUMIF(I$12:AB$12,"总值",I6:AB6)</f>
        <v>47296.979999999996</v>
      </c>
      <c r="I6" s="26">
        <f t="shared" ref="I6:AB6" si="2">ROUND($A$3*I5/$B$3,2)</f>
        <v>23046.51</v>
      </c>
      <c r="J6" s="26">
        <f t="shared" si="2"/>
        <v>0</v>
      </c>
      <c r="K6" s="26">
        <f t="shared" si="2"/>
        <v>13.19</v>
      </c>
      <c r="L6" s="26">
        <f t="shared" si="2"/>
        <v>0</v>
      </c>
      <c r="M6" s="26">
        <f t="shared" si="2"/>
        <v>9900.1299999999992</v>
      </c>
      <c r="N6" s="26">
        <f t="shared" si="2"/>
        <v>0</v>
      </c>
      <c r="O6" s="26">
        <f t="shared" si="2"/>
        <v>12269.19</v>
      </c>
      <c r="P6" s="26">
        <f t="shared" si="2"/>
        <v>0</v>
      </c>
      <c r="Q6" s="26">
        <f t="shared" si="2"/>
        <v>2067.96</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9933.41</v>
      </c>
      <c r="AD6" s="26">
        <f t="shared" ref="AD6:AS6" si="3">ROUND($A$3*AD5/$B$3,2)</f>
        <v>0</v>
      </c>
      <c r="AE6" s="26">
        <f t="shared" si="3"/>
        <v>0</v>
      </c>
      <c r="AF6" s="26">
        <f t="shared" si="3"/>
        <v>4.5999999999999996</v>
      </c>
      <c r="AG6" s="26">
        <f t="shared" si="3"/>
        <v>0</v>
      </c>
      <c r="AH6" s="26">
        <f t="shared" si="3"/>
        <v>32.18</v>
      </c>
      <c r="AI6" s="26">
        <f t="shared" si="3"/>
        <v>0</v>
      </c>
      <c r="AJ6" s="26">
        <f t="shared" si="3"/>
        <v>16.09</v>
      </c>
      <c r="AK6" s="26">
        <f t="shared" si="3"/>
        <v>0</v>
      </c>
      <c r="AL6" s="26">
        <f t="shared" si="3"/>
        <v>20.02</v>
      </c>
      <c r="AM6" s="26">
        <f t="shared" si="3"/>
        <v>0</v>
      </c>
      <c r="AN6" s="26">
        <f t="shared" si="3"/>
        <v>9860.52</v>
      </c>
      <c r="AO6" s="26">
        <f t="shared" si="3"/>
        <v>0</v>
      </c>
      <c r="AP6" s="26">
        <f t="shared" si="3"/>
        <v>0</v>
      </c>
      <c r="AQ6" s="26">
        <f t="shared" si="3"/>
        <v>0</v>
      </c>
      <c r="AR6" s="26">
        <f t="shared" si="3"/>
        <v>0</v>
      </c>
      <c r="AS6" s="26">
        <f t="shared" si="3"/>
        <v>0</v>
      </c>
      <c r="AT6" s="32">
        <f>IF(C3="是",ROUND($A$3*AT5/$B$3,2),0)</f>
        <v>3143.97</v>
      </c>
      <c r="AU6" s="33"/>
      <c r="AV6" s="25" t="s">
        <v>169</v>
      </c>
      <c r="AW6" s="30"/>
      <c r="AX6" s="30"/>
      <c r="AY6" s="34">
        <f>IF(AY3&gt;0,AY3,ROUND($A$3*AZ5/$B$3,2))</f>
        <v>57230.39</v>
      </c>
      <c r="AZ6" s="26" t="s">
        <v>3</v>
      </c>
      <c r="BA6" s="26">
        <f>ROUND($AY$6*BA5/$AZ$5,2)</f>
        <v>47296.98</v>
      </c>
      <c r="BB6" s="26">
        <f>ROUND($AY$6*BB5/$AZ$5,2)</f>
        <v>23046.51</v>
      </c>
      <c r="BC6" s="26">
        <f t="shared" ref="BC6:BH6" si="4">ROUND($AY$6*BC5/$AZ$5,2)</f>
        <v>13.19</v>
      </c>
      <c r="BD6" s="26">
        <f t="shared" si="4"/>
        <v>9900.1299999999992</v>
      </c>
      <c r="BE6" s="26">
        <f t="shared" si="4"/>
        <v>12269.19</v>
      </c>
      <c r="BF6" s="26">
        <f t="shared" si="4"/>
        <v>2067.96</v>
      </c>
      <c r="BG6" s="26">
        <f t="shared" si="4"/>
        <v>0</v>
      </c>
      <c r="BH6" s="26">
        <f t="shared" si="4"/>
        <v>0</v>
      </c>
      <c r="BI6" s="26">
        <f t="shared" ref="BI6:BT6" si="5">ROUND($AY$6*BI5/$AZ$5,2)</f>
        <v>0</v>
      </c>
      <c r="BJ6" s="26">
        <f t="shared" si="5"/>
        <v>0</v>
      </c>
      <c r="BK6" s="26">
        <f t="shared" si="5"/>
        <v>0</v>
      </c>
      <c r="BL6" s="26">
        <f t="shared" si="5"/>
        <v>9933.41</v>
      </c>
      <c r="BM6" s="26">
        <f t="shared" si="5"/>
        <v>0</v>
      </c>
      <c r="BN6" s="26">
        <f t="shared" si="5"/>
        <v>4.5999999999999996</v>
      </c>
      <c r="BO6" s="26">
        <f t="shared" si="5"/>
        <v>32.18</v>
      </c>
      <c r="BP6" s="26">
        <f t="shared" si="5"/>
        <v>16.09</v>
      </c>
      <c r="BQ6" s="26">
        <f t="shared" si="5"/>
        <v>20.02</v>
      </c>
      <c r="BR6" s="26">
        <f t="shared" si="5"/>
        <v>9860.51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291"/>
      <c r="AT8" s="2322" t="s">
        <v>856</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3037" t="s">
        <v>3277</v>
      </c>
      <c r="J9" s="50"/>
      <c r="K9" s="3037" t="s">
        <v>3277</v>
      </c>
      <c r="L9" s="50"/>
      <c r="M9" s="3037" t="s">
        <v>3277</v>
      </c>
      <c r="N9" s="50"/>
      <c r="O9" s="58" t="s">
        <v>3279</v>
      </c>
      <c r="P9" s="50"/>
      <c r="Q9" s="58" t="s">
        <v>3279</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5"/>
      <c r="AR9" s="1183" t="s">
        <v>192</v>
      </c>
      <c r="AS9" s="2323"/>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3037" t="s">
        <v>924</v>
      </c>
      <c r="J10" s="50"/>
      <c r="K10" s="3039" t="s">
        <v>3207</v>
      </c>
      <c r="L10" s="50"/>
      <c r="M10" s="3039" t="s">
        <v>1679</v>
      </c>
      <c r="N10" s="50"/>
      <c r="O10" s="65" t="s">
        <v>3280</v>
      </c>
      <c r="P10" s="50"/>
      <c r="Q10" s="65" t="s">
        <v>3281</v>
      </c>
      <c r="R10" s="50"/>
      <c r="S10" s="65"/>
      <c r="T10" s="50"/>
      <c r="U10" s="65"/>
      <c r="V10" s="50"/>
      <c r="W10" s="65"/>
      <c r="X10" s="50"/>
      <c r="Y10" s="65"/>
      <c r="Z10" s="50"/>
      <c r="AA10" s="65"/>
      <c r="AB10" s="50"/>
      <c r="AC10" s="54"/>
      <c r="AD10" s="2308" t="s">
        <v>2321</v>
      </c>
      <c r="AE10" s="2330"/>
      <c r="AF10" s="2308" t="s">
        <v>2321</v>
      </c>
      <c r="AG10" s="2330"/>
      <c r="AH10" s="2308" t="s">
        <v>2322</v>
      </c>
      <c r="AI10" s="2330"/>
      <c r="AJ10" s="25" t="s">
        <v>2335</v>
      </c>
      <c r="AK10" s="2327"/>
      <c r="AL10" s="2308" t="s">
        <v>2323</v>
      </c>
      <c r="AM10" s="2309"/>
      <c r="AN10" s="25" t="s">
        <v>198</v>
      </c>
      <c r="AO10" s="60"/>
      <c r="AP10" s="1183" t="s">
        <v>199</v>
      </c>
      <c r="AQ10" s="1185"/>
      <c r="AR10" s="1183" t="s">
        <v>199</v>
      </c>
      <c r="AS10" s="1185"/>
      <c r="AT10" s="44"/>
      <c r="AU10" s="44"/>
      <c r="AV10" s="54"/>
      <c r="AW10" s="999"/>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3038" t="s">
        <v>23</v>
      </c>
      <c r="J11" s="70"/>
      <c r="K11" s="3038" t="s">
        <v>3278</v>
      </c>
      <c r="L11" s="70"/>
      <c r="M11" s="69" t="s">
        <v>3246</v>
      </c>
      <c r="N11" s="70"/>
      <c r="O11" s="69" t="s">
        <v>3280</v>
      </c>
      <c r="P11" s="70"/>
      <c r="Q11" s="69" t="s">
        <v>3235</v>
      </c>
      <c r="R11" s="70"/>
      <c r="S11" s="69"/>
      <c r="T11" s="70"/>
      <c r="U11" s="69"/>
      <c r="V11" s="70"/>
      <c r="W11" s="69"/>
      <c r="X11" s="70"/>
      <c r="Y11" s="69"/>
      <c r="Z11" s="70"/>
      <c r="AA11" s="69"/>
      <c r="AB11" s="70"/>
      <c r="AC11" s="54"/>
      <c r="AD11" s="2328" t="s">
        <v>2334</v>
      </c>
      <c r="AE11" s="998"/>
      <c r="AF11" s="2328" t="s">
        <v>2334</v>
      </c>
      <c r="AG11" s="998"/>
      <c r="AH11" s="2328" t="s">
        <v>2333</v>
      </c>
      <c r="AI11" s="2329"/>
      <c r="AJ11" s="2328" t="s">
        <v>2333</v>
      </c>
      <c r="AK11" s="2327"/>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t="str">
        <f>M10</f>
        <v>办公</v>
      </c>
      <c r="BE11" s="49" t="str">
        <f>O10</f>
        <v>车库</v>
      </c>
      <c r="BF11" s="49" t="str">
        <f>Q10</f>
        <v>仓储</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8" customFormat="1" ht="12.75">
      <c r="A12" s="71"/>
      <c r="B12" s="71"/>
      <c r="C12" s="71"/>
      <c r="D12" s="71"/>
      <c r="E12" s="71"/>
      <c r="F12" s="71"/>
      <c r="G12" s="72"/>
      <c r="H12" s="73"/>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4"/>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5"/>
      <c r="AU12" s="71"/>
      <c r="AV12" s="76"/>
      <c r="AW12" s="41"/>
      <c r="AX12" s="76"/>
      <c r="AY12" s="77"/>
      <c r="AZ12" s="61"/>
      <c r="BA12" s="66"/>
      <c r="BB12" s="52" t="str">
        <f>I11</f>
        <v>自住商品房</v>
      </c>
      <c r="BC12" s="78" t="str">
        <f>K11</f>
        <v>底商</v>
      </c>
      <c r="BD12" s="78" t="str">
        <f>M11</f>
        <v>办公楼</v>
      </c>
      <c r="BE12" s="49" t="str">
        <f>O11</f>
        <v>车库</v>
      </c>
      <c r="BF12" s="49" t="str">
        <f>Q11</f>
        <v>戊类库房</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8" customFormat="1" ht="15.75" customHeight="1">
      <c r="A13" s="3033"/>
      <c r="B13" s="3033"/>
      <c r="C13" s="3035" t="str">
        <f>面积表!E2</f>
        <v>自住型商品房</v>
      </c>
      <c r="D13" s="3034" t="s">
        <v>1680</v>
      </c>
      <c r="E13" s="26">
        <f t="shared" ref="E13:E20" si="6">IF($C$3="是",ROUND($A$3*G13/$B$3,2),ROUND($A$3*(G13-AT13)/$B$3,2))</f>
        <v>23046.51</v>
      </c>
      <c r="F13" s="80"/>
      <c r="G13" s="81">
        <f t="shared" ref="G13:G20" si="7">H13+AC13+AT13</f>
        <v>71612.7</v>
      </c>
      <c r="H13" s="32">
        <f t="shared" ref="H13:H20" si="8">SUMIF(I$12:AB$12,"总值",I13:AB13)</f>
        <v>71612.7</v>
      </c>
      <c r="I13" s="3036">
        <f>面积表!E40</f>
        <v>71612.7</v>
      </c>
      <c r="J13" s="3036"/>
      <c r="K13" s="3036"/>
      <c r="L13" s="3036"/>
      <c r="M13" s="3036"/>
      <c r="N13" s="82"/>
      <c r="O13" s="82"/>
      <c r="P13" s="82"/>
      <c r="Q13" s="82"/>
      <c r="R13" s="82"/>
      <c r="S13" s="82"/>
      <c r="T13" s="82"/>
      <c r="U13" s="82"/>
      <c r="V13" s="82"/>
      <c r="W13" s="82"/>
      <c r="X13" s="82"/>
      <c r="Y13" s="82"/>
      <c r="Z13" s="82"/>
      <c r="AA13" s="82"/>
      <c r="AB13" s="82"/>
      <c r="AC13" s="26">
        <f t="shared" ref="AC13:AC20" si="9">SUMIF(AD$12:AS$12,"总值",AD13:AS13)</f>
        <v>0</v>
      </c>
      <c r="AD13" s="3036"/>
      <c r="AE13" s="3036"/>
      <c r="AF13" s="3036"/>
      <c r="AG13" s="3036"/>
      <c r="AH13" s="3036"/>
      <c r="AI13" s="3036"/>
      <c r="AJ13" s="3036"/>
      <c r="AK13" s="3036"/>
      <c r="AL13" s="3036"/>
      <c r="AM13" s="3036"/>
      <c r="AN13" s="3036"/>
      <c r="AO13" s="3036"/>
      <c r="AP13" s="3036"/>
      <c r="AQ13" s="3040"/>
      <c r="AR13" s="3040"/>
      <c r="AS13" s="3040"/>
      <c r="AT13" s="3041"/>
      <c r="AU13" s="3042"/>
      <c r="AV13" s="17">
        <f t="shared" ref="AV13:AX20" si="10">A13</f>
        <v>0</v>
      </c>
      <c r="AW13" s="17">
        <f t="shared" si="10"/>
        <v>0</v>
      </c>
      <c r="AX13" s="17" t="str">
        <f t="shared" si="10"/>
        <v>自住型商品房</v>
      </c>
      <c r="AY13" s="992">
        <f t="shared" ref="AY13:AY20" si="11">ROUND($AY$6*AZ13/$AZ$5,2)</f>
        <v>23046.51</v>
      </c>
      <c r="AZ13" s="26">
        <f t="shared" ref="AZ13:AZ20" si="12">BA13+BL13</f>
        <v>71612.7</v>
      </c>
      <c r="BA13" s="26">
        <f t="shared" ref="BA13:BA20" si="13">SUM(BB13:BK13)</f>
        <v>71612.7</v>
      </c>
      <c r="BB13" s="26">
        <f t="shared" ref="BB13:BB20" si="14">IF($D13="是",I13-J13,0)</f>
        <v>71612.7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c r="B14" s="3033"/>
      <c r="C14" s="3035" t="str">
        <f>面积表!F2</f>
        <v>商业服务</v>
      </c>
      <c r="D14" s="3034" t="s">
        <v>1680</v>
      </c>
      <c r="E14" s="26">
        <f t="shared" si="6"/>
        <v>13.19</v>
      </c>
      <c r="F14" s="80"/>
      <c r="G14" s="81">
        <f t="shared" si="7"/>
        <v>41</v>
      </c>
      <c r="H14" s="32">
        <f t="shared" si="8"/>
        <v>41</v>
      </c>
      <c r="I14" s="3036"/>
      <c r="J14" s="3036"/>
      <c r="K14" s="3036">
        <f>面积表!F40</f>
        <v>41</v>
      </c>
      <c r="L14" s="3036"/>
      <c r="M14" s="3036"/>
      <c r="N14" s="3036"/>
      <c r="O14" s="3036"/>
      <c r="P14" s="3036"/>
      <c r="Q14" s="3036"/>
      <c r="R14" s="3036"/>
      <c r="S14" s="3036"/>
      <c r="T14" s="82"/>
      <c r="U14" s="82"/>
      <c r="V14" s="82"/>
      <c r="W14" s="82"/>
      <c r="X14" s="82"/>
      <c r="Y14" s="82"/>
      <c r="Z14" s="82"/>
      <c r="AA14" s="82"/>
      <c r="AB14" s="82"/>
      <c r="AC14" s="26">
        <f t="shared" si="9"/>
        <v>0</v>
      </c>
      <c r="AD14" s="3036"/>
      <c r="AE14" s="3036"/>
      <c r="AF14" s="3036"/>
      <c r="AG14" s="3036"/>
      <c r="AH14" s="3036"/>
      <c r="AI14" s="3036"/>
      <c r="AJ14" s="3036"/>
      <c r="AK14" s="3036"/>
      <c r="AL14" s="3036"/>
      <c r="AM14" s="3036"/>
      <c r="AN14" s="3036"/>
      <c r="AO14" s="3036"/>
      <c r="AP14" s="3036"/>
      <c r="AQ14" s="3040"/>
      <c r="AR14" s="3040"/>
      <c r="AS14" s="3040"/>
      <c r="AT14" s="3041"/>
      <c r="AU14" s="3042"/>
      <c r="AV14" s="17">
        <f t="shared" si="10"/>
        <v>0</v>
      </c>
      <c r="AW14" s="17">
        <f t="shared" si="10"/>
        <v>0</v>
      </c>
      <c r="AX14" s="17" t="str">
        <f t="shared" si="10"/>
        <v>商业服务</v>
      </c>
      <c r="AY14" s="992">
        <f t="shared" si="11"/>
        <v>13.19</v>
      </c>
      <c r="AZ14" s="26">
        <f t="shared" si="12"/>
        <v>41</v>
      </c>
      <c r="BA14" s="26">
        <f t="shared" si="13"/>
        <v>41</v>
      </c>
      <c r="BB14" s="26">
        <f t="shared" si="14"/>
        <v>0</v>
      </c>
      <c r="BC14" s="26">
        <f t="shared" si="15"/>
        <v>41</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5" t="str">
        <f>面积表!G2</f>
        <v>办公楼</v>
      </c>
      <c r="D15" s="3034" t="s">
        <v>1680</v>
      </c>
      <c r="E15" s="26">
        <f t="shared" si="6"/>
        <v>9900.1299999999992</v>
      </c>
      <c r="F15" s="80"/>
      <c r="G15" s="81">
        <f t="shared" si="7"/>
        <v>30762.799999999999</v>
      </c>
      <c r="H15" s="32">
        <f t="shared" si="8"/>
        <v>30762.799999999999</v>
      </c>
      <c r="I15" s="3036"/>
      <c r="J15" s="3036"/>
      <c r="K15" s="3036"/>
      <c r="L15" s="3036"/>
      <c r="M15" s="3036">
        <f>面积表!G40</f>
        <v>30762.799999999999</v>
      </c>
      <c r="N15" s="3036"/>
      <c r="O15" s="3036"/>
      <c r="P15" s="3036"/>
      <c r="Q15" s="3036"/>
      <c r="R15" s="3036"/>
      <c r="S15" s="3036"/>
      <c r="T15" s="82"/>
      <c r="U15" s="82"/>
      <c r="V15" s="82"/>
      <c r="W15" s="82"/>
      <c r="X15" s="82"/>
      <c r="Y15" s="82"/>
      <c r="Z15" s="82"/>
      <c r="AA15" s="82"/>
      <c r="AB15" s="82"/>
      <c r="AC15" s="26">
        <f t="shared" si="9"/>
        <v>0</v>
      </c>
      <c r="AD15" s="3036"/>
      <c r="AE15" s="3036"/>
      <c r="AF15" s="3036"/>
      <c r="AG15" s="3036"/>
      <c r="AH15" s="3036"/>
      <c r="AI15" s="3036"/>
      <c r="AJ15" s="3036"/>
      <c r="AK15" s="3036"/>
      <c r="AL15" s="3036"/>
      <c r="AM15" s="3036"/>
      <c r="AN15" s="3036"/>
      <c r="AO15" s="3036"/>
      <c r="AP15" s="3036"/>
      <c r="AQ15" s="3040"/>
      <c r="AR15" s="3040"/>
      <c r="AS15" s="3040"/>
      <c r="AT15" s="3041"/>
      <c r="AU15" s="3042"/>
      <c r="AV15" s="17">
        <f t="shared" si="10"/>
        <v>0</v>
      </c>
      <c r="AW15" s="17">
        <f t="shared" si="10"/>
        <v>0</v>
      </c>
      <c r="AX15" s="17" t="str">
        <f t="shared" si="10"/>
        <v>办公楼</v>
      </c>
      <c r="AY15" s="992">
        <f t="shared" si="11"/>
        <v>9900.1299999999992</v>
      </c>
      <c r="AZ15" s="26">
        <f t="shared" si="12"/>
        <v>30762.799999999999</v>
      </c>
      <c r="BA15" s="26">
        <f t="shared" si="13"/>
        <v>30762.799999999999</v>
      </c>
      <c r="BB15" s="26">
        <f t="shared" si="14"/>
        <v>0</v>
      </c>
      <c r="BC15" s="26">
        <f t="shared" si="15"/>
        <v>0</v>
      </c>
      <c r="BD15" s="26">
        <f t="shared" si="16"/>
        <v>30762.799999999999</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5" t="str">
        <f>面积表!I2</f>
        <v>设备用房</v>
      </c>
      <c r="D16" s="3034" t="s">
        <v>1680</v>
      </c>
      <c r="E16" s="26">
        <f t="shared" si="6"/>
        <v>0</v>
      </c>
      <c r="F16" s="80"/>
      <c r="G16" s="81">
        <f t="shared" si="7"/>
        <v>0</v>
      </c>
      <c r="H16" s="32">
        <f t="shared" si="8"/>
        <v>0</v>
      </c>
      <c r="I16" s="3036"/>
      <c r="J16" s="3036"/>
      <c r="K16" s="3036"/>
      <c r="L16" s="3036"/>
      <c r="M16" s="3036"/>
      <c r="N16" s="3036"/>
      <c r="O16" s="3036"/>
      <c r="P16" s="3036"/>
      <c r="Q16" s="3036"/>
      <c r="R16" s="3036"/>
      <c r="S16" s="3036"/>
      <c r="T16" s="82"/>
      <c r="U16" s="82"/>
      <c r="V16" s="82"/>
      <c r="W16" s="82"/>
      <c r="X16" s="82"/>
      <c r="Y16" s="82"/>
      <c r="Z16" s="82"/>
      <c r="AA16" s="82"/>
      <c r="AB16" s="82"/>
      <c r="AC16" s="26">
        <f t="shared" si="9"/>
        <v>0</v>
      </c>
      <c r="AD16" s="3036"/>
      <c r="AE16" s="3036"/>
      <c r="AF16" s="3036"/>
      <c r="AG16" s="3036"/>
      <c r="AH16" s="3036"/>
      <c r="AI16" s="3036"/>
      <c r="AJ16" s="3036"/>
      <c r="AK16" s="3036"/>
      <c r="AL16" s="3036"/>
      <c r="AM16" s="3036"/>
      <c r="AN16" s="3036"/>
      <c r="AO16" s="3036"/>
      <c r="AP16" s="3036"/>
      <c r="AQ16" s="3040"/>
      <c r="AR16" s="3040"/>
      <c r="AS16" s="3040"/>
      <c r="AT16" s="3041"/>
      <c r="AU16" s="3042"/>
      <c r="AV16" s="17">
        <f t="shared" si="10"/>
        <v>0</v>
      </c>
      <c r="AW16" s="17">
        <f t="shared" si="10"/>
        <v>0</v>
      </c>
      <c r="AX16" s="17" t="str">
        <f t="shared" si="10"/>
        <v>设备用房</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t="str">
        <f>面积表!J2</f>
        <v>人防用房</v>
      </c>
      <c r="D17" s="3034" t="s">
        <v>1680</v>
      </c>
      <c r="E17" s="26">
        <f t="shared" si="6"/>
        <v>0</v>
      </c>
      <c r="F17" s="80"/>
      <c r="G17" s="81">
        <f t="shared" si="7"/>
        <v>0</v>
      </c>
      <c r="H17" s="32">
        <f t="shared" si="8"/>
        <v>0</v>
      </c>
      <c r="I17" s="3036"/>
      <c r="J17" s="3036"/>
      <c r="K17" s="3036"/>
      <c r="L17" s="3036"/>
      <c r="M17" s="3036"/>
      <c r="N17" s="3036"/>
      <c r="O17" s="3036"/>
      <c r="P17" s="3036"/>
      <c r="Q17" s="3036"/>
      <c r="R17" s="3036"/>
      <c r="S17" s="3036"/>
      <c r="T17" s="82"/>
      <c r="U17" s="82"/>
      <c r="V17" s="82"/>
      <c r="W17" s="82"/>
      <c r="X17" s="82"/>
      <c r="Y17" s="82"/>
      <c r="Z17" s="82"/>
      <c r="AA17" s="82"/>
      <c r="AB17" s="82"/>
      <c r="AC17" s="26">
        <f t="shared" si="9"/>
        <v>0</v>
      </c>
      <c r="AD17" s="3036"/>
      <c r="AE17" s="3036"/>
      <c r="AF17" s="3036"/>
      <c r="AG17" s="3036"/>
      <c r="AH17" s="3036"/>
      <c r="AI17" s="3036"/>
      <c r="AJ17" s="3036"/>
      <c r="AK17" s="3036"/>
      <c r="AL17" s="3036"/>
      <c r="AM17" s="3036"/>
      <c r="AN17" s="3036"/>
      <c r="AO17" s="3036"/>
      <c r="AP17" s="3036"/>
      <c r="AQ17" s="3040"/>
      <c r="AR17" s="3040"/>
      <c r="AS17" s="3040"/>
      <c r="AT17" s="3041"/>
      <c r="AU17" s="3042"/>
      <c r="AV17" s="17">
        <f t="shared" si="10"/>
        <v>0</v>
      </c>
      <c r="AW17" s="17">
        <f t="shared" si="10"/>
        <v>0</v>
      </c>
      <c r="AX17" s="17" t="str">
        <f t="shared" si="10"/>
        <v>人防用房</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035" t="str">
        <f>面积表!L2</f>
        <v>地下车库</v>
      </c>
      <c r="D18" s="3034" t="s">
        <v>1680</v>
      </c>
      <c r="E18" s="86">
        <f t="shared" si="6"/>
        <v>12269.19</v>
      </c>
      <c r="F18" s="87"/>
      <c r="G18" s="88">
        <f t="shared" si="7"/>
        <v>38124.199999999997</v>
      </c>
      <c r="H18" s="89">
        <f t="shared" si="8"/>
        <v>38124.199999999997</v>
      </c>
      <c r="I18" s="1388"/>
      <c r="J18" s="90"/>
      <c r="K18" s="3036"/>
      <c r="L18" s="3036"/>
      <c r="M18" s="3036"/>
      <c r="N18" s="3036"/>
      <c r="O18" s="3036">
        <f>面积表!L40</f>
        <v>38124.199999999997</v>
      </c>
      <c r="P18" s="3036"/>
      <c r="Q18" s="3036"/>
      <c r="R18" s="3036"/>
      <c r="S18" s="3036"/>
      <c r="T18" s="90"/>
      <c r="U18" s="90"/>
      <c r="V18" s="90"/>
      <c r="W18" s="90"/>
      <c r="X18" s="90"/>
      <c r="Y18" s="90"/>
      <c r="Z18" s="90"/>
      <c r="AA18" s="90"/>
      <c r="AB18" s="90"/>
      <c r="AC18" s="86">
        <f t="shared" si="9"/>
        <v>0</v>
      </c>
      <c r="AD18" s="3036"/>
      <c r="AE18" s="3036"/>
      <c r="AF18" s="3036"/>
      <c r="AG18" s="3036"/>
      <c r="AH18" s="3036"/>
      <c r="AI18" s="3036"/>
      <c r="AJ18" s="3036"/>
      <c r="AK18" s="3036"/>
      <c r="AL18" s="3036"/>
      <c r="AM18" s="3036"/>
      <c r="AN18" s="3036"/>
      <c r="AO18" s="3036"/>
      <c r="AP18" s="3036"/>
      <c r="AQ18" s="91"/>
      <c r="AR18" s="91"/>
      <c r="AS18" s="91"/>
      <c r="AT18" s="92"/>
      <c r="AU18" s="93"/>
      <c r="AV18" s="988">
        <f t="shared" si="10"/>
        <v>0</v>
      </c>
      <c r="AW18" s="988">
        <f t="shared" si="10"/>
        <v>0</v>
      </c>
      <c r="AX18" s="988" t="str">
        <f t="shared" si="10"/>
        <v>地下车库</v>
      </c>
      <c r="AY18" s="94">
        <f t="shared" si="11"/>
        <v>12269.19</v>
      </c>
      <c r="AZ18" s="86">
        <f t="shared" si="12"/>
        <v>38124.199999999997</v>
      </c>
      <c r="BA18" s="86">
        <f t="shared" si="13"/>
        <v>38124.199999999997</v>
      </c>
      <c r="BB18" s="86">
        <f t="shared" si="14"/>
        <v>0</v>
      </c>
      <c r="BC18" s="86">
        <f t="shared" si="15"/>
        <v>0</v>
      </c>
      <c r="BD18" s="86">
        <f t="shared" si="16"/>
        <v>0</v>
      </c>
      <c r="BE18" s="86">
        <f t="shared" si="17"/>
        <v>38124.199999999997</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3035" t="str">
        <f>面积表!M2</f>
        <v>戊类库房</v>
      </c>
      <c r="D19" s="3034" t="s">
        <v>1680</v>
      </c>
      <c r="E19" s="86">
        <f t="shared" si="6"/>
        <v>2067.96</v>
      </c>
      <c r="F19" s="87"/>
      <c r="G19" s="88">
        <f t="shared" si="7"/>
        <v>6425.8</v>
      </c>
      <c r="H19" s="89">
        <f t="shared" si="8"/>
        <v>6425.8</v>
      </c>
      <c r="I19" s="1388"/>
      <c r="J19" s="90"/>
      <c r="K19" s="3036"/>
      <c r="L19" s="3036"/>
      <c r="M19" s="3036"/>
      <c r="N19" s="3036"/>
      <c r="O19" s="3036"/>
      <c r="P19" s="3036"/>
      <c r="Q19" s="3036">
        <f>面积表!M40</f>
        <v>6425.8</v>
      </c>
      <c r="R19" s="3036"/>
      <c r="S19" s="3036"/>
      <c r="T19" s="90"/>
      <c r="U19" s="90"/>
      <c r="V19" s="90"/>
      <c r="W19" s="90"/>
      <c r="X19" s="90"/>
      <c r="Y19" s="90"/>
      <c r="Z19" s="90"/>
      <c r="AA19" s="90"/>
      <c r="AB19" s="90"/>
      <c r="AC19" s="86">
        <f t="shared" si="9"/>
        <v>0</v>
      </c>
      <c r="AD19" s="3036"/>
      <c r="AE19" s="3036"/>
      <c r="AF19" s="3036"/>
      <c r="AG19" s="3036"/>
      <c r="AH19" s="3036"/>
      <c r="AI19" s="3036"/>
      <c r="AJ19" s="3036"/>
      <c r="AK19" s="3036"/>
      <c r="AL19" s="3036"/>
      <c r="AM19" s="3036"/>
      <c r="AN19" s="3036"/>
      <c r="AO19" s="3036"/>
      <c r="AP19" s="3036"/>
      <c r="AQ19" s="91"/>
      <c r="AR19" s="3036"/>
      <c r="AS19" s="3036"/>
      <c r="AT19" s="3036"/>
      <c r="AU19" s="93"/>
      <c r="AV19" s="988">
        <f t="shared" si="10"/>
        <v>0</v>
      </c>
      <c r="AW19" s="988">
        <f t="shared" si="10"/>
        <v>0</v>
      </c>
      <c r="AX19" s="988" t="str">
        <f t="shared" si="10"/>
        <v>戊类库房</v>
      </c>
      <c r="AY19" s="94">
        <f t="shared" si="11"/>
        <v>2067.96</v>
      </c>
      <c r="AZ19" s="86">
        <f t="shared" si="12"/>
        <v>6425.8</v>
      </c>
      <c r="BA19" s="86">
        <f t="shared" si="13"/>
        <v>6425.8</v>
      </c>
      <c r="BB19" s="86">
        <f t="shared" si="14"/>
        <v>0</v>
      </c>
      <c r="BC19" s="86">
        <f t="shared" si="15"/>
        <v>0</v>
      </c>
      <c r="BD19" s="86">
        <f t="shared" si="16"/>
        <v>0</v>
      </c>
      <c r="BE19" s="86">
        <f t="shared" si="17"/>
        <v>0</v>
      </c>
      <c r="BF19" s="86">
        <f t="shared" si="18"/>
        <v>6425.8</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3035" t="s">
        <v>3282</v>
      </c>
      <c r="D20" s="3034" t="s">
        <v>1680</v>
      </c>
      <c r="E20" s="86">
        <f t="shared" si="6"/>
        <v>13077.38</v>
      </c>
      <c r="F20" s="87"/>
      <c r="G20" s="88">
        <f t="shared" si="7"/>
        <v>40635.5</v>
      </c>
      <c r="H20" s="89">
        <f t="shared" si="8"/>
        <v>0</v>
      </c>
      <c r="I20" s="1388"/>
      <c r="J20" s="90"/>
      <c r="K20" s="3036"/>
      <c r="L20" s="3036"/>
      <c r="M20" s="3036"/>
      <c r="N20" s="3036"/>
      <c r="O20" s="3036"/>
      <c r="P20" s="3036"/>
      <c r="Q20" s="3036"/>
      <c r="R20" s="3036"/>
      <c r="S20" s="3036"/>
      <c r="T20" s="90"/>
      <c r="U20" s="90"/>
      <c r="V20" s="90"/>
      <c r="W20" s="90"/>
      <c r="X20" s="90"/>
      <c r="Y20" s="90"/>
      <c r="Z20" s="90"/>
      <c r="AA20" s="90"/>
      <c r="AB20" s="90"/>
      <c r="AC20" s="86">
        <f t="shared" si="9"/>
        <v>30866.2</v>
      </c>
      <c r="AD20" s="3036"/>
      <c r="AE20" s="3036"/>
      <c r="AF20" s="3036">
        <f>面积表!P40</f>
        <v>14.3</v>
      </c>
      <c r="AG20" s="3036"/>
      <c r="AH20" s="3036">
        <f>面积表!H40</f>
        <v>100</v>
      </c>
      <c r="AI20" s="3036"/>
      <c r="AJ20" s="3036">
        <f>面积表!O40</f>
        <v>50</v>
      </c>
      <c r="AK20" s="3036"/>
      <c r="AL20" s="3036">
        <f>面积表!I40</f>
        <v>62.2</v>
      </c>
      <c r="AM20" s="3036"/>
      <c r="AN20" s="3036">
        <f>面积表!N40</f>
        <v>30639.7</v>
      </c>
      <c r="AO20" s="3036"/>
      <c r="AP20" s="3036"/>
      <c r="AQ20" s="91"/>
      <c r="AR20" s="3036"/>
      <c r="AS20" s="3036"/>
      <c r="AT20" s="3036">
        <f>面积表!J40+面积表!Q40</f>
        <v>9769.2999999999993</v>
      </c>
      <c r="AU20" s="93"/>
      <c r="AV20" s="988">
        <f t="shared" si="10"/>
        <v>0</v>
      </c>
      <c r="AW20" s="988">
        <f t="shared" si="10"/>
        <v>0</v>
      </c>
      <c r="AX20" s="988" t="str">
        <f t="shared" si="10"/>
        <v>公共配套</v>
      </c>
      <c r="AY20" s="94">
        <f t="shared" si="11"/>
        <v>9933.41</v>
      </c>
      <c r="AZ20" s="86">
        <f t="shared" si="12"/>
        <v>30866.2</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30866.2</v>
      </c>
      <c r="BM20" s="86">
        <f t="shared" si="25"/>
        <v>0</v>
      </c>
      <c r="BN20" s="86">
        <f t="shared" si="26"/>
        <v>14.3</v>
      </c>
      <c r="BO20" s="86">
        <f t="shared" si="27"/>
        <v>100</v>
      </c>
      <c r="BP20" s="86">
        <f t="shared" si="28"/>
        <v>50</v>
      </c>
      <c r="BQ20" s="86">
        <f t="shared" si="29"/>
        <v>62.2</v>
      </c>
      <c r="BR20" s="86">
        <f t="shared" si="30"/>
        <v>30639.7</v>
      </c>
      <c r="BS20" s="86">
        <f t="shared" si="31"/>
        <v>0</v>
      </c>
      <c r="BT20" s="95">
        <f t="shared" si="32"/>
        <v>0</v>
      </c>
    </row>
    <row r="21" spans="1:72">
      <c r="A21" s="83"/>
      <c r="B21" s="1387"/>
      <c r="C21" s="3035"/>
      <c r="D21" s="79"/>
      <c r="E21" s="86">
        <f t="shared" ref="E21:E112" si="33">IF($C$3="是",ROUND($A$3*G21/$B$3,2),ROUND($A$3*(G21-AT21)/$B$3,2))</f>
        <v>0</v>
      </c>
      <c r="F21" s="87"/>
      <c r="G21" s="88">
        <f t="shared" ref="G21:G109" si="34">H21+AC21+AT21</f>
        <v>0</v>
      </c>
      <c r="H21" s="89">
        <f t="shared" ref="H21:H109" si="35">SUMIF(I$12:AB$12,"总值",I21:AB21)</f>
        <v>0</v>
      </c>
      <c r="I21" s="1390"/>
      <c r="J21" s="90"/>
      <c r="K21" s="3036"/>
      <c r="L21" s="3036"/>
      <c r="M21" s="3036"/>
      <c r="N21" s="3036"/>
      <c r="O21" s="3036"/>
      <c r="P21" s="3036"/>
      <c r="Q21" s="3036"/>
      <c r="R21" s="3036"/>
      <c r="S21" s="3036"/>
      <c r="T21" s="90"/>
      <c r="U21" s="90"/>
      <c r="V21" s="90"/>
      <c r="W21" s="90"/>
      <c r="X21" s="90"/>
      <c r="Y21" s="90"/>
      <c r="Z21" s="90"/>
      <c r="AA21" s="90"/>
      <c r="AB21" s="90"/>
      <c r="AC21" s="86">
        <f t="shared" ref="AC21:AC109" si="36">SUMIF(AD$12:AS$12,"总值",AD21:AS21)</f>
        <v>0</v>
      </c>
      <c r="AD21" s="3036"/>
      <c r="AE21" s="3036"/>
      <c r="AF21" s="3036"/>
      <c r="AG21" s="3036"/>
      <c r="AH21" s="3036"/>
      <c r="AI21" s="3036"/>
      <c r="AJ21" s="3036"/>
      <c r="AK21" s="3036"/>
      <c r="AL21" s="3036"/>
      <c r="AM21" s="3036"/>
      <c r="AN21" s="3036"/>
      <c r="AO21" s="3036"/>
      <c r="AP21" s="3036"/>
      <c r="AQ21" s="91"/>
      <c r="AR21" s="3036"/>
      <c r="AS21" s="3036"/>
      <c r="AT21" s="3036"/>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3035"/>
      <c r="D22" s="79"/>
      <c r="E22" s="86">
        <f t="shared" si="33"/>
        <v>0</v>
      </c>
      <c r="F22" s="87"/>
      <c r="G22" s="88">
        <f t="shared" si="34"/>
        <v>0</v>
      </c>
      <c r="H22" s="89">
        <f t="shared" si="35"/>
        <v>0</v>
      </c>
      <c r="I22" s="1390"/>
      <c r="J22" s="90"/>
      <c r="K22" s="3036"/>
      <c r="L22" s="3036"/>
      <c r="M22" s="3036"/>
      <c r="N22" s="3036"/>
      <c r="O22" s="3036"/>
      <c r="P22" s="3036"/>
      <c r="Q22" s="3036"/>
      <c r="R22" s="3036"/>
      <c r="S22" s="3036"/>
      <c r="T22" s="90"/>
      <c r="U22" s="90"/>
      <c r="V22" s="90"/>
      <c r="W22" s="90"/>
      <c r="X22" s="90"/>
      <c r="Y22" s="90"/>
      <c r="Z22" s="90"/>
      <c r="AA22" s="90"/>
      <c r="AB22" s="90"/>
      <c r="AC22" s="86">
        <f t="shared" si="36"/>
        <v>0</v>
      </c>
      <c r="AD22" s="3036"/>
      <c r="AE22" s="3036"/>
      <c r="AF22" s="3036"/>
      <c r="AG22" s="3036"/>
      <c r="AH22" s="3036"/>
      <c r="AI22" s="3036"/>
      <c r="AJ22" s="3036"/>
      <c r="AK22" s="3036"/>
      <c r="AL22" s="3036"/>
      <c r="AM22" s="3036"/>
      <c r="AN22" s="3036"/>
      <c r="AO22" s="3036"/>
      <c r="AP22" s="3036"/>
      <c r="AQ22" s="91"/>
      <c r="AR22" s="3036"/>
      <c r="AS22" s="3036"/>
      <c r="AT22" s="3036"/>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60"/>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60"/>
      <c r="AM23" s="91"/>
      <c r="AN23" s="1360"/>
      <c r="AO23" s="91"/>
      <c r="AP23" s="91"/>
      <c r="AQ23" s="91"/>
      <c r="AR23" s="3036"/>
      <c r="AS23" s="3036"/>
      <c r="AT23" s="3036"/>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60"/>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60"/>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60"/>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1"/>
      <c r="AG114" s="91"/>
      <c r="AH114" s="91"/>
      <c r="AI114" s="91"/>
      <c r="AJ114" s="91"/>
      <c r="AK114" s="91"/>
      <c r="AL114" s="1360"/>
      <c r="AM114" s="91"/>
      <c r="AN114" s="1360"/>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60"/>
      <c r="AM115" s="91"/>
      <c r="AN115" s="1360"/>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60"/>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60"/>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1"/>
      <c r="AG206" s="91"/>
      <c r="AH206" s="91"/>
      <c r="AI206" s="91"/>
      <c r="AJ206" s="91"/>
      <c r="AK206" s="91"/>
      <c r="AL206" s="1360"/>
      <c r="AM206" s="91"/>
      <c r="AN206" s="1360"/>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60"/>
      <c r="AM207" s="91"/>
      <c r="AN207" s="1360"/>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60"/>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60"/>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1"/>
      <c r="AG298" s="91"/>
      <c r="AH298" s="91"/>
      <c r="AI298" s="91"/>
      <c r="AJ298" s="91"/>
      <c r="AK298" s="91"/>
      <c r="AL298" s="1360"/>
      <c r="AM298" s="91"/>
      <c r="AN298" s="1360"/>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60"/>
      <c r="AM299" s="91"/>
      <c r="AN299" s="1360"/>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60"/>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60"/>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1"/>
      <c r="AG390" s="91"/>
      <c r="AH390" s="91"/>
      <c r="AI390" s="91"/>
      <c r="AJ390" s="91"/>
      <c r="AK390" s="91"/>
      <c r="AL390" s="1360"/>
      <c r="AM390" s="91"/>
      <c r="AN390" s="1360"/>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60"/>
      <c r="AM391" s="91"/>
      <c r="AN391" s="1360"/>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60"/>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1"/>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F23" sqref="F23"/>
    </sheetView>
  </sheetViews>
  <sheetFormatPr defaultRowHeight="13.5"/>
  <cols>
    <col min="1" max="1" width="9" style="3484"/>
    <col min="2" max="2" width="24.75" style="3484" customWidth="1"/>
    <col min="3" max="3" width="10.5" style="3488" bestFit="1" customWidth="1"/>
    <col min="4" max="7" width="9.125" style="3484" bestFit="1" customWidth="1"/>
    <col min="8" max="8" width="9" style="3484"/>
    <col min="9" max="10" width="9.125" style="3484" bestFit="1" customWidth="1"/>
    <col min="11" max="11" width="9.5" style="3488" bestFit="1" customWidth="1"/>
    <col min="12" max="12" width="9.125" style="3484" bestFit="1" customWidth="1"/>
    <col min="13" max="13" width="9" style="3484"/>
    <col min="14" max="14" width="9.5" style="3484" bestFit="1" customWidth="1"/>
    <col min="15" max="15" width="9.125" style="3484" bestFit="1" customWidth="1"/>
    <col min="16" max="16" width="9" style="3484"/>
    <col min="17" max="17" width="9.125" style="3484" bestFit="1" customWidth="1"/>
    <col min="18" max="16384" width="9" style="3484"/>
  </cols>
  <sheetData>
    <row r="1" spans="1:17" ht="13.5" customHeight="1">
      <c r="A1" s="3597" t="s">
        <v>3217</v>
      </c>
      <c r="B1" s="3597" t="s">
        <v>3218</v>
      </c>
      <c r="C1" s="3597" t="s">
        <v>3219</v>
      </c>
      <c r="D1" s="3481" t="s">
        <v>3220</v>
      </c>
      <c r="E1" s="3482"/>
      <c r="F1" s="3482"/>
      <c r="G1" s="3482"/>
      <c r="H1" s="3482"/>
      <c r="I1" s="3483"/>
      <c r="J1" s="3482"/>
      <c r="K1" s="3481" t="s">
        <v>3221</v>
      </c>
      <c r="L1" s="3482"/>
      <c r="M1" s="3482"/>
      <c r="N1" s="3482"/>
      <c r="O1" s="3482"/>
      <c r="P1" s="3482"/>
      <c r="Q1" s="3483"/>
    </row>
    <row r="2" spans="1:17" ht="24">
      <c r="A2" s="3597"/>
      <c r="B2" s="3597"/>
      <c r="C2" s="3597"/>
      <c r="D2" s="3485" t="s">
        <v>3222</v>
      </c>
      <c r="E2" s="3485" t="s">
        <v>3233</v>
      </c>
      <c r="F2" s="3485" t="s">
        <v>3223</v>
      </c>
      <c r="G2" s="3485" t="s">
        <v>3247</v>
      </c>
      <c r="H2" s="3485" t="s">
        <v>3240</v>
      </c>
      <c r="I2" s="3485" t="s">
        <v>3224</v>
      </c>
      <c r="J2" s="3485" t="s">
        <v>3225</v>
      </c>
      <c r="K2" s="3485" t="s">
        <v>3222</v>
      </c>
      <c r="L2" s="3485" t="s">
        <v>3226</v>
      </c>
      <c r="M2" s="3485" t="s">
        <v>3236</v>
      </c>
      <c r="N2" s="3485" t="s">
        <v>3224</v>
      </c>
      <c r="O2" s="3485" t="s">
        <v>3240</v>
      </c>
      <c r="P2" s="3485" t="s">
        <v>3241</v>
      </c>
      <c r="Q2" s="3485" t="s">
        <v>3227</v>
      </c>
    </row>
    <row r="3" spans="1:17" ht="13.5" customHeight="1">
      <c r="A3" s="3597" t="s">
        <v>3231</v>
      </c>
      <c r="B3" s="3485" t="s">
        <v>3234</v>
      </c>
      <c r="C3" s="3485">
        <f t="shared" ref="C3:C9" si="0">D3+K3</f>
        <v>18642.599999999999</v>
      </c>
      <c r="D3" s="3486">
        <f>SUM(E3:J3)</f>
        <v>16439</v>
      </c>
      <c r="E3" s="3486">
        <v>16428.7</v>
      </c>
      <c r="F3" s="3486"/>
      <c r="G3" s="3486"/>
      <c r="H3" s="3486"/>
      <c r="I3" s="3486"/>
      <c r="J3" s="3486">
        <v>10.3</v>
      </c>
      <c r="K3" s="3485">
        <f>SUM(L3:Q3)</f>
        <v>2203.6</v>
      </c>
      <c r="L3" s="3486"/>
      <c r="M3" s="3486">
        <v>1306</v>
      </c>
      <c r="N3" s="3486">
        <f>869+14.3+14.3</f>
        <v>897.59999999999991</v>
      </c>
      <c r="O3" s="3486"/>
      <c r="P3" s="3486"/>
      <c r="Q3" s="3486"/>
    </row>
    <row r="4" spans="1:17" ht="13.5" customHeight="1">
      <c r="A4" s="3597"/>
      <c r="B4" s="3485" t="s">
        <v>3237</v>
      </c>
      <c r="C4" s="3485">
        <f t="shared" si="0"/>
        <v>15546.2</v>
      </c>
      <c r="D4" s="3486">
        <f t="shared" ref="D4:D11" si="1">SUM(E4:J4)</f>
        <v>13733.5</v>
      </c>
      <c r="E4" s="3486">
        <v>13701.3</v>
      </c>
      <c r="F4" s="3486"/>
      <c r="G4" s="3486"/>
      <c r="H4" s="3486"/>
      <c r="I4" s="3486">
        <v>32.200000000000003</v>
      </c>
      <c r="J4" s="3486"/>
      <c r="K4" s="3485">
        <f t="shared" ref="K4:K36" si="2">SUM(L4:Q4)</f>
        <v>1812.6999999999998</v>
      </c>
      <c r="L4" s="3486"/>
      <c r="M4" s="3486">
        <v>1091</v>
      </c>
      <c r="N4" s="3486">
        <f>671+14.3+36.4</f>
        <v>721.69999999999993</v>
      </c>
      <c r="O4" s="3486"/>
      <c r="P4" s="3486"/>
      <c r="Q4" s="3486"/>
    </row>
    <row r="5" spans="1:17" ht="13.5" customHeight="1">
      <c r="A5" s="3597"/>
      <c r="B5" s="3485" t="s">
        <v>3238</v>
      </c>
      <c r="C5" s="3485">
        <f t="shared" si="0"/>
        <v>18574.3</v>
      </c>
      <c r="D5" s="3486">
        <f t="shared" si="1"/>
        <v>16428.7</v>
      </c>
      <c r="E5" s="3486">
        <v>16428.7</v>
      </c>
      <c r="F5" s="3486"/>
      <c r="G5" s="3486"/>
      <c r="H5" s="3486"/>
      <c r="I5" s="3486"/>
      <c r="J5" s="3486"/>
      <c r="K5" s="3485">
        <f t="shared" si="2"/>
        <v>2145.6</v>
      </c>
      <c r="L5" s="3486"/>
      <c r="M5" s="3486">
        <v>1306</v>
      </c>
      <c r="N5" s="3486">
        <f>14.3+811+14.3</f>
        <v>839.59999999999991</v>
      </c>
      <c r="O5" s="3486"/>
      <c r="P5" s="3486"/>
      <c r="Q5" s="3486"/>
    </row>
    <row r="6" spans="1:17" ht="13.5" customHeight="1">
      <c r="A6" s="3597"/>
      <c r="B6" s="3485" t="s">
        <v>3239</v>
      </c>
      <c r="C6" s="3485">
        <f t="shared" si="0"/>
        <v>11296.6</v>
      </c>
      <c r="D6" s="3486">
        <f t="shared" si="1"/>
        <v>9610</v>
      </c>
      <c r="E6" s="3486">
        <v>9610</v>
      </c>
      <c r="F6" s="3486"/>
      <c r="G6" s="3486"/>
      <c r="H6" s="3486"/>
      <c r="I6" s="3486"/>
      <c r="J6" s="3486"/>
      <c r="K6" s="3485">
        <f>SUM(L6:Q6)</f>
        <v>1686.6</v>
      </c>
      <c r="L6" s="3486"/>
      <c r="M6" s="3486">
        <v>1322.8</v>
      </c>
      <c r="N6" s="3486">
        <f>285+14.4+14.4</f>
        <v>313.79999999999995</v>
      </c>
      <c r="O6" s="3486">
        <v>50</v>
      </c>
      <c r="P6" s="3486"/>
      <c r="Q6" s="3486"/>
    </row>
    <row r="7" spans="1:17" ht="13.5" customHeight="1">
      <c r="A7" s="3597"/>
      <c r="B7" s="3485" t="s">
        <v>3242</v>
      </c>
      <c r="C7" s="3485">
        <f t="shared" si="0"/>
        <v>320</v>
      </c>
      <c r="D7" s="3486">
        <f t="shared" si="1"/>
        <v>141</v>
      </c>
      <c r="E7" s="3486"/>
      <c r="F7" s="3486">
        <v>41</v>
      </c>
      <c r="G7" s="3486"/>
      <c r="H7" s="3486">
        <v>100</v>
      </c>
      <c r="I7" s="3486"/>
      <c r="J7" s="3486"/>
      <c r="K7" s="3485">
        <f t="shared" si="2"/>
        <v>179</v>
      </c>
      <c r="L7" s="3486"/>
      <c r="M7" s="3486"/>
      <c r="N7" s="3486">
        <v>179</v>
      </c>
      <c r="O7" s="3486"/>
      <c r="P7" s="3486"/>
      <c r="Q7" s="3486"/>
    </row>
    <row r="8" spans="1:17" ht="13.5" customHeight="1">
      <c r="A8" s="3597"/>
      <c r="B8" s="3485" t="s">
        <v>3243</v>
      </c>
      <c r="C8" s="3485">
        <f t="shared" si="0"/>
        <v>30</v>
      </c>
      <c r="D8" s="3486">
        <f t="shared" si="1"/>
        <v>30</v>
      </c>
      <c r="E8" s="3486"/>
      <c r="F8" s="3486"/>
      <c r="G8" s="3486"/>
      <c r="H8" s="3486"/>
      <c r="I8" s="3486">
        <v>30</v>
      </c>
      <c r="J8" s="3486"/>
      <c r="K8" s="3485">
        <f t="shared" si="2"/>
        <v>0</v>
      </c>
      <c r="L8" s="3486"/>
      <c r="M8" s="3486"/>
      <c r="N8" s="3486"/>
      <c r="O8" s="3486"/>
      <c r="P8" s="3486"/>
      <c r="Q8" s="3486"/>
    </row>
    <row r="9" spans="1:17" ht="13.5" customHeight="1">
      <c r="A9" s="3597"/>
      <c r="B9" s="3485" t="s">
        <v>3244</v>
      </c>
      <c r="C9" s="3485">
        <f t="shared" si="0"/>
        <v>28366</v>
      </c>
      <c r="D9" s="3486">
        <f t="shared" si="1"/>
        <v>47</v>
      </c>
      <c r="E9" s="3486"/>
      <c r="F9" s="3486"/>
      <c r="G9" s="3486"/>
      <c r="H9" s="3486"/>
      <c r="I9" s="3486"/>
      <c r="J9" s="3486">
        <v>47</v>
      </c>
      <c r="K9" s="3485">
        <f t="shared" si="2"/>
        <v>28319</v>
      </c>
      <c r="L9" s="3486">
        <v>15909</v>
      </c>
      <c r="M9" s="3486"/>
      <c r="N9" s="3486">
        <f>1998+300+400</f>
        <v>2698</v>
      </c>
      <c r="O9" s="3486"/>
      <c r="P9" s="3486"/>
      <c r="Q9" s="3486">
        <v>9712</v>
      </c>
    </row>
    <row r="10" spans="1:17" ht="13.5" customHeight="1">
      <c r="A10" s="3597"/>
      <c r="B10" s="3487" t="s">
        <v>3228</v>
      </c>
      <c r="C10" s="3487">
        <f>SUM(C3:C9)</f>
        <v>92775.700000000012</v>
      </c>
      <c r="D10" s="3487">
        <f>SUM(D3:D9)</f>
        <v>56429.2</v>
      </c>
      <c r="E10" s="3487">
        <f>SUM(E3:E9)</f>
        <v>56168.7</v>
      </c>
      <c r="F10" s="3487">
        <f>SUM(F3:F9)</f>
        <v>41</v>
      </c>
      <c r="G10" s="3487">
        <f t="shared" ref="G10:J10" si="3">SUM(G3:G9)</f>
        <v>0</v>
      </c>
      <c r="H10" s="3487">
        <f t="shared" si="3"/>
        <v>100</v>
      </c>
      <c r="I10" s="3487">
        <f t="shared" si="3"/>
        <v>62.2</v>
      </c>
      <c r="J10" s="3487">
        <f t="shared" si="3"/>
        <v>57.3</v>
      </c>
      <c r="K10" s="3487">
        <f>SUM(K3:K9)</f>
        <v>36346.5</v>
      </c>
      <c r="L10" s="3487">
        <f t="shared" ref="L10:Q10" si="4">SUM(L3:L9)</f>
        <v>15909</v>
      </c>
      <c r="M10" s="3487">
        <f t="shared" si="4"/>
        <v>5025.8</v>
      </c>
      <c r="N10" s="3487">
        <f t="shared" si="4"/>
        <v>5649.7</v>
      </c>
      <c r="O10" s="3487">
        <f t="shared" si="4"/>
        <v>50</v>
      </c>
      <c r="P10" s="3487">
        <f t="shared" si="4"/>
        <v>0</v>
      </c>
      <c r="Q10" s="3487">
        <f t="shared" si="4"/>
        <v>9712</v>
      </c>
    </row>
    <row r="11" spans="1:17" ht="13.5" customHeight="1">
      <c r="A11" s="3598" t="s">
        <v>3245</v>
      </c>
      <c r="B11" s="3485" t="s">
        <v>3248</v>
      </c>
      <c r="C11" s="3485">
        <f t="shared" ref="C11:C25" si="5">SUM(D11,K11)</f>
        <v>2120.8000000000002</v>
      </c>
      <c r="D11" s="3486">
        <f t="shared" si="1"/>
        <v>1125.8</v>
      </c>
      <c r="E11" s="3485"/>
      <c r="F11" s="3486"/>
      <c r="G11" s="3486">
        <v>1125.8</v>
      </c>
      <c r="H11" s="3486"/>
      <c r="I11" s="3486"/>
      <c r="J11" s="3486"/>
      <c r="K11" s="3485">
        <f t="shared" si="2"/>
        <v>995</v>
      </c>
      <c r="L11" s="3485"/>
      <c r="M11" s="3485"/>
      <c r="N11" s="3486">
        <v>995</v>
      </c>
      <c r="O11" s="3486"/>
      <c r="P11" s="3486"/>
      <c r="Q11" s="3485"/>
    </row>
    <row r="12" spans="1:17" ht="13.5" customHeight="1">
      <c r="A12" s="3599"/>
      <c r="B12" s="3485" t="s">
        <v>3249</v>
      </c>
      <c r="C12" s="3485">
        <f t="shared" si="5"/>
        <v>2314</v>
      </c>
      <c r="D12" s="3486">
        <f t="shared" ref="D12:D25" si="6">SUM(E12:J12)</f>
        <v>1633</v>
      </c>
      <c r="E12" s="3485"/>
      <c r="F12" s="3486"/>
      <c r="G12" s="3486">
        <v>1633</v>
      </c>
      <c r="H12" s="3486"/>
      <c r="I12" s="3486"/>
      <c r="J12" s="3486"/>
      <c r="K12" s="3485">
        <f t="shared" si="2"/>
        <v>681</v>
      </c>
      <c r="L12" s="3485"/>
      <c r="M12" s="3485"/>
      <c r="N12" s="3486">
        <v>681</v>
      </c>
      <c r="O12" s="3486"/>
      <c r="P12" s="3486"/>
      <c r="Q12" s="3485"/>
    </row>
    <row r="13" spans="1:17" ht="13.5" customHeight="1">
      <c r="A13" s="3599"/>
      <c r="B13" s="3485" t="s">
        <v>3250</v>
      </c>
      <c r="C13" s="3485">
        <f t="shared" si="5"/>
        <v>2314</v>
      </c>
      <c r="D13" s="3486">
        <f t="shared" si="6"/>
        <v>1633</v>
      </c>
      <c r="E13" s="3485"/>
      <c r="F13" s="3486"/>
      <c r="G13" s="3486">
        <v>1633</v>
      </c>
      <c r="H13" s="3486"/>
      <c r="I13" s="3486"/>
      <c r="J13" s="3486"/>
      <c r="K13" s="3485">
        <f t="shared" si="2"/>
        <v>681</v>
      </c>
      <c r="L13" s="3485"/>
      <c r="M13" s="3485"/>
      <c r="N13" s="3486">
        <v>681</v>
      </c>
      <c r="O13" s="3486"/>
      <c r="P13" s="3486"/>
      <c r="Q13" s="3485"/>
    </row>
    <row r="14" spans="1:17" ht="13.5" customHeight="1">
      <c r="A14" s="3599"/>
      <c r="B14" s="3485" t="s">
        <v>3251</v>
      </c>
      <c r="C14" s="3485">
        <f t="shared" si="5"/>
        <v>2314</v>
      </c>
      <c r="D14" s="3486">
        <f t="shared" si="6"/>
        <v>1633</v>
      </c>
      <c r="E14" s="3485"/>
      <c r="F14" s="3486"/>
      <c r="G14" s="3486">
        <v>1633</v>
      </c>
      <c r="H14" s="3486"/>
      <c r="I14" s="3486"/>
      <c r="J14" s="3486"/>
      <c r="K14" s="3485">
        <f t="shared" si="2"/>
        <v>681</v>
      </c>
      <c r="L14" s="3485"/>
      <c r="M14" s="3485"/>
      <c r="N14" s="3486">
        <v>681</v>
      </c>
      <c r="O14" s="3486"/>
      <c r="P14" s="3486"/>
      <c r="Q14" s="3485"/>
    </row>
    <row r="15" spans="1:17" ht="13.5" customHeight="1">
      <c r="A15" s="3599"/>
      <c r="B15" s="3485" t="s">
        <v>3252</v>
      </c>
      <c r="C15" s="3485">
        <f t="shared" si="5"/>
        <v>2314</v>
      </c>
      <c r="D15" s="3486">
        <f t="shared" si="6"/>
        <v>1633</v>
      </c>
      <c r="E15" s="3485"/>
      <c r="F15" s="3486"/>
      <c r="G15" s="3486">
        <v>1633</v>
      </c>
      <c r="H15" s="3486"/>
      <c r="I15" s="3486"/>
      <c r="J15" s="3486"/>
      <c r="K15" s="3485">
        <f t="shared" si="2"/>
        <v>681</v>
      </c>
      <c r="L15" s="3485"/>
      <c r="M15" s="3485"/>
      <c r="N15" s="3486">
        <v>681</v>
      </c>
      <c r="O15" s="3485"/>
      <c r="P15" s="3485"/>
      <c r="Q15" s="3485"/>
    </row>
    <row r="16" spans="1:17" ht="13.5" customHeight="1">
      <c r="A16" s="3599"/>
      <c r="B16" s="3485" t="s">
        <v>3253</v>
      </c>
      <c r="C16" s="3485">
        <f t="shared" si="5"/>
        <v>2314</v>
      </c>
      <c r="D16" s="3486">
        <f t="shared" si="6"/>
        <v>1633</v>
      </c>
      <c r="E16" s="3485"/>
      <c r="F16" s="3485"/>
      <c r="G16" s="3486">
        <v>1633</v>
      </c>
      <c r="H16" s="3485"/>
      <c r="I16" s="3485"/>
      <c r="J16" s="3485"/>
      <c r="K16" s="3485">
        <f t="shared" si="2"/>
        <v>681</v>
      </c>
      <c r="L16" s="3485"/>
      <c r="M16" s="3485"/>
      <c r="N16" s="3486">
        <v>681</v>
      </c>
      <c r="O16" s="3485"/>
      <c r="P16" s="3485"/>
      <c r="Q16" s="3485"/>
    </row>
    <row r="17" spans="1:17" ht="13.5" customHeight="1">
      <c r="A17" s="3599"/>
      <c r="B17" s="3485" t="s">
        <v>3254</v>
      </c>
      <c r="C17" s="3485">
        <f t="shared" si="5"/>
        <v>2122</v>
      </c>
      <c r="D17" s="3486">
        <f t="shared" si="6"/>
        <v>1073</v>
      </c>
      <c r="E17" s="3485"/>
      <c r="F17" s="3485"/>
      <c r="G17" s="3486">
        <v>1073</v>
      </c>
      <c r="H17" s="3485"/>
      <c r="I17" s="3486"/>
      <c r="J17" s="3486"/>
      <c r="K17" s="3485">
        <f t="shared" si="2"/>
        <v>1049</v>
      </c>
      <c r="L17" s="3485"/>
      <c r="M17" s="3485"/>
      <c r="N17" s="3486">
        <v>1049</v>
      </c>
      <c r="O17" s="3485"/>
      <c r="P17" s="3485"/>
      <c r="Q17" s="3485"/>
    </row>
    <row r="18" spans="1:17" ht="13.5" customHeight="1">
      <c r="A18" s="3599"/>
      <c r="B18" s="3485" t="s">
        <v>3255</v>
      </c>
      <c r="C18" s="3485">
        <f t="shared" si="5"/>
        <v>2126</v>
      </c>
      <c r="D18" s="3486">
        <f t="shared" si="6"/>
        <v>1073</v>
      </c>
      <c r="E18" s="3485"/>
      <c r="F18" s="3485"/>
      <c r="G18" s="3486">
        <v>1073</v>
      </c>
      <c r="H18" s="3485"/>
      <c r="I18" s="3485"/>
      <c r="J18" s="3485"/>
      <c r="K18" s="3485">
        <f t="shared" si="2"/>
        <v>1053</v>
      </c>
      <c r="L18" s="3485"/>
      <c r="M18" s="3485"/>
      <c r="N18" s="3486">
        <v>1053</v>
      </c>
      <c r="O18" s="3485"/>
      <c r="P18" s="3485"/>
      <c r="Q18" s="3485"/>
    </row>
    <row r="19" spans="1:17" ht="13.5" customHeight="1">
      <c r="A19" s="3599"/>
      <c r="B19" s="3485" t="s">
        <v>3256</v>
      </c>
      <c r="C19" s="3485">
        <f t="shared" si="5"/>
        <v>2052</v>
      </c>
      <c r="D19" s="3486">
        <f t="shared" si="6"/>
        <v>1073</v>
      </c>
      <c r="E19" s="3485"/>
      <c r="F19" s="3485"/>
      <c r="G19" s="3486">
        <v>1073</v>
      </c>
      <c r="H19" s="3485"/>
      <c r="I19" s="3485"/>
      <c r="J19" s="3485"/>
      <c r="K19" s="3485">
        <f t="shared" si="2"/>
        <v>979</v>
      </c>
      <c r="L19" s="3485"/>
      <c r="M19" s="3485"/>
      <c r="N19" s="3486">
        <v>979</v>
      </c>
      <c r="O19" s="3485"/>
      <c r="P19" s="3485"/>
      <c r="Q19" s="3485"/>
    </row>
    <row r="20" spans="1:17" ht="13.5" customHeight="1">
      <c r="A20" s="3599"/>
      <c r="B20" s="3485" t="s">
        <v>3257</v>
      </c>
      <c r="C20" s="3485">
        <f t="shared" si="5"/>
        <v>2052</v>
      </c>
      <c r="D20" s="3486">
        <f t="shared" si="6"/>
        <v>1073</v>
      </c>
      <c r="E20" s="3485"/>
      <c r="F20" s="3485"/>
      <c r="G20" s="3486">
        <v>1073</v>
      </c>
      <c r="H20" s="3485"/>
      <c r="I20" s="3485"/>
      <c r="J20" s="3485"/>
      <c r="K20" s="3485">
        <f t="shared" si="2"/>
        <v>979</v>
      </c>
      <c r="L20" s="3485"/>
      <c r="M20" s="3485"/>
      <c r="N20" s="3486">
        <v>979</v>
      </c>
      <c r="O20" s="3485"/>
      <c r="P20" s="3485"/>
      <c r="Q20" s="3485"/>
    </row>
    <row r="21" spans="1:17" ht="13.5" customHeight="1">
      <c r="A21" s="3599"/>
      <c r="B21" s="3485" t="s">
        <v>3258</v>
      </c>
      <c r="C21" s="3485">
        <f t="shared" si="5"/>
        <v>2052</v>
      </c>
      <c r="D21" s="3486">
        <f t="shared" si="6"/>
        <v>1073</v>
      </c>
      <c r="E21" s="3485"/>
      <c r="F21" s="3485"/>
      <c r="G21" s="3486">
        <v>1073</v>
      </c>
      <c r="H21" s="3485"/>
      <c r="I21" s="3485"/>
      <c r="J21" s="3485"/>
      <c r="K21" s="3485">
        <f t="shared" si="2"/>
        <v>979</v>
      </c>
      <c r="L21" s="3485"/>
      <c r="M21" s="3485"/>
      <c r="N21" s="3486">
        <v>979</v>
      </c>
      <c r="O21" s="3485"/>
      <c r="P21" s="3485"/>
      <c r="Q21" s="3485"/>
    </row>
    <row r="22" spans="1:17" ht="13.5" customHeight="1">
      <c r="A22" s="3599"/>
      <c r="B22" s="3485" t="s">
        <v>3259</v>
      </c>
      <c r="C22" s="3485">
        <f t="shared" si="5"/>
        <v>2052</v>
      </c>
      <c r="D22" s="3486">
        <f t="shared" si="6"/>
        <v>1073</v>
      </c>
      <c r="E22" s="3485"/>
      <c r="F22" s="3485"/>
      <c r="G22" s="3486">
        <v>1073</v>
      </c>
      <c r="H22" s="3486"/>
      <c r="I22" s="3486"/>
      <c r="J22" s="3486"/>
      <c r="K22" s="3485">
        <f t="shared" si="2"/>
        <v>979</v>
      </c>
      <c r="L22" s="3485"/>
      <c r="M22" s="3485"/>
      <c r="N22" s="3486">
        <v>979</v>
      </c>
      <c r="O22" s="3485"/>
      <c r="P22" s="3485"/>
      <c r="Q22" s="3485"/>
    </row>
    <row r="23" spans="1:17" ht="13.5" customHeight="1">
      <c r="A23" s="3599"/>
      <c r="B23" s="3485" t="s">
        <v>3260</v>
      </c>
      <c r="C23" s="3485">
        <f t="shared" si="5"/>
        <v>2126</v>
      </c>
      <c r="D23" s="3486">
        <f t="shared" si="6"/>
        <v>1073</v>
      </c>
      <c r="E23" s="3485"/>
      <c r="F23" s="3485"/>
      <c r="G23" s="3486">
        <v>1073</v>
      </c>
      <c r="H23" s="3485"/>
      <c r="I23" s="3485"/>
      <c r="J23" s="3485"/>
      <c r="K23" s="3485">
        <f t="shared" si="2"/>
        <v>1053</v>
      </c>
      <c r="L23" s="3485"/>
      <c r="M23" s="3485"/>
      <c r="N23" s="3486">
        <v>1053</v>
      </c>
      <c r="O23" s="3485"/>
      <c r="P23" s="3485"/>
      <c r="Q23" s="3485"/>
    </row>
    <row r="24" spans="1:17" ht="13.5" customHeight="1">
      <c r="A24" s="3599"/>
      <c r="B24" s="3485" t="s">
        <v>3261</v>
      </c>
      <c r="C24" s="3485">
        <f t="shared" si="5"/>
        <v>2126</v>
      </c>
      <c r="D24" s="3486">
        <f t="shared" si="6"/>
        <v>1073</v>
      </c>
      <c r="E24" s="3485"/>
      <c r="F24" s="3485"/>
      <c r="G24" s="3486">
        <v>1073</v>
      </c>
      <c r="H24" s="3485"/>
      <c r="I24" s="3485"/>
      <c r="J24" s="3485"/>
      <c r="K24" s="3485">
        <f t="shared" si="2"/>
        <v>1053</v>
      </c>
      <c r="L24" s="3485"/>
      <c r="M24" s="3485"/>
      <c r="N24" s="3486">
        <v>1053</v>
      </c>
      <c r="O24" s="3485"/>
      <c r="P24" s="3485"/>
      <c r="Q24" s="3485"/>
    </row>
    <row r="25" spans="1:17" ht="13.5" customHeight="1">
      <c r="A25" s="3599"/>
      <c r="B25" s="3485" t="s">
        <v>3262</v>
      </c>
      <c r="C25" s="3485">
        <f t="shared" si="5"/>
        <v>2126</v>
      </c>
      <c r="D25" s="3486">
        <f t="shared" si="6"/>
        <v>1073</v>
      </c>
      <c r="E25" s="3485"/>
      <c r="F25" s="3486"/>
      <c r="G25" s="3486">
        <v>1073</v>
      </c>
      <c r="H25" s="3486"/>
      <c r="I25" s="3485"/>
      <c r="J25" s="3486"/>
      <c r="K25" s="3485">
        <f t="shared" si="2"/>
        <v>1053</v>
      </c>
      <c r="L25" s="3485"/>
      <c r="M25" s="3485"/>
      <c r="N25" s="3486">
        <v>1053</v>
      </c>
      <c r="O25" s="3485"/>
      <c r="P25" s="3485"/>
      <c r="Q25" s="3485"/>
    </row>
    <row r="26" spans="1:17" ht="13.5" customHeight="1">
      <c r="A26" s="3599"/>
      <c r="B26" s="3485" t="s">
        <v>3263</v>
      </c>
      <c r="C26" s="3485">
        <f t="shared" ref="C26:C30" si="7">SUM(D26,K26)</f>
        <v>2052</v>
      </c>
      <c r="D26" s="3486">
        <f t="shared" ref="D26:D30" si="8">SUM(E26:J26)</f>
        <v>1073</v>
      </c>
      <c r="E26" s="3485"/>
      <c r="F26" s="3486"/>
      <c r="G26" s="3486">
        <v>1073</v>
      </c>
      <c r="H26" s="3486"/>
      <c r="I26" s="3485"/>
      <c r="J26" s="3486"/>
      <c r="K26" s="3485">
        <f t="shared" si="2"/>
        <v>979</v>
      </c>
      <c r="L26" s="3485"/>
      <c r="M26" s="3485"/>
      <c r="N26" s="3486">
        <v>979</v>
      </c>
      <c r="O26" s="3485"/>
      <c r="P26" s="3485"/>
      <c r="Q26" s="3485"/>
    </row>
    <row r="27" spans="1:17" ht="13.5" customHeight="1">
      <c r="A27" s="3599"/>
      <c r="B27" s="3485" t="s">
        <v>3264</v>
      </c>
      <c r="C27" s="3485">
        <f t="shared" si="7"/>
        <v>2126</v>
      </c>
      <c r="D27" s="3486">
        <f t="shared" si="8"/>
        <v>1073</v>
      </c>
      <c r="E27" s="3485"/>
      <c r="F27" s="3486"/>
      <c r="G27" s="3486">
        <v>1073</v>
      </c>
      <c r="H27" s="3486"/>
      <c r="I27" s="3485"/>
      <c r="J27" s="3486"/>
      <c r="K27" s="3485">
        <f t="shared" si="2"/>
        <v>1053</v>
      </c>
      <c r="L27" s="3485"/>
      <c r="M27" s="3485"/>
      <c r="N27" s="3486">
        <v>1053</v>
      </c>
      <c r="O27" s="3485"/>
      <c r="P27" s="3485"/>
      <c r="Q27" s="3485"/>
    </row>
    <row r="28" spans="1:17" ht="13.5" customHeight="1">
      <c r="A28" s="3599"/>
      <c r="B28" s="3485" t="s">
        <v>3265</v>
      </c>
      <c r="C28" s="3485">
        <f t="shared" si="7"/>
        <v>2052</v>
      </c>
      <c r="D28" s="3486">
        <f t="shared" si="8"/>
        <v>1073</v>
      </c>
      <c r="E28" s="3485"/>
      <c r="F28" s="3486"/>
      <c r="G28" s="3486">
        <v>1073</v>
      </c>
      <c r="H28" s="3486"/>
      <c r="I28" s="3485"/>
      <c r="J28" s="3486"/>
      <c r="K28" s="3485">
        <f t="shared" si="2"/>
        <v>979</v>
      </c>
      <c r="L28" s="3485"/>
      <c r="M28" s="3485"/>
      <c r="N28" s="3486">
        <v>979</v>
      </c>
      <c r="O28" s="3485"/>
      <c r="P28" s="3485"/>
      <c r="Q28" s="3485"/>
    </row>
    <row r="29" spans="1:17" ht="13.5" customHeight="1">
      <c r="A29" s="3599"/>
      <c r="B29" s="3485" t="s">
        <v>3266</v>
      </c>
      <c r="C29" s="3485">
        <f t="shared" si="7"/>
        <v>2052</v>
      </c>
      <c r="D29" s="3486">
        <f t="shared" si="8"/>
        <v>1073</v>
      </c>
      <c r="E29" s="3485"/>
      <c r="F29" s="3486"/>
      <c r="G29" s="3486">
        <v>1073</v>
      </c>
      <c r="H29" s="3486"/>
      <c r="I29" s="3485"/>
      <c r="J29" s="3486"/>
      <c r="K29" s="3485">
        <f t="shared" si="2"/>
        <v>979</v>
      </c>
      <c r="L29" s="3485"/>
      <c r="M29" s="3485"/>
      <c r="N29" s="3486">
        <v>979</v>
      </c>
      <c r="O29" s="3485"/>
      <c r="P29" s="3485"/>
      <c r="Q29" s="3485"/>
    </row>
    <row r="30" spans="1:17" ht="13.5" customHeight="1">
      <c r="A30" s="3599"/>
      <c r="B30" s="3485" t="s">
        <v>3267</v>
      </c>
      <c r="C30" s="3485">
        <f t="shared" si="7"/>
        <v>2052</v>
      </c>
      <c r="D30" s="3486">
        <f t="shared" si="8"/>
        <v>1073</v>
      </c>
      <c r="E30" s="3485"/>
      <c r="F30" s="3485"/>
      <c r="G30" s="3486">
        <v>1073</v>
      </c>
      <c r="H30" s="3486"/>
      <c r="I30" s="3485"/>
      <c r="J30" s="3485"/>
      <c r="K30" s="3485">
        <f t="shared" si="2"/>
        <v>979</v>
      </c>
      <c r="L30" s="3485"/>
      <c r="M30" s="3485"/>
      <c r="N30" s="3486">
        <v>979</v>
      </c>
      <c r="O30" s="3485"/>
      <c r="P30" s="3485"/>
      <c r="Q30" s="3485"/>
    </row>
    <row r="31" spans="1:17" ht="13.5" customHeight="1">
      <c r="A31" s="3599"/>
      <c r="B31" s="3485" t="s">
        <v>3268</v>
      </c>
      <c r="C31" s="3485">
        <f>SUM(D31,K31)</f>
        <v>2126</v>
      </c>
      <c r="D31" s="3486">
        <f>SUM(E31:J31)</f>
        <v>1073</v>
      </c>
      <c r="E31" s="3485"/>
      <c r="F31" s="3485"/>
      <c r="G31" s="3486">
        <v>1073</v>
      </c>
      <c r="H31" s="3485"/>
      <c r="I31" s="3485"/>
      <c r="J31" s="3486"/>
      <c r="K31" s="3485">
        <f t="shared" si="2"/>
        <v>1053</v>
      </c>
      <c r="L31" s="3485"/>
      <c r="M31" s="3485"/>
      <c r="N31" s="3486">
        <v>1053</v>
      </c>
      <c r="O31" s="3485"/>
      <c r="P31" s="3485"/>
      <c r="Q31" s="3485"/>
    </row>
    <row r="32" spans="1:17" ht="13.5" customHeight="1">
      <c r="A32" s="3599"/>
      <c r="B32" s="3485" t="s">
        <v>3269</v>
      </c>
      <c r="C32" s="3485">
        <f t="shared" ref="C32:C36" si="9">SUM(D32,K32)</f>
        <v>2052</v>
      </c>
      <c r="D32" s="3486">
        <f t="shared" ref="D32:D36" si="10">SUM(E32:J32)</f>
        <v>1073</v>
      </c>
      <c r="E32" s="3485"/>
      <c r="F32" s="3485"/>
      <c r="G32" s="3486">
        <v>1073</v>
      </c>
      <c r="H32" s="3485"/>
      <c r="I32" s="3485"/>
      <c r="J32" s="3486"/>
      <c r="K32" s="3485">
        <f t="shared" si="2"/>
        <v>979</v>
      </c>
      <c r="L32" s="3485"/>
      <c r="M32" s="3485"/>
      <c r="N32" s="3486">
        <v>979</v>
      </c>
      <c r="O32" s="3485"/>
      <c r="P32" s="3485"/>
      <c r="Q32" s="3485"/>
    </row>
    <row r="33" spans="1:17" ht="13.5" customHeight="1">
      <c r="A33" s="3599"/>
      <c r="B33" s="3485" t="s">
        <v>3270</v>
      </c>
      <c r="C33" s="3485">
        <f t="shared" si="9"/>
        <v>2052</v>
      </c>
      <c r="D33" s="3486">
        <f t="shared" si="10"/>
        <v>1073</v>
      </c>
      <c r="E33" s="3485"/>
      <c r="F33" s="3485"/>
      <c r="G33" s="3486">
        <v>1073</v>
      </c>
      <c r="H33" s="3485"/>
      <c r="I33" s="3485"/>
      <c r="J33" s="3486"/>
      <c r="K33" s="3485">
        <f t="shared" si="2"/>
        <v>979</v>
      </c>
      <c r="L33" s="3485"/>
      <c r="M33" s="3485"/>
      <c r="N33" s="3486">
        <v>979</v>
      </c>
      <c r="O33" s="3485"/>
      <c r="P33" s="3485"/>
      <c r="Q33" s="3485"/>
    </row>
    <row r="34" spans="1:17" ht="13.5" customHeight="1">
      <c r="A34" s="3599"/>
      <c r="B34" s="3485" t="s">
        <v>3271</v>
      </c>
      <c r="C34" s="3485">
        <f t="shared" si="9"/>
        <v>2052</v>
      </c>
      <c r="D34" s="3486">
        <f t="shared" si="10"/>
        <v>1073</v>
      </c>
      <c r="E34" s="3485"/>
      <c r="F34" s="3485"/>
      <c r="G34" s="3486">
        <v>1073</v>
      </c>
      <c r="H34" s="3485"/>
      <c r="I34" s="3485"/>
      <c r="J34" s="3486"/>
      <c r="K34" s="3485">
        <f t="shared" si="2"/>
        <v>979</v>
      </c>
      <c r="L34" s="3485"/>
      <c r="M34" s="3485"/>
      <c r="N34" s="3486">
        <v>979</v>
      </c>
      <c r="O34" s="3485"/>
      <c r="P34" s="3485"/>
      <c r="Q34" s="3485"/>
    </row>
    <row r="35" spans="1:17" ht="13.5" customHeight="1">
      <c r="A35" s="3599"/>
      <c r="B35" s="3485" t="s">
        <v>3272</v>
      </c>
      <c r="C35" s="3485">
        <f t="shared" si="9"/>
        <v>2052</v>
      </c>
      <c r="D35" s="3486">
        <f t="shared" si="10"/>
        <v>1073</v>
      </c>
      <c r="E35" s="3485"/>
      <c r="F35" s="3485"/>
      <c r="G35" s="3486">
        <v>1073</v>
      </c>
      <c r="H35" s="3485"/>
      <c r="I35" s="3485"/>
      <c r="J35" s="3486"/>
      <c r="K35" s="3485">
        <f t="shared" si="2"/>
        <v>979</v>
      </c>
      <c r="L35" s="3485"/>
      <c r="M35" s="3485"/>
      <c r="N35" s="3486">
        <v>979</v>
      </c>
      <c r="O35" s="3485"/>
      <c r="P35" s="3485"/>
      <c r="Q35" s="3485"/>
    </row>
    <row r="36" spans="1:17" ht="13.5" customHeight="1">
      <c r="A36" s="3599"/>
      <c r="B36" s="3485" t="s">
        <v>3273</v>
      </c>
      <c r="C36" s="3485">
        <f t="shared" si="9"/>
        <v>2248</v>
      </c>
      <c r="D36" s="3486">
        <f t="shared" si="10"/>
        <v>1085</v>
      </c>
      <c r="E36" s="3485"/>
      <c r="F36" s="3485"/>
      <c r="G36" s="3486">
        <v>1085</v>
      </c>
      <c r="H36" s="3485"/>
      <c r="I36" s="3485"/>
      <c r="J36" s="3486"/>
      <c r="K36" s="3485">
        <f t="shared" si="2"/>
        <v>1163</v>
      </c>
      <c r="L36" s="3485"/>
      <c r="M36" s="3485"/>
      <c r="N36" s="3486">
        <v>1163</v>
      </c>
      <c r="O36" s="3485"/>
      <c r="P36" s="3485"/>
      <c r="Q36" s="3485"/>
    </row>
    <row r="37" spans="1:17" ht="13.5" customHeight="1">
      <c r="A37" s="3599"/>
      <c r="B37" s="3485" t="s">
        <v>3274</v>
      </c>
      <c r="C37" s="3485">
        <f>SUM(D37,K37)</f>
        <v>22315.200000000001</v>
      </c>
      <c r="D37" s="3486">
        <f>SUM(E37:I37)</f>
        <v>0</v>
      </c>
      <c r="E37" s="3485"/>
      <c r="F37" s="3485"/>
      <c r="G37" s="3486"/>
      <c r="H37" s="3485"/>
      <c r="I37" s="3485"/>
      <c r="J37" s="3485"/>
      <c r="K37" s="3485">
        <f>SUM(L37:Q37)</f>
        <v>22315.200000000001</v>
      </c>
      <c r="L37" s="3485">
        <v>22215.200000000001</v>
      </c>
      <c r="M37" s="3485"/>
      <c r="N37" s="3486">
        <v>100</v>
      </c>
      <c r="O37" s="3485"/>
      <c r="P37" s="3485"/>
      <c r="Q37" s="3485"/>
    </row>
    <row r="38" spans="1:17" ht="13.5" customHeight="1">
      <c r="A38" s="3599"/>
      <c r="B38" s="3489" t="s">
        <v>3229</v>
      </c>
      <c r="C38" s="3487">
        <f>SUM(C11:C37)</f>
        <v>77756</v>
      </c>
      <c r="D38" s="3487">
        <f>SUM(D11:D37)</f>
        <v>30762.799999999999</v>
      </c>
      <c r="E38" s="3487">
        <f t="shared" ref="E38:Q38" si="11">SUM(E11:E37)</f>
        <v>0</v>
      </c>
      <c r="F38" s="3487">
        <f t="shared" si="11"/>
        <v>0</v>
      </c>
      <c r="G38" s="3487">
        <f t="shared" si="11"/>
        <v>30762.799999999999</v>
      </c>
      <c r="H38" s="3487">
        <f t="shared" si="11"/>
        <v>0</v>
      </c>
      <c r="I38" s="3487">
        <f t="shared" si="11"/>
        <v>0</v>
      </c>
      <c r="J38" s="3487">
        <f t="shared" si="11"/>
        <v>0</v>
      </c>
      <c r="K38" s="3487">
        <f t="shared" si="11"/>
        <v>46993.2</v>
      </c>
      <c r="L38" s="3487">
        <f t="shared" si="11"/>
        <v>22215.200000000001</v>
      </c>
      <c r="M38" s="3487">
        <f t="shared" si="11"/>
        <v>0</v>
      </c>
      <c r="N38" s="3487">
        <f t="shared" si="11"/>
        <v>24778</v>
      </c>
      <c r="O38" s="3487">
        <f t="shared" si="11"/>
        <v>0</v>
      </c>
      <c r="P38" s="3487">
        <f t="shared" si="11"/>
        <v>0</v>
      </c>
      <c r="Q38" s="3487">
        <f t="shared" si="11"/>
        <v>0</v>
      </c>
    </row>
    <row r="39" spans="1:17" ht="13.5" customHeight="1">
      <c r="A39" s="3490" t="s">
        <v>3276</v>
      </c>
      <c r="B39" s="3485" t="s">
        <v>3275</v>
      </c>
      <c r="C39" s="3485">
        <f t="shared" ref="C39" si="12">SUM(D39,K39)</f>
        <v>17070.3</v>
      </c>
      <c r="D39" s="3486">
        <f t="shared" ref="D39" si="13">SUM(E39:J39)</f>
        <v>15444</v>
      </c>
      <c r="E39" s="3485">
        <v>15444</v>
      </c>
      <c r="F39" s="3485"/>
      <c r="G39" s="3485"/>
      <c r="H39" s="3485"/>
      <c r="I39" s="3485"/>
      <c r="J39" s="3485"/>
      <c r="K39" s="3485">
        <f t="shared" ref="K39" si="14">SUM(L39:Q39)</f>
        <v>1626.3</v>
      </c>
      <c r="L39" s="3485"/>
      <c r="M39" s="3485">
        <v>1400</v>
      </c>
      <c r="N39" s="3485">
        <v>212</v>
      </c>
      <c r="O39" s="3485"/>
      <c r="P39" s="3485">
        <v>14.3</v>
      </c>
      <c r="Q39" s="3485"/>
    </row>
    <row r="40" spans="1:17" ht="13.5" customHeight="1">
      <c r="A40" s="3490"/>
      <c r="B40" s="3485" t="s">
        <v>3230</v>
      </c>
      <c r="C40" s="3487">
        <f>SUM(C10,C38,C39)</f>
        <v>187602</v>
      </c>
      <c r="D40" s="3487">
        <f t="shared" ref="D40:Q40" si="15">SUM(D10,D38,D39)</f>
        <v>102636</v>
      </c>
      <c r="E40" s="3487">
        <f t="shared" si="15"/>
        <v>71612.7</v>
      </c>
      <c r="F40" s="3487">
        <f t="shared" si="15"/>
        <v>41</v>
      </c>
      <c r="G40" s="3487">
        <f t="shared" si="15"/>
        <v>30762.799999999999</v>
      </c>
      <c r="H40" s="3487">
        <f t="shared" si="15"/>
        <v>100</v>
      </c>
      <c r="I40" s="3487">
        <f t="shared" si="15"/>
        <v>62.2</v>
      </c>
      <c r="J40" s="3487">
        <f t="shared" si="15"/>
        <v>57.3</v>
      </c>
      <c r="K40" s="3487">
        <f t="shared" si="15"/>
        <v>84966</v>
      </c>
      <c r="L40" s="3487">
        <f t="shared" si="15"/>
        <v>38124.199999999997</v>
      </c>
      <c r="M40" s="3487">
        <f t="shared" si="15"/>
        <v>6425.8</v>
      </c>
      <c r="N40" s="3487">
        <f t="shared" si="15"/>
        <v>30639.7</v>
      </c>
      <c r="O40" s="3487">
        <f t="shared" si="15"/>
        <v>50</v>
      </c>
      <c r="P40" s="3487">
        <f t="shared" si="15"/>
        <v>14.3</v>
      </c>
      <c r="Q40" s="3487">
        <f t="shared" si="15"/>
        <v>9712</v>
      </c>
    </row>
  </sheetData>
  <mergeCells count="5">
    <mergeCell ref="A1:A2"/>
    <mergeCell ref="B1:B2"/>
    <mergeCell ref="C1:C2"/>
    <mergeCell ref="A3:A10"/>
    <mergeCell ref="A11:A38"/>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B1" zoomScale="90" zoomScaleNormal="90" zoomScaleSheetLayoutView="90" workbookViewId="0">
      <selection activeCell="D3" sqref="D3"/>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609" t="s">
        <v>203</v>
      </c>
      <c r="B2" s="3609"/>
      <c r="C2" s="3609"/>
      <c r="D2" s="1969" t="s">
        <v>204</v>
      </c>
      <c r="E2" s="105" t="s">
        <v>205</v>
      </c>
      <c r="F2" s="1978"/>
      <c r="G2" s="1194"/>
      <c r="H2" s="1195"/>
      <c r="I2" s="1196" t="s">
        <v>858</v>
      </c>
      <c r="J2" s="1978"/>
      <c r="K2" s="1978"/>
      <c r="L2" s="1978"/>
    </row>
    <row r="3" spans="1:16" ht="15.75" thickBot="1">
      <c r="A3" s="3610" t="s">
        <v>206</v>
      </c>
      <c r="B3" s="3610"/>
      <c r="C3" s="3610"/>
      <c r="D3" s="106">
        <f>'数据-基础表'!AY6</f>
        <v>57230.39</v>
      </c>
      <c r="E3" s="106">
        <f>'数据-基础表'!AZ5</f>
        <v>177832.7</v>
      </c>
      <c r="F3" s="1978"/>
      <c r="G3" s="276" t="s">
        <v>859</v>
      </c>
      <c r="H3" s="271" t="s">
        <v>860</v>
      </c>
      <c r="I3" s="1970">
        <f>ROUND('数据-基础表'!B3/'数据-基础表'!A3,2)</f>
        <v>3.11</v>
      </c>
      <c r="J3" s="1978"/>
      <c r="K3" s="1978"/>
      <c r="L3" s="1978"/>
    </row>
    <row r="4" spans="1:16" ht="15">
      <c r="A4" s="3611"/>
      <c r="B4" s="3612"/>
      <c r="C4" s="3613"/>
      <c r="D4" s="107" t="s">
        <v>204</v>
      </c>
      <c r="E4" s="108" t="s">
        <v>205</v>
      </c>
      <c r="F4" s="1978"/>
      <c r="G4" s="1197"/>
      <c r="H4" s="271" t="s">
        <v>861</v>
      </c>
      <c r="I4" s="1970">
        <f>ROUND(SUMIF('数据-基础表'!I9:AS9,"地上",'数据-基础表'!I5:AS5)/'数据-基础表'!A3,2)</f>
        <v>1.7</v>
      </c>
      <c r="J4" s="1978"/>
      <c r="K4" s="1978"/>
      <c r="L4" s="1978"/>
    </row>
    <row r="5" spans="1:16">
      <c r="A5" s="109" t="s">
        <v>207</v>
      </c>
      <c r="B5" s="3614" t="s">
        <v>230</v>
      </c>
      <c r="C5" s="3614"/>
      <c r="D5" s="110">
        <f>ROUND($D$3*E5/$E$3,2)</f>
        <v>23046.51</v>
      </c>
      <c r="E5" s="111">
        <f>SUMIF('数据-基础表'!$11:$11,"住宅",'数据-基础表'!$5:$5)</f>
        <v>71612.7</v>
      </c>
      <c r="F5" s="1978"/>
      <c r="G5" s="276" t="s">
        <v>862</v>
      </c>
      <c r="H5" s="271" t="s">
        <v>860</v>
      </c>
      <c r="I5" s="1970">
        <f>ROUND(E31/D31,2)</f>
        <v>3.11</v>
      </c>
      <c r="J5" s="1978"/>
      <c r="K5" s="1978"/>
      <c r="L5" s="1978"/>
    </row>
    <row r="6" spans="1:16" ht="15" thickBot="1">
      <c r="A6" s="112"/>
      <c r="B6" s="3614" t="s">
        <v>208</v>
      </c>
      <c r="C6" s="3614"/>
      <c r="D6" s="110">
        <f>ROUND($D$3*E6/$E$3,2)</f>
        <v>34183.879999999997</v>
      </c>
      <c r="E6" s="111">
        <f>E3-E5</f>
        <v>106220.00000000001</v>
      </c>
      <c r="F6" s="1978"/>
      <c r="G6" s="1197"/>
      <c r="H6" s="271" t="s">
        <v>861</v>
      </c>
      <c r="I6" s="1970">
        <f>ROUND(F31/D31,2)</f>
        <v>1.79</v>
      </c>
      <c r="J6" s="1978"/>
      <c r="K6" s="1978"/>
      <c r="L6" s="1978"/>
    </row>
    <row r="7" spans="1:16" ht="15">
      <c r="A7" s="3606"/>
      <c r="B7" s="3607"/>
      <c r="C7" s="3608"/>
      <c r="D7" s="107" t="s">
        <v>204</v>
      </c>
      <c r="E7" s="113" t="s">
        <v>231</v>
      </c>
      <c r="F7" s="1978"/>
      <c r="G7" s="1152" t="s">
        <v>1647</v>
      </c>
      <c r="H7" s="1153"/>
      <c r="I7" s="1840">
        <f>I6</f>
        <v>1.79</v>
      </c>
      <c r="J7" s="1978"/>
      <c r="K7" s="1978"/>
      <c r="L7" s="1978"/>
    </row>
    <row r="8" spans="1:16">
      <c r="A8" s="109" t="s">
        <v>209</v>
      </c>
      <c r="B8" s="114" t="s">
        <v>210</v>
      </c>
      <c r="C8" s="110" t="s">
        <v>211</v>
      </c>
      <c r="D8" s="110">
        <f t="shared" ref="D8:D15" si="0">ROUND($D$3*E8/$E$3,2)</f>
        <v>32959.83</v>
      </c>
      <c r="E8" s="115">
        <f>SUMIF('数据-基础表'!BB10:BK10,"地上",'数据-基础表'!BB5:BK5)</f>
        <v>102416.5</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2331</v>
      </c>
      <c r="D11" s="110">
        <f t="shared" si="0"/>
        <v>16.09</v>
      </c>
      <c r="E11" s="115">
        <f>SUMPRODUCT(('数据-基础表'!BB10:BK10="地下")*('数据-基础表'!BB11:BK11="办公")*('数据-基础表'!BB5:BK5))+'数据-基础表'!AJ5</f>
        <v>50</v>
      </c>
      <c r="F11" s="1978"/>
      <c r="G11" s="1980"/>
      <c r="H11" s="1980"/>
      <c r="I11" s="1978"/>
      <c r="J11" s="1978"/>
      <c r="K11" s="1978"/>
      <c r="L11" s="1978"/>
    </row>
    <row r="12" spans="1:16">
      <c r="A12" s="116"/>
      <c r="B12" s="117"/>
      <c r="C12" s="110" t="s">
        <v>214</v>
      </c>
      <c r="D12" s="110">
        <f t="shared" si="0"/>
        <v>2067.96</v>
      </c>
      <c r="E12" s="115">
        <f>SUMPRODUCT(('数据-基础表'!BB10:BK10="地下")*('数据-基础表'!BB11:BK11="仓储")*('数据-基础表'!BB5:BK5))</f>
        <v>6425.8</v>
      </c>
      <c r="F12" s="1978"/>
      <c r="G12" s="1980"/>
      <c r="H12" s="1980"/>
      <c r="I12" s="1978"/>
      <c r="J12" s="1978"/>
      <c r="K12" s="1978"/>
      <c r="L12" s="1978"/>
    </row>
    <row r="13" spans="1:16">
      <c r="A13" s="116"/>
      <c r="B13" s="117"/>
      <c r="C13" s="2325" t="s">
        <v>2338</v>
      </c>
      <c r="D13" s="110">
        <f t="shared" si="0"/>
        <v>12269.19</v>
      </c>
      <c r="E13" s="115">
        <f>SUMPRODUCT(('数据-基础表'!BB10:BK10="地下")*('数据-基础表'!BB11:BK11="车库")*('数据-基础表'!BB5:BK5))</f>
        <v>38124.199999999997</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47313.07</v>
      </c>
      <c r="E16" s="119">
        <f>SUM(E8:E15)</f>
        <v>147016.5</v>
      </c>
      <c r="F16" s="1978"/>
      <c r="G16" s="1980"/>
      <c r="H16" s="964" t="s">
        <v>219</v>
      </c>
      <c r="I16" s="965"/>
      <c r="J16" s="1978"/>
      <c r="K16" s="3600" t="s">
        <v>2573</v>
      </c>
      <c r="L16" s="3601"/>
      <c r="M16" s="3601"/>
      <c r="N16" s="3601"/>
      <c r="O16" s="3601"/>
      <c r="P16" s="3602"/>
    </row>
    <row r="17" spans="1:19" ht="15">
      <c r="A17" s="120" t="s">
        <v>216</v>
      </c>
      <c r="B17" s="121" t="s">
        <v>217</v>
      </c>
      <c r="C17" s="2292" t="s">
        <v>2317</v>
      </c>
      <c r="D17" s="107" t="s">
        <v>204</v>
      </c>
      <c r="E17" s="123" t="s">
        <v>205</v>
      </c>
      <c r="F17" s="124"/>
      <c r="G17" s="1361"/>
      <c r="H17" s="966" t="s">
        <v>218</v>
      </c>
      <c r="I17" s="967" t="s">
        <v>2316</v>
      </c>
      <c r="J17" s="1978"/>
      <c r="K17" s="3603" t="s">
        <v>2574</v>
      </c>
      <c r="L17" s="3604"/>
      <c r="M17" s="3605"/>
      <c r="N17" s="3603" t="s">
        <v>2575</v>
      </c>
      <c r="O17" s="3604"/>
      <c r="P17" s="3605"/>
      <c r="R17" s="2293" t="s">
        <v>2315</v>
      </c>
      <c r="S17" s="143"/>
    </row>
    <row r="18" spans="1:19" ht="15">
      <c r="A18" s="116"/>
      <c r="B18" s="127"/>
      <c r="C18" s="128"/>
      <c r="D18" s="2661"/>
      <c r="E18" s="129" t="s">
        <v>220</v>
      </c>
      <c r="F18" s="130" t="s">
        <v>221</v>
      </c>
      <c r="G18" s="1362" t="s">
        <v>222</v>
      </c>
      <c r="H18" s="968" t="s">
        <v>223</v>
      </c>
      <c r="I18" s="969" t="s">
        <v>224</v>
      </c>
      <c r="J18" s="1978"/>
      <c r="K18" s="2623" t="s">
        <v>2576</v>
      </c>
      <c r="L18" s="2624" t="s">
        <v>2577</v>
      </c>
      <c r="M18" s="2625" t="s">
        <v>2578</v>
      </c>
      <c r="N18" s="2623" t="s">
        <v>2576</v>
      </c>
      <c r="O18" s="2624" t="s">
        <v>2577</v>
      </c>
      <c r="P18" s="2625" t="s">
        <v>2578</v>
      </c>
      <c r="R18" s="2294" t="s">
        <v>2313</v>
      </c>
      <c r="S18" s="2294" t="s">
        <v>2314</v>
      </c>
    </row>
    <row r="19" spans="1:19">
      <c r="A19" s="132"/>
      <c r="B19" s="114" t="s">
        <v>225</v>
      </c>
      <c r="C19" s="3043" t="str">
        <f>'数据-基础表'!C13</f>
        <v>自住型商品房</v>
      </c>
      <c r="D19" s="110">
        <f t="shared" ref="D19:D26" si="1">ROUND($D$3*E19/$E$3,2)</f>
        <v>23046.51</v>
      </c>
      <c r="E19" s="133">
        <f t="shared" ref="E19:E26" si="2">SUM(F19:G19)</f>
        <v>71612.7</v>
      </c>
      <c r="F19" s="134">
        <f>'数据-基础表'!I5</f>
        <v>71612.7</v>
      </c>
      <c r="G19" s="1363"/>
      <c r="H19" s="970">
        <f>ROUND($D$3*I19/$E$3,2)</f>
        <v>4814.51</v>
      </c>
      <c r="I19" s="115">
        <f>IF($I$17="自定义",P19,M19)</f>
        <v>14960.18</v>
      </c>
      <c r="J19" s="1978"/>
      <c r="K19" s="2626">
        <f t="shared" ref="K19:K26" si="3">ROUND(E$28*E19/E$27,2)</f>
        <v>14960.18</v>
      </c>
      <c r="L19" s="271">
        <f t="shared" ref="L19:L26" si="4">ROUND(IF(COUNTIF(C19,"*住宅*")&gt;0,E$29*E19/E$32,0),2)</f>
        <v>0</v>
      </c>
      <c r="M19" s="2627">
        <f>K19+L19</f>
        <v>14960.18</v>
      </c>
      <c r="N19" s="2628"/>
      <c r="O19" s="2629"/>
      <c r="P19" s="2630">
        <f>N19+O19</f>
        <v>0</v>
      </c>
      <c r="R19" s="271">
        <f t="shared" ref="R19:S26" si="5">D19+H19</f>
        <v>27861.019999999997</v>
      </c>
      <c r="S19" s="2295">
        <f t="shared" si="5"/>
        <v>86572.88</v>
      </c>
    </row>
    <row r="20" spans="1:19">
      <c r="A20" s="137"/>
      <c r="B20" s="114" t="s">
        <v>226</v>
      </c>
      <c r="C20" s="3043" t="str">
        <f>'数据-基础表'!C14</f>
        <v>商业服务</v>
      </c>
      <c r="D20" s="110">
        <f t="shared" si="1"/>
        <v>13.19</v>
      </c>
      <c r="E20" s="133">
        <f t="shared" si="2"/>
        <v>41</v>
      </c>
      <c r="F20" s="134">
        <f>'数据-基础表'!K5</f>
        <v>41</v>
      </c>
      <c r="G20" s="1363"/>
      <c r="H20" s="970">
        <f t="shared" ref="H20:H26" si="6">ROUND($D$3*I20/$E$3,2)</f>
        <v>2.76</v>
      </c>
      <c r="I20" s="115">
        <f t="shared" ref="I20:I26" si="7">IF($I$17="自定义",P20,M20)</f>
        <v>8.57</v>
      </c>
      <c r="J20" s="1978"/>
      <c r="K20" s="2626">
        <f t="shared" si="3"/>
        <v>8.57</v>
      </c>
      <c r="L20" s="271">
        <f t="shared" si="4"/>
        <v>0</v>
      </c>
      <c r="M20" s="2627">
        <f t="shared" ref="M20:M26" si="8">K20+L20</f>
        <v>8.57</v>
      </c>
      <c r="N20" s="2628"/>
      <c r="O20" s="2629"/>
      <c r="P20" s="2630">
        <f t="shared" ref="P20:P26" si="9">N20+O20</f>
        <v>0</v>
      </c>
      <c r="R20" s="271">
        <f t="shared" si="5"/>
        <v>15.95</v>
      </c>
      <c r="S20" s="2295">
        <f t="shared" si="5"/>
        <v>49.57</v>
      </c>
    </row>
    <row r="21" spans="1:19">
      <c r="A21" s="137"/>
      <c r="B21" s="114" t="s">
        <v>226</v>
      </c>
      <c r="C21" s="3043" t="str">
        <f>'数据-基础表'!C15</f>
        <v>办公楼</v>
      </c>
      <c r="D21" s="110">
        <f t="shared" si="1"/>
        <v>9900.1299999999992</v>
      </c>
      <c r="E21" s="133">
        <f t="shared" si="2"/>
        <v>30762.799999999999</v>
      </c>
      <c r="F21" s="134">
        <f>'数据-基础表'!M5</f>
        <v>30762.799999999999</v>
      </c>
      <c r="G21" s="1363"/>
      <c r="H21" s="970">
        <f t="shared" si="6"/>
        <v>2068.1799999999998</v>
      </c>
      <c r="I21" s="115">
        <f t="shared" si="7"/>
        <v>6426.47</v>
      </c>
      <c r="J21" s="1978"/>
      <c r="K21" s="2626">
        <f t="shared" si="3"/>
        <v>6426.47</v>
      </c>
      <c r="L21" s="271">
        <f t="shared" si="4"/>
        <v>0</v>
      </c>
      <c r="M21" s="2627">
        <f t="shared" si="8"/>
        <v>6426.47</v>
      </c>
      <c r="N21" s="2628"/>
      <c r="O21" s="2629"/>
      <c r="P21" s="2630">
        <f t="shared" si="9"/>
        <v>0</v>
      </c>
      <c r="R21" s="271">
        <f t="shared" si="5"/>
        <v>11968.31</v>
      </c>
      <c r="S21" s="2295">
        <f t="shared" si="5"/>
        <v>37189.269999999997</v>
      </c>
    </row>
    <row r="22" spans="1:19">
      <c r="A22" s="137"/>
      <c r="B22" s="114" t="s">
        <v>226</v>
      </c>
      <c r="C22" s="3043" t="str">
        <f>'数据-基础表'!C18</f>
        <v>地下车库</v>
      </c>
      <c r="D22" s="110">
        <f t="shared" si="1"/>
        <v>12269.19</v>
      </c>
      <c r="E22" s="133">
        <f t="shared" si="2"/>
        <v>38124.199999999997</v>
      </c>
      <c r="F22" s="139"/>
      <c r="G22" s="1364">
        <f>'数据-基础表'!O5</f>
        <v>38124.199999999997</v>
      </c>
      <c r="H22" s="970">
        <f t="shared" si="6"/>
        <v>2563.08</v>
      </c>
      <c r="I22" s="115">
        <f t="shared" si="7"/>
        <v>7964.3</v>
      </c>
      <c r="J22" s="1978"/>
      <c r="K22" s="2626">
        <f t="shared" si="3"/>
        <v>7964.3</v>
      </c>
      <c r="L22" s="271">
        <f t="shared" si="4"/>
        <v>0</v>
      </c>
      <c r="M22" s="2627">
        <f t="shared" si="8"/>
        <v>7964.3</v>
      </c>
      <c r="N22" s="2628"/>
      <c r="O22" s="2629"/>
      <c r="P22" s="2630">
        <f t="shared" si="9"/>
        <v>0</v>
      </c>
      <c r="R22" s="271">
        <f t="shared" si="5"/>
        <v>14832.27</v>
      </c>
      <c r="S22" s="2295">
        <f t="shared" si="5"/>
        <v>46088.5</v>
      </c>
    </row>
    <row r="23" spans="1:19">
      <c r="A23" s="137"/>
      <c r="B23" s="114" t="s">
        <v>226</v>
      </c>
      <c r="C23" s="3043" t="str">
        <f>'数据-基础表'!C19</f>
        <v>戊类库房</v>
      </c>
      <c r="D23" s="110">
        <f>ROUND($D$3*E23/$E$3,2)</f>
        <v>2067.96</v>
      </c>
      <c r="E23" s="133">
        <f>SUM(F23:G23)</f>
        <v>6425.8</v>
      </c>
      <c r="F23" s="139"/>
      <c r="G23" s="1364">
        <f>'数据-基础表'!Q5</f>
        <v>6425.8</v>
      </c>
      <c r="H23" s="970">
        <f>ROUND($D$3*I23/$E$3,2)</f>
        <v>432.01</v>
      </c>
      <c r="I23" s="115">
        <f t="shared" si="7"/>
        <v>1342.38</v>
      </c>
      <c r="J23" s="1978"/>
      <c r="K23" s="2626">
        <f t="shared" si="3"/>
        <v>1342.38</v>
      </c>
      <c r="L23" s="271">
        <f t="shared" si="4"/>
        <v>0</v>
      </c>
      <c r="M23" s="2627">
        <f t="shared" si="8"/>
        <v>1342.38</v>
      </c>
      <c r="N23" s="2628"/>
      <c r="O23" s="2629"/>
      <c r="P23" s="2630">
        <f t="shared" si="9"/>
        <v>0</v>
      </c>
      <c r="R23" s="271">
        <f t="shared" si="5"/>
        <v>2499.9700000000003</v>
      </c>
      <c r="S23" s="2295">
        <f t="shared" si="5"/>
        <v>7768.18</v>
      </c>
    </row>
    <row r="24" spans="1:19">
      <c r="A24" s="137"/>
      <c r="B24" s="114" t="s">
        <v>226</v>
      </c>
      <c r="C24" s="138"/>
      <c r="D24" s="110">
        <f>ROUND($D$3*E24/$E$3,2)</f>
        <v>0</v>
      </c>
      <c r="E24" s="133">
        <f>SUM(F24:G24)</f>
        <v>0</v>
      </c>
      <c r="F24" s="139"/>
      <c r="G24" s="1364"/>
      <c r="H24" s="970">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4"/>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4"/>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43.5" thickBot="1">
      <c r="A27" s="137"/>
      <c r="B27" s="110"/>
      <c r="C27" s="126" t="s">
        <v>215</v>
      </c>
      <c r="D27" s="133">
        <f>SUM(D19:D26)</f>
        <v>47296.979999999996</v>
      </c>
      <c r="E27" s="142">
        <f>IF(SUM(E19:E26)='数据-基础表'!BA5,SUM(E19:E26),IF(F27="地上面积有误","面积有误","地下面积有误"))</f>
        <v>146966.5</v>
      </c>
      <c r="F27" s="133">
        <f>IF(SUM(F19:F26)=E8,SUM(F19:F26),"地上面积有误")</f>
        <v>102416.5</v>
      </c>
      <c r="G27" s="111">
        <f>SUM(G19:G26)</f>
        <v>44550</v>
      </c>
      <c r="H27" s="971">
        <f>SUM(H19:H26)</f>
        <v>9880.5400000000009</v>
      </c>
      <c r="I27" s="972">
        <f>SUM(I19:I26)</f>
        <v>30701.9</v>
      </c>
      <c r="J27" s="1978"/>
      <c r="K27" s="2635">
        <f>SUM(K19:K26)</f>
        <v>30701.9</v>
      </c>
      <c r="L27" s="2636">
        <f>SUM(L19:L26)</f>
        <v>0</v>
      </c>
      <c r="M27" s="2637">
        <f>SUM(M19:M26)</f>
        <v>30701.9</v>
      </c>
      <c r="N27" s="2635">
        <f t="shared" ref="N27:O27" si="10">SUM(N19:N26)</f>
        <v>0</v>
      </c>
      <c r="O27" s="2636">
        <f t="shared" si="10"/>
        <v>0</v>
      </c>
      <c r="P27" s="2638">
        <f>SUM(P19:P26)</f>
        <v>0</v>
      </c>
      <c r="R27" s="2299" t="str">
        <f>IF(SUM(R19:R26)=$D$3,SUM(R19:R26),SUM(R19:R26)&amp;"误差"&amp;ROUND(SUM(R19:R26)-$D$3,2))</f>
        <v>57177.52误差-52.87</v>
      </c>
      <c r="S27" s="271" t="str">
        <f>IF(SUM(S19:S26)=$E$3,SUM(S19:S26),SUM(S19:S26)&amp;"误差"&amp;ROUND(SUM(S19:S26)-E3,2))</f>
        <v>177668.4误差-164.3</v>
      </c>
    </row>
    <row r="28" spans="1:19">
      <c r="A28" s="137"/>
      <c r="B28" s="114" t="s">
        <v>227</v>
      </c>
      <c r="C28" s="135" t="s">
        <v>228</v>
      </c>
      <c r="D28" s="110">
        <f>ROUND($D$3*E28/$E$3,2)</f>
        <v>9880.5300000000007</v>
      </c>
      <c r="E28" s="133">
        <f>SUM(F28:G28)</f>
        <v>30701.9</v>
      </c>
      <c r="F28" s="143">
        <f>'数据-基础表'!BQ5+'数据-基础表'!BS5</f>
        <v>62.2</v>
      </c>
      <c r="G28" s="144">
        <f>'数据-基础表'!BR5+'数据-基础表'!BT5</f>
        <v>30639.7</v>
      </c>
      <c r="H28" s="1978"/>
      <c r="I28" s="1978"/>
      <c r="J28" s="1978"/>
      <c r="K28" s="1978"/>
      <c r="L28" s="1978"/>
    </row>
    <row r="29" spans="1:19">
      <c r="A29" s="137"/>
      <c r="B29" s="114" t="s">
        <v>227</v>
      </c>
      <c r="C29" s="2307" t="s">
        <v>2324</v>
      </c>
      <c r="D29" s="110">
        <f>ROUND($D$3*E29/$E$3,2)</f>
        <v>52.88</v>
      </c>
      <c r="E29" s="133">
        <f>SUM(F29:G29)</f>
        <v>164.3</v>
      </c>
      <c r="F29" s="143">
        <f>'数据-基础表'!BM5+'数据-基础表'!BO5</f>
        <v>100</v>
      </c>
      <c r="G29" s="145">
        <f>'数据-基础表'!BN5+'数据-基础表'!BP5</f>
        <v>64.3</v>
      </c>
      <c r="H29" s="1978"/>
      <c r="I29" s="1978"/>
      <c r="J29" s="1978"/>
      <c r="K29" s="1978"/>
      <c r="L29" s="1978"/>
    </row>
    <row r="30" spans="1:19">
      <c r="A30" s="137"/>
      <c r="B30" s="110"/>
      <c r="C30" s="146" t="s">
        <v>215</v>
      </c>
      <c r="D30" s="133">
        <f>SUM(D28:D29)</f>
        <v>9933.41</v>
      </c>
      <c r="E30" s="133">
        <f>SUM(E28:E29)</f>
        <v>30866.2</v>
      </c>
      <c r="F30" s="133">
        <f>SUM(F28:F29)</f>
        <v>162.19999999999999</v>
      </c>
      <c r="G30" s="111">
        <f>SUM(G28:G29)</f>
        <v>30704</v>
      </c>
      <c r="H30" s="1978"/>
      <c r="I30" s="1978"/>
      <c r="J30" s="1978"/>
      <c r="K30" s="1978"/>
      <c r="L30" s="1978"/>
    </row>
    <row r="31" spans="1:19" ht="32.25" customHeight="1" thickBot="1">
      <c r="A31" s="1365"/>
      <c r="B31" s="1366" t="s">
        <v>229</v>
      </c>
      <c r="C31" s="2324" t="s">
        <v>2326</v>
      </c>
      <c r="D31" s="1367">
        <f>D27+D30</f>
        <v>57230.39</v>
      </c>
      <c r="E31" s="1367">
        <f>E27+E30</f>
        <v>177832.7</v>
      </c>
      <c r="F31" s="1368">
        <f>F27+F30</f>
        <v>102578.7</v>
      </c>
      <c r="G31" s="1369">
        <f>G27+G30</f>
        <v>75254</v>
      </c>
      <c r="H31" s="1978"/>
      <c r="I31" s="1978"/>
      <c r="J31" s="1978"/>
      <c r="K31" s="1978"/>
      <c r="L31" s="1978"/>
    </row>
    <row r="32" spans="1:19">
      <c r="A32" s="1978"/>
      <c r="B32" s="2357" t="s">
        <v>2325</v>
      </c>
      <c r="C32" s="2666"/>
      <c r="D32" s="1197"/>
      <c r="E32" s="1197">
        <f>SUMIF(C19:C26,"*住宅*",E19:E26)</f>
        <v>0</v>
      </c>
      <c r="F32" s="1197"/>
      <c r="G32" s="1197"/>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12" style="1199" customWidth="1"/>
    <col min="35" max="39" width="8" style="1199" customWidth="1"/>
    <col min="40" max="41" width="13.75" style="1992"/>
    <col min="42" max="42" width="0" style="1992" hidden="1" customWidth="1"/>
    <col min="43" max="83" width="13.75" style="1992"/>
    <col min="84" max="16384" width="13.75" style="1199"/>
  </cols>
  <sheetData>
    <row r="1" spans="1:83" ht="19.5" thickBot="1">
      <c r="A1" s="147" t="s">
        <v>234</v>
      </c>
      <c r="B1" s="1198"/>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2" customFormat="1" ht="15.75" thickBot="1">
      <c r="A2" s="148" t="s">
        <v>235</v>
      </c>
      <c r="B2" s="2332">
        <f>项目基本情况!D3</f>
        <v>43133</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2" customFormat="1" ht="15" thickBot="1">
      <c r="A3" s="1203"/>
      <c r="B3" s="1200"/>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2" customFormat="1" ht="15" thickBot="1">
      <c r="A4" s="149" t="s">
        <v>865</v>
      </c>
      <c r="B4" s="151"/>
      <c r="C4" s="152"/>
      <c r="D4" s="1204"/>
      <c r="E4" s="1205" t="s">
        <v>866</v>
      </c>
      <c r="F4" s="152"/>
      <c r="G4" s="152"/>
      <c r="H4" s="152"/>
      <c r="I4" s="152"/>
      <c r="J4" s="153"/>
      <c r="K4" s="1206"/>
      <c r="L4" s="1207"/>
      <c r="M4" s="152"/>
      <c r="N4" s="1205" t="s">
        <v>867</v>
      </c>
      <c r="O4" s="152"/>
      <c r="P4" s="152"/>
      <c r="Q4" s="152"/>
      <c r="R4" s="152"/>
      <c r="S4" s="153"/>
      <c r="T4" s="973"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8" customFormat="1" ht="40.5">
      <c r="A5" s="2298"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5" t="s">
        <v>2835</v>
      </c>
      <c r="O5" s="162" t="s">
        <v>246</v>
      </c>
      <c r="P5" s="164" t="s">
        <v>247</v>
      </c>
      <c r="Q5" s="165" t="s">
        <v>248</v>
      </c>
      <c r="R5" s="166" t="s">
        <v>249</v>
      </c>
      <c r="S5" s="2639" t="s">
        <v>2579</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2327</v>
      </c>
      <c r="AI5" s="170" t="s">
        <v>2296</v>
      </c>
      <c r="AJ5" s="170" t="s">
        <v>258</v>
      </c>
      <c r="AK5" s="158" t="s">
        <v>259</v>
      </c>
      <c r="AL5" s="158" t="s">
        <v>260</v>
      </c>
      <c r="AM5" s="171" t="s">
        <v>261</v>
      </c>
      <c r="AN5" s="2409" t="s">
        <v>2378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2" customFormat="1" ht="14.25">
      <c r="A6" s="2296" t="str">
        <f>'数据-汇总表'!C19</f>
        <v>自住型商品房</v>
      </c>
      <c r="B6" s="2331" t="str">
        <f>IF(A6=0,"","经营性")</f>
        <v>经营性</v>
      </c>
      <c r="C6" s="172" t="s">
        <v>924</v>
      </c>
      <c r="D6" s="2302">
        <f>SUMIF(项目基本情况!D$15:I$15,C6,项目基本情况!D$18:I$18)</f>
        <v>70</v>
      </c>
      <c r="E6" s="2303">
        <f>IF(B6="","",SUMIF(项目基本情况!D$15:I$15,C6,项目基本情况!D$17:I$17))</f>
        <v>68444</v>
      </c>
      <c r="F6" s="173">
        <f>SUMIF(项目基本情况!D$15:I$15,C6,项目基本情况!D$19:I$19)</f>
        <v>69.34</v>
      </c>
      <c r="G6" s="174">
        <f>IF(ISERROR(ROUND(POWER(1+H6,D6-F6)*(POWER(1+H6,F6)-1)/(POWER(1+H6,D6)-1),3)),0,ROUND(POWER(1+H6,D6-F6)*(POWER(1+H6,F6)-1)/(POWER(1+H6,D6)-1),3))</f>
        <v>0.998</v>
      </c>
      <c r="H6" s="3044">
        <v>0.04</v>
      </c>
      <c r="I6" s="3044">
        <v>4.4999999999999998E-2</v>
      </c>
      <c r="J6" s="175">
        <v>0.08</v>
      </c>
      <c r="K6" s="178">
        <f>SUMIF('数据-汇总表'!C$19:C$33,'数据-取费表'!A6,'数据-汇总表'!E$19:E$33)</f>
        <v>71612.7</v>
      </c>
      <c r="L6" s="3512">
        <v>3000</v>
      </c>
      <c r="M6" s="176">
        <f t="shared" ref="M6:M14" si="0">ROUND(K6*L6/10000,0)</f>
        <v>21484</v>
      </c>
      <c r="N6" s="3046">
        <v>0</v>
      </c>
      <c r="O6" s="176">
        <f>IF($N$5="成新度","——",ROUND(M6*N6,0))</f>
        <v>0</v>
      </c>
      <c r="P6" s="177">
        <f>IF($N$5="成新度","——",M6-O6)</f>
        <v>21484</v>
      </c>
      <c r="Q6" s="3513">
        <v>0</v>
      </c>
      <c r="R6" s="178">
        <f>SUMIF('数据-汇总表'!C$19:C$33,A6,'数据-汇总表'!R$19:R$33)</f>
        <v>27861.019999999997</v>
      </c>
      <c r="S6" s="131">
        <f>IF('数据-汇总表'!$I$17="按面积比例",SUMIF('数据-汇总表'!C$19:C$33,A6,'数据-汇总表'!K$19:K$33),SUMIF('数据-汇总表'!C$19:C$33,A6,'数据-汇总表'!N$19:N$33))</f>
        <v>14960.18</v>
      </c>
      <c r="T6" s="2228">
        <f>IF($T$4="按面积比例",IF(ISERROR(ROUND($M$14*S6/S$16,0)),"0",ROUND($M$14*S6/S$16,0)),"需自行计算录入")</f>
        <v>3291</v>
      </c>
      <c r="U6" s="179"/>
      <c r="V6" s="180"/>
      <c r="W6" s="180"/>
      <c r="X6" s="2315"/>
      <c r="Y6" s="181"/>
      <c r="Z6" s="182"/>
      <c r="AA6" s="175"/>
      <c r="AB6" s="175"/>
      <c r="AC6" s="2318"/>
      <c r="AD6" s="183"/>
      <c r="AE6" s="968">
        <f ca="1">IF(AN6="",0,SUMIF(INDIRECT("'"&amp;AN6&amp;"'"&amp;"!E:E"),$AE$5,INDIRECT("'"&amp;AN6&amp;"'"&amp;"!F:F")))</f>
        <v>0</v>
      </c>
      <c r="AF6" s="140"/>
      <c r="AG6" s="1209">
        <f>IF(AF6="",0,AE6-AF6)</f>
        <v>0</v>
      </c>
      <c r="AH6" s="140"/>
      <c r="AI6" s="186"/>
      <c r="AJ6" s="187"/>
      <c r="AK6" s="188"/>
      <c r="AL6" s="189"/>
      <c r="AM6" s="3058"/>
      <c r="AN6" s="2410"/>
      <c r="AO6" s="1994"/>
      <c r="AP6" s="1200">
        <f>ROUND(1-1/(1+H6)^F6,3)</f>
        <v>0.93400000000000005</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2" customFormat="1" ht="14.25">
      <c r="A7" s="2296" t="str">
        <f>'数据-汇总表'!C20</f>
        <v>商业服务</v>
      </c>
      <c r="B7" s="2331" t="str">
        <f t="shared" ref="B7:B13" si="1">IF(A7=0,"","经营性")</f>
        <v>经营性</v>
      </c>
      <c r="C7" s="172" t="s">
        <v>3207</v>
      </c>
      <c r="D7" s="2302">
        <f>SUMIF(项目基本情况!D$15:I$15,C7,项目基本情况!D$18:I$18)</f>
        <v>40</v>
      </c>
      <c r="E7" s="2303">
        <f>IF(B7="","",SUMIF(项目基本情况!D$15:I$15,C7,项目基本情况!D$17:I$17))</f>
        <v>57487</v>
      </c>
      <c r="F7" s="173">
        <f>SUMIF(项目基本情况!D$15:I$15,C7,项目基本情况!D$19:I$19)</f>
        <v>39.32</v>
      </c>
      <c r="G7" s="174">
        <f t="shared" ref="G7:G11" si="2">IF(ISERROR(ROUND(POWER(1+H7,D7-F7)*(POWER(1+H7,F7)-1)/(POWER(1+H7,D7)-1),3)),0,ROUND(POWER(1+H7,D7-F7)*(POWER(1+H7,F7)-1)/(POWER(1+H7,D7)-1),3))</f>
        <v>0.99399999999999999</v>
      </c>
      <c r="H7" s="3044">
        <v>0.05</v>
      </c>
      <c r="I7" s="3044">
        <v>0.06</v>
      </c>
      <c r="J7" s="175">
        <v>0.08</v>
      </c>
      <c r="K7" s="178">
        <f>SUMIF('数据-汇总表'!C$19:C$33,'数据-取费表'!A7,'数据-汇总表'!E$19:E$33)</f>
        <v>41</v>
      </c>
      <c r="L7" s="3512">
        <v>2500</v>
      </c>
      <c r="M7" s="176">
        <f t="shared" si="0"/>
        <v>10</v>
      </c>
      <c r="N7" s="3046">
        <v>0</v>
      </c>
      <c r="O7" s="176">
        <f t="shared" ref="O7:O14" si="3">IF($N$5="成新度","——",ROUND(M7*N7,0))</f>
        <v>0</v>
      </c>
      <c r="P7" s="177">
        <f t="shared" ref="P7:P14" si="4">IF($N$5="成新度","——",M7-O7)</f>
        <v>10</v>
      </c>
      <c r="Q7" s="3047">
        <v>0.1</v>
      </c>
      <c r="R7" s="178">
        <f>SUMIF('数据-汇总表'!C$19:C$33,A7,'数据-汇总表'!R$19:R$33)</f>
        <v>15.95</v>
      </c>
      <c r="S7" s="131">
        <f>IF('数据-汇总表'!$I$17="按面积比例",SUMIF('数据-汇总表'!C$19:C$33,A7,'数据-汇总表'!K$19:K$33),SUMIF('数据-汇总表'!C$19:C$33,A7,'数据-汇总表'!N$19:N$33))</f>
        <v>8.57</v>
      </c>
      <c r="T7" s="2228">
        <f t="shared" ref="T7:T13" si="5">IF($T$4="按面积比例",IF(ISERROR(ROUND($M$14*S7/S$16,0)),"0",ROUND($M$14*S7/S$16,0)),"需自行计算录入")</f>
        <v>2</v>
      </c>
      <c r="U7" s="179">
        <v>6</v>
      </c>
      <c r="V7" s="180">
        <v>0.03</v>
      </c>
      <c r="W7" s="180">
        <v>0.05</v>
      </c>
      <c r="X7" s="2315"/>
      <c r="Y7" s="3514">
        <v>1</v>
      </c>
      <c r="Z7" s="182"/>
      <c r="AA7" s="175"/>
      <c r="AB7" s="175"/>
      <c r="AC7" s="2318"/>
      <c r="AD7" s="183"/>
      <c r="AE7" s="968">
        <f t="shared" ref="AE7:AE13" ca="1" si="6">IF(AN7="",0,SUMIF(INDIRECT("'"&amp;AN7&amp;"'"&amp;"!E:E"),$AE$5,INDIRECT("'"&amp;AN7&amp;"'"&amp;"!F:F")))</f>
        <v>37.32</v>
      </c>
      <c r="AF7" s="140"/>
      <c r="AG7" s="1209">
        <f t="shared" ref="AG7:AG13" si="7">IF(AF7="",0,AE7-AF7)</f>
        <v>0</v>
      </c>
      <c r="AH7" s="3492">
        <f>K7</f>
        <v>41</v>
      </c>
      <c r="AI7" s="186">
        <v>365</v>
      </c>
      <c r="AJ7" s="187"/>
      <c r="AK7" s="188">
        <v>1.4999999999999999E-2</v>
      </c>
      <c r="AL7" s="189">
        <v>1.5E-3</v>
      </c>
      <c r="AM7" s="3058">
        <v>0.01</v>
      </c>
      <c r="AN7" s="2410" t="s">
        <v>3383</v>
      </c>
      <c r="AO7" s="1994"/>
      <c r="AP7" s="1200">
        <f t="shared" ref="AP7:AP13" si="8">ROUND(1-1/(1+H7)^F7,3)</f>
        <v>0.85299999999999998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2" customFormat="1" ht="14.25">
      <c r="A8" s="2296" t="str">
        <f>'数据-汇总表'!C21</f>
        <v>办公楼</v>
      </c>
      <c r="B8" s="2331" t="str">
        <f t="shared" si="1"/>
        <v>经营性</v>
      </c>
      <c r="C8" s="172" t="s">
        <v>1679</v>
      </c>
      <c r="D8" s="2302">
        <f>SUMIF(项目基本情况!D$15:I$15,C8,项目基本情况!D$18:I$18)</f>
        <v>50</v>
      </c>
      <c r="E8" s="2303">
        <f>IF(B8="","",SUMIF(项目基本情况!D$15:I$15,C8,项目基本情况!D$17:I$17))</f>
        <v>61139</v>
      </c>
      <c r="F8" s="173">
        <f>SUMIF(项目基本情况!D$15:I$15,C8,项目基本情况!D$19:I$19)</f>
        <v>49.33</v>
      </c>
      <c r="G8" s="174">
        <f t="shared" si="2"/>
        <v>0.996</v>
      </c>
      <c r="H8" s="3044">
        <v>4.4999999999999998E-2</v>
      </c>
      <c r="I8" s="3044">
        <v>5.5E-2</v>
      </c>
      <c r="J8" s="175">
        <v>0.08</v>
      </c>
      <c r="K8" s="178">
        <f>SUMIF('数据-汇总表'!C$19:C$33,'数据-取费表'!A8,'数据-汇总表'!E$19:E$33)</f>
        <v>30762.799999999999</v>
      </c>
      <c r="L8" s="3045">
        <f>L7</f>
        <v>2500</v>
      </c>
      <c r="M8" s="176">
        <f>ROUND(K8*L8/10000,0)</f>
        <v>7691</v>
      </c>
      <c r="N8" s="3046">
        <v>0</v>
      </c>
      <c r="O8" s="176">
        <f t="shared" si="3"/>
        <v>0</v>
      </c>
      <c r="P8" s="177">
        <f t="shared" si="4"/>
        <v>7691</v>
      </c>
      <c r="Q8" s="3047">
        <v>0.1</v>
      </c>
      <c r="R8" s="178">
        <f>SUMIF('数据-汇总表'!C$19:C$33,A8,'数据-汇总表'!R$19:R$33)</f>
        <v>11968.31</v>
      </c>
      <c r="S8" s="131">
        <f>IF('数据-汇总表'!$I$17="按面积比例",SUMIF('数据-汇总表'!C$19:C$33,A8,'数据-汇总表'!K$19:K$33),SUMIF('数据-汇总表'!C$19:C$33,A8,'数据-汇总表'!N$19:N$33))</f>
        <v>6426.47</v>
      </c>
      <c r="T8" s="2228">
        <f t="shared" si="5"/>
        <v>1414</v>
      </c>
      <c r="U8" s="179">
        <v>5.5</v>
      </c>
      <c r="V8" s="180">
        <v>3.5000000000000003E-2</v>
      </c>
      <c r="W8" s="180">
        <v>0.05</v>
      </c>
      <c r="X8" s="2315"/>
      <c r="Y8" s="3514">
        <f>Y7</f>
        <v>1</v>
      </c>
      <c r="Z8" s="182"/>
      <c r="AA8" s="175"/>
      <c r="AB8" s="175"/>
      <c r="AC8" s="2318"/>
      <c r="AD8" s="183"/>
      <c r="AE8" s="968">
        <f t="shared" ca="1" si="6"/>
        <v>47.33</v>
      </c>
      <c r="AF8" s="140"/>
      <c r="AG8" s="1209">
        <f t="shared" si="7"/>
        <v>0</v>
      </c>
      <c r="AH8" s="3492">
        <f>K8</f>
        <v>30762.799999999999</v>
      </c>
      <c r="AI8" s="186">
        <v>365</v>
      </c>
      <c r="AJ8" s="187"/>
      <c r="AK8" s="188">
        <v>1.4999999999999999E-2</v>
      </c>
      <c r="AL8" s="189">
        <v>1.5E-3</v>
      </c>
      <c r="AM8" s="3058">
        <v>0.01</v>
      </c>
      <c r="AN8" s="2410" t="s">
        <v>3385</v>
      </c>
      <c r="AO8" s="1994"/>
      <c r="AP8" s="1200">
        <f t="shared" si="8"/>
        <v>0.88600000000000001</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2" customFormat="1" ht="14.25">
      <c r="A9" s="2296" t="str">
        <f>'数据-汇总表'!C22</f>
        <v>地下车库</v>
      </c>
      <c r="B9" s="2331" t="str">
        <f t="shared" si="1"/>
        <v>经营性</v>
      </c>
      <c r="C9" s="172" t="s">
        <v>3280</v>
      </c>
      <c r="D9" s="2302">
        <f>SUMIF(项目基本情况!D$15:I$15,C9,项目基本情况!D$18:I$18)</f>
        <v>50</v>
      </c>
      <c r="E9" s="2303">
        <f>IF(B9="","",SUMIF(项目基本情况!D$15:I$15,C9,项目基本情况!D$17:I$17))</f>
        <v>61139</v>
      </c>
      <c r="F9" s="173">
        <f>SUMIF(项目基本情况!D$15:I$15,C9,项目基本情况!D$19:I$19)</f>
        <v>49.33</v>
      </c>
      <c r="G9" s="174">
        <f t="shared" si="2"/>
        <v>0.996</v>
      </c>
      <c r="H9" s="175">
        <v>4.4999999999999998E-2</v>
      </c>
      <c r="I9" s="175">
        <v>0.05</v>
      </c>
      <c r="J9" s="175">
        <v>0.08</v>
      </c>
      <c r="K9" s="178">
        <f>SUMIF('数据-汇总表'!C$19:C$33,'数据-取费表'!A9,'数据-汇总表'!E$19:E$33)</f>
        <v>38124.199999999997</v>
      </c>
      <c r="L9" s="192">
        <v>2500</v>
      </c>
      <c r="M9" s="176">
        <f t="shared" si="0"/>
        <v>9531</v>
      </c>
      <c r="N9" s="193">
        <v>0</v>
      </c>
      <c r="O9" s="176">
        <f t="shared" si="3"/>
        <v>0</v>
      </c>
      <c r="P9" s="177">
        <f t="shared" si="4"/>
        <v>9531</v>
      </c>
      <c r="Q9" s="191">
        <v>0.03</v>
      </c>
      <c r="R9" s="178">
        <f>SUMIF('数据-汇总表'!C$19:C$33,A9,'数据-汇总表'!R$19:R$33)</f>
        <v>14832.27</v>
      </c>
      <c r="S9" s="131">
        <f>IF('数据-汇总表'!$I$17="按面积比例",SUMIF('数据-汇总表'!C$19:C$33,A9,'数据-汇总表'!K$19:K$33),SUMIF('数据-汇总表'!C$19:C$33,A9,'数据-汇总表'!N$19:N$33))</f>
        <v>7964.3</v>
      </c>
      <c r="T9" s="2228">
        <f t="shared" si="5"/>
        <v>1752</v>
      </c>
      <c r="U9" s="179">
        <v>1500</v>
      </c>
      <c r="V9" s="180">
        <v>2.5000000000000001E-2</v>
      </c>
      <c r="W9" s="180">
        <v>0.15</v>
      </c>
      <c r="X9" s="2315"/>
      <c r="Y9" s="3514">
        <f>Y7</f>
        <v>1</v>
      </c>
      <c r="Z9" s="182"/>
      <c r="AA9" s="175"/>
      <c r="AB9" s="175"/>
      <c r="AC9" s="2318"/>
      <c r="AD9" s="183"/>
      <c r="AE9" s="968">
        <f t="shared" ca="1" si="6"/>
        <v>47.33</v>
      </c>
      <c r="AF9" s="140"/>
      <c r="AG9" s="1209">
        <f t="shared" si="7"/>
        <v>0</v>
      </c>
      <c r="AH9" s="3492">
        <v>1292</v>
      </c>
      <c r="AI9" s="186">
        <v>12</v>
      </c>
      <c r="AJ9" s="187"/>
      <c r="AK9" s="188">
        <v>1.4999999999999999E-2</v>
      </c>
      <c r="AL9" s="189">
        <v>1.5E-3</v>
      </c>
      <c r="AM9" s="3058">
        <v>0.01</v>
      </c>
      <c r="AN9" s="2410" t="s">
        <v>3387</v>
      </c>
      <c r="AO9" s="1994">
        <f>K9/AH9</f>
        <v>29.507894736842104</v>
      </c>
      <c r="AP9" s="1200">
        <f t="shared" si="8"/>
        <v>0.88600000000000001</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2" customFormat="1" ht="14.25">
      <c r="A10" s="2296" t="str">
        <f>'数据-汇总表'!C23</f>
        <v>戊类库房</v>
      </c>
      <c r="B10" s="2331" t="str">
        <f t="shared" si="1"/>
        <v>经营性</v>
      </c>
      <c r="C10" s="172" t="s">
        <v>3281</v>
      </c>
      <c r="D10" s="2302">
        <f>SUMIF(项目基本情况!D$15:I$15,C10,项目基本情况!D$18:I$18)</f>
        <v>50</v>
      </c>
      <c r="E10" s="2303">
        <f>IF(B10="","",SUMIF(项目基本情况!D$15:I$15,C10,项目基本情况!D$17:I$17))</f>
        <v>61139</v>
      </c>
      <c r="F10" s="173">
        <f>SUMIF(项目基本情况!D$15:I$15,C10,项目基本情况!D$19:I$19)</f>
        <v>49.33</v>
      </c>
      <c r="G10" s="174">
        <f t="shared" si="2"/>
        <v>0.996</v>
      </c>
      <c r="H10" s="3044">
        <v>4.4999999999999998E-2</v>
      </c>
      <c r="I10" s="3044">
        <v>0.05</v>
      </c>
      <c r="J10" s="175">
        <v>0.08</v>
      </c>
      <c r="K10" s="178">
        <f>SUMIF('数据-汇总表'!C$19:C$33,'数据-取费表'!A10,'数据-汇总表'!E$19:E$33)</f>
        <v>6425.8</v>
      </c>
      <c r="L10" s="192">
        <f>L9</f>
        <v>2500</v>
      </c>
      <c r="M10" s="176">
        <f t="shared" si="0"/>
        <v>1606</v>
      </c>
      <c r="N10" s="193">
        <v>0</v>
      </c>
      <c r="O10" s="176">
        <f t="shared" si="3"/>
        <v>0</v>
      </c>
      <c r="P10" s="177">
        <f t="shared" si="4"/>
        <v>1606</v>
      </c>
      <c r="Q10" s="191">
        <v>0.03</v>
      </c>
      <c r="R10" s="178">
        <f>SUMIF('数据-汇总表'!C$19:C$33,A10,'数据-汇总表'!R$19:R$33)</f>
        <v>2499.9700000000003</v>
      </c>
      <c r="S10" s="131">
        <f>IF('数据-汇总表'!$I$17="按面积比例",SUMIF('数据-汇总表'!C$19:C$33,A10,'数据-汇总表'!K$19:K$33),SUMIF('数据-汇总表'!C$19:C$33,A10,'数据-汇总表'!N$19:N$33))</f>
        <v>1342.38</v>
      </c>
      <c r="T10" s="2228">
        <f t="shared" si="5"/>
        <v>295</v>
      </c>
      <c r="U10" s="179">
        <v>2</v>
      </c>
      <c r="V10" s="180">
        <v>0.02</v>
      </c>
      <c r="W10" s="180">
        <v>0.1</v>
      </c>
      <c r="X10" s="2315"/>
      <c r="Y10" s="3514">
        <f>Y7</f>
        <v>1</v>
      </c>
      <c r="Z10" s="182"/>
      <c r="AA10" s="175"/>
      <c r="AB10" s="175"/>
      <c r="AC10" s="2318"/>
      <c r="AD10" s="183"/>
      <c r="AE10" s="968">
        <f t="shared" ca="1" si="6"/>
        <v>47.33</v>
      </c>
      <c r="AF10" s="140"/>
      <c r="AG10" s="1209">
        <f t="shared" si="7"/>
        <v>0</v>
      </c>
      <c r="AH10" s="3492">
        <f>K10</f>
        <v>6425.8</v>
      </c>
      <c r="AI10" s="186">
        <v>365</v>
      </c>
      <c r="AJ10" s="187"/>
      <c r="AK10" s="188">
        <v>1.4999999999999999E-2</v>
      </c>
      <c r="AL10" s="189">
        <v>1.5E-3</v>
      </c>
      <c r="AM10" s="3058">
        <v>0.01</v>
      </c>
      <c r="AN10" s="2410" t="s">
        <v>3387</v>
      </c>
      <c r="AO10" s="1994"/>
      <c r="AP10" s="1200">
        <f t="shared" si="8"/>
        <v>0.88600000000000001</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2" customFormat="1" ht="14.25">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4"/>
      <c r="AA11" s="175"/>
      <c r="AB11" s="175"/>
      <c r="AC11" s="2318"/>
      <c r="AD11" s="183"/>
      <c r="AE11" s="968">
        <f t="shared" ca="1" si="6"/>
        <v>0</v>
      </c>
      <c r="AF11" s="140"/>
      <c r="AG11" s="1209">
        <f t="shared" si="7"/>
        <v>0</v>
      </c>
      <c r="AH11" s="140"/>
      <c r="AI11" s="186"/>
      <c r="AJ11" s="187"/>
      <c r="AK11" s="195"/>
      <c r="AL11" s="196"/>
      <c r="AM11" s="1811"/>
      <c r="AN11" s="2410"/>
      <c r="AO11" s="1994"/>
      <c r="AP11" s="1200">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2" customFormat="1" ht="14.25">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4"/>
      <c r="AA12" s="175"/>
      <c r="AB12" s="175"/>
      <c r="AC12" s="2318"/>
      <c r="AD12" s="183"/>
      <c r="AE12" s="968">
        <f t="shared" ca="1" si="6"/>
        <v>0</v>
      </c>
      <c r="AF12" s="140"/>
      <c r="AG12" s="1209">
        <f t="shared" si="7"/>
        <v>0</v>
      </c>
      <c r="AH12" s="140"/>
      <c r="AI12" s="186"/>
      <c r="AJ12" s="187"/>
      <c r="AK12" s="195"/>
      <c r="AL12" s="196"/>
      <c r="AM12" s="1811"/>
      <c r="AN12" s="2410"/>
      <c r="AO12" s="1994"/>
      <c r="AP12" s="1200">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2"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8">
        <f t="shared" ca="1" si="6"/>
        <v>0</v>
      </c>
      <c r="AF13" s="140"/>
      <c r="AG13" s="1209">
        <f t="shared" si="7"/>
        <v>0</v>
      </c>
      <c r="AH13" s="140"/>
      <c r="AI13" s="186"/>
      <c r="AJ13" s="187"/>
      <c r="AK13" s="188"/>
      <c r="AL13" s="189"/>
      <c r="AM13" s="2408"/>
      <c r="AN13" s="2410"/>
      <c r="AO13" s="1994"/>
      <c r="AP13" s="1200">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2" customFormat="1" ht="14.25">
      <c r="A14" s="2297" t="s">
        <v>2318</v>
      </c>
      <c r="B14" s="2300" t="s">
        <v>1681</v>
      </c>
      <c r="C14" s="2301" t="s">
        <v>2318</v>
      </c>
      <c r="D14" s="2302"/>
      <c r="E14" s="2303"/>
      <c r="F14" s="173"/>
      <c r="G14" s="174"/>
      <c r="H14" s="2304"/>
      <c r="I14" s="2304"/>
      <c r="J14" s="2304"/>
      <c r="K14" s="178">
        <f>SUMIF('数据-汇总表'!C$19:C$33,'数据-取费表'!A14,'数据-汇总表'!E$19:E$33)</f>
        <v>30701.9</v>
      </c>
      <c r="L14" s="192">
        <v>2200</v>
      </c>
      <c r="M14" s="176">
        <f t="shared" si="0"/>
        <v>6754</v>
      </c>
      <c r="N14" s="193">
        <v>0</v>
      </c>
      <c r="O14" s="176">
        <f t="shared" si="3"/>
        <v>0</v>
      </c>
      <c r="P14" s="177">
        <f t="shared" si="4"/>
        <v>6754</v>
      </c>
      <c r="Q14" s="2312"/>
      <c r="R14" s="178"/>
      <c r="S14" s="131"/>
      <c r="T14" s="2311"/>
      <c r="U14" s="970"/>
      <c r="V14" s="2314"/>
      <c r="W14" s="2314"/>
      <c r="X14" s="2315"/>
      <c r="Y14" s="2316"/>
      <c r="Z14" s="135"/>
      <c r="AA14" s="2317"/>
      <c r="AB14" s="2317"/>
      <c r="AC14" s="2318"/>
      <c r="AD14" s="2315"/>
      <c r="AE14" s="968"/>
      <c r="AF14" s="2290"/>
      <c r="AG14" s="1209"/>
      <c r="AH14" s="2290"/>
      <c r="AI14" s="1565"/>
      <c r="AJ14" s="1565"/>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2" customFormat="1" ht="27">
      <c r="A15" s="2306" t="s">
        <v>2320</v>
      </c>
      <c r="B15" s="2300" t="s">
        <v>1681</v>
      </c>
      <c r="C15" s="2301" t="s">
        <v>2319</v>
      </c>
      <c r="D15" s="2302"/>
      <c r="E15" s="2303"/>
      <c r="F15" s="173"/>
      <c r="G15" s="174"/>
      <c r="H15" s="2304"/>
      <c r="I15" s="2304"/>
      <c r="J15" s="2304"/>
      <c r="K15" s="178">
        <f>SUMIF('数据-汇总表'!C$19:C$33,'数据-取费表'!A15,'数据-汇总表'!E$19:E$33)</f>
        <v>164.3</v>
      </c>
      <c r="L15" s="2310"/>
      <c r="M15" s="176"/>
      <c r="N15" s="2313"/>
      <c r="O15" s="176"/>
      <c r="P15" s="177"/>
      <c r="Q15" s="2312"/>
      <c r="R15" s="178"/>
      <c r="S15" s="131"/>
      <c r="T15" s="2311"/>
      <c r="U15" s="970"/>
      <c r="V15" s="2314"/>
      <c r="W15" s="2314"/>
      <c r="X15" s="2315"/>
      <c r="Y15" s="2316"/>
      <c r="Z15" s="135"/>
      <c r="AA15" s="2317"/>
      <c r="AB15" s="2317"/>
      <c r="AC15" s="2318"/>
      <c r="AD15" s="2315"/>
      <c r="AE15" s="968"/>
      <c r="AF15" s="2290"/>
      <c r="AG15" s="1209"/>
      <c r="AH15" s="2290"/>
      <c r="AI15" s="1565"/>
      <c r="AJ15" s="1565"/>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2" customFormat="1" ht="15.75" thickBot="1">
      <c r="A16" s="197" t="s">
        <v>262</v>
      </c>
      <c r="B16" s="198"/>
      <c r="C16" s="199"/>
      <c r="D16" s="200"/>
      <c r="E16" s="198"/>
      <c r="F16" s="198"/>
      <c r="G16" s="201">
        <f>ROUND(SUMPRODUCT(G6:G13,K6:K13)/SUMPRODUCT((G6:G13&gt;0)*(K6:K13)),3)</f>
        <v>0.997</v>
      </c>
      <c r="H16" s="202">
        <f>ROUND(SUMPRODUCT(H6:H13,K6:K13)/SUMPRODUCT((H6:H13&gt;0)*(K6:K13)),3)</f>
        <v>4.2999999999999997E-2</v>
      </c>
      <c r="I16" s="203"/>
      <c r="J16" s="203"/>
      <c r="K16" s="204">
        <f>SUM(K6:K15)</f>
        <v>177832.69999999998</v>
      </c>
      <c r="L16" s="205">
        <f>ROUND(M16*10000/SUM(K6:K14),0)</f>
        <v>2650</v>
      </c>
      <c r="M16" s="205">
        <f>SUM(M6:M14)</f>
        <v>47076</v>
      </c>
      <c r="N16" s="206">
        <f>ROUND(SUMPRODUCT(M6:M14,N6:N14)/M16,3)</f>
        <v>0</v>
      </c>
      <c r="O16" s="205">
        <f>SUM(O6:O14)</f>
        <v>0</v>
      </c>
      <c r="P16" s="205">
        <f>SUM(P6:P14)</f>
        <v>47076</v>
      </c>
      <c r="Q16" s="207">
        <f>ROUND(SUMPRODUCT(Q6:Q13,K6:K13)/SUMPRODUCT((Q6:Q13&gt;0)*(K6:K13)),2)</f>
        <v>0.06</v>
      </c>
      <c r="R16" s="2305">
        <f>SUM(R6:R13)</f>
        <v>57177.520000000004</v>
      </c>
      <c r="S16" s="208">
        <f>SUM(S6:S13)</f>
        <v>30701.9</v>
      </c>
      <c r="T16" s="209">
        <f>IF(SUMIF(T6:T13,"&lt;9E307")=M14,SUMIF(T6:T13,"&lt;9E307"),"有误，请检查")</f>
        <v>6754</v>
      </c>
      <c r="U16" s="210"/>
      <c r="V16" s="211"/>
      <c r="W16" s="211"/>
      <c r="X16" s="214"/>
      <c r="Y16" s="212"/>
      <c r="Z16" s="213"/>
      <c r="AA16" s="211"/>
      <c r="AB16" s="211"/>
      <c r="AC16" s="214"/>
      <c r="AD16" s="214"/>
      <c r="AE16" s="210"/>
      <c r="AF16" s="211"/>
      <c r="AG16" s="212"/>
      <c r="AH16" s="211"/>
      <c r="AI16" s="213"/>
      <c r="AJ16" s="213"/>
      <c r="AK16" s="211"/>
      <c r="AL16" s="211"/>
      <c r="AM16" s="212"/>
      <c r="AN16" s="1994"/>
      <c r="AO16" s="1994"/>
      <c r="AP16" s="1200">
        <f>ROUND(SUMPRODUCT(AP6:AP13,K6:K13)/SUMPRODUCT((AP6:AP13&gt;0)*(K6:K13)),3)</f>
        <v>0.90900000000000003</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0"/>
      <c r="B17" s="1198"/>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200"/>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6" t="s">
        <v>264</v>
      </c>
      <c r="B19" s="217"/>
      <c r="C19" s="2358" t="s">
        <v>2340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8" t="s">
        <v>265</v>
      </c>
      <c r="B20" s="219">
        <v>2</v>
      </c>
      <c r="C20" s="2358" t="s">
        <v>2339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20" t="s">
        <v>266</v>
      </c>
      <c r="B21" s="219">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8" t="s">
        <v>267</v>
      </c>
      <c r="B22" s="221">
        <f>B19+B20</f>
        <v>2</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20" t="s">
        <v>268</v>
      </c>
      <c r="B23" s="221">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2" t="s">
        <v>269</v>
      </c>
      <c r="B24" s="223">
        <f>B20-B21</f>
        <v>2</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3"/>
      <c r="B25" s="1200"/>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4"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1" customFormat="1" ht="27.75">
      <c r="A27" s="225" t="s">
        <v>2342</v>
      </c>
      <c r="B27" s="226">
        <v>160</v>
      </c>
      <c r="C27" s="2361" t="s">
        <v>2346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1" customFormat="1" ht="27.75">
      <c r="A28" s="227" t="s">
        <v>2343</v>
      </c>
      <c r="B28" s="228">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1" customFormat="1" ht="28.5" thickBot="1">
      <c r="A29" s="230" t="s">
        <v>2341</v>
      </c>
      <c r="B29" s="231"/>
      <c r="C29" s="1546" t="s">
        <v>2344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1" customFormat="1" ht="27">
      <c r="A30" s="233" t="s">
        <v>273</v>
      </c>
      <c r="B30" s="974">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1" customFormat="1" ht="27">
      <c r="A31" s="227" t="s">
        <v>274</v>
      </c>
      <c r="B31" s="229">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1" customFormat="1" ht="27.75" thickBot="1">
      <c r="A32" s="235" t="s">
        <v>275</v>
      </c>
      <c r="B32" s="1371"/>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1" customFormat="1" ht="14.25">
      <c r="A33" s="225" t="s">
        <v>278</v>
      </c>
      <c r="B33" s="1372">
        <v>0.03</v>
      </c>
      <c r="C33" s="2359" t="s">
        <v>2899</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7" t="s">
        <v>279</v>
      </c>
      <c r="B34" s="3515">
        <v>0</v>
      </c>
      <c r="C34" s="2359" t="s">
        <v>2900</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7" t="s">
        <v>276</v>
      </c>
      <c r="B35" s="228">
        <f>B30</f>
        <v>200</v>
      </c>
      <c r="C35" s="2359" t="s">
        <v>2901</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30" t="s">
        <v>277</v>
      </c>
      <c r="B36" s="232">
        <v>1.4999999999999999E-2</v>
      </c>
      <c r="C36" s="2359" t="s">
        <v>2902</v>
      </c>
      <c r="D36" s="1984"/>
      <c r="E36" s="1198"/>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3" t="s">
        <v>280</v>
      </c>
      <c r="B37" s="234">
        <v>0.02</v>
      </c>
      <c r="C37" s="2359" t="s">
        <v>2903</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7" t="s">
        <v>281</v>
      </c>
      <c r="B38" s="3515">
        <v>0.01</v>
      </c>
      <c r="C38" s="2359" t="s">
        <v>2903</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2462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2463</v>
      </c>
      <c r="B40" s="2499">
        <f ca="1">存贷款利率!E2</f>
        <v>4.7500000000000001E-2</v>
      </c>
      <c r="C40" s="2359" t="s">
        <v>2345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5" t="s">
        <v>282</v>
      </c>
      <c r="B41" s="236">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5" t="s">
        <v>283</v>
      </c>
      <c r="B42" s="238">
        <v>0.05</v>
      </c>
      <c r="C42" s="3117">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5" t="s">
        <v>284</v>
      </c>
      <c r="B43" s="239">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7" t="s">
        <v>285</v>
      </c>
      <c r="B44" s="3516">
        <v>7.0000000000000007E-2</v>
      </c>
      <c r="C44" s="2359" t="s">
        <v>2904</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7" t="s">
        <v>286</v>
      </c>
      <c r="B45" s="238">
        <v>0.03</v>
      </c>
      <c r="C45" s="2361" t="s">
        <v>2905</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7" t="s">
        <v>287</v>
      </c>
      <c r="B46" s="238">
        <v>0.02</v>
      </c>
      <c r="C46" s="2361" t="s">
        <v>2906</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93" t="s">
        <v>2907</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94" t="s">
        <v>2908</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5" t="s">
        <v>290</v>
      </c>
      <c r="B49" s="238">
        <v>5.0000000000000001E-4</v>
      </c>
      <c r="C49" s="3094" t="s">
        <v>2909</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30"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1.5</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7" t="s">
        <v>294</v>
      </c>
      <c r="B53" s="3517" t="s">
        <v>1411</v>
      </c>
      <c r="C53" s="3095" t="s">
        <v>2910</v>
      </c>
      <c r="D53" s="3096" t="s">
        <v>2911</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2912</v>
      </c>
      <c r="B54" s="185">
        <v>30</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2913</v>
      </c>
      <c r="B55" s="185">
        <v>24</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2914</v>
      </c>
      <c r="B56" s="185">
        <v>18</v>
      </c>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2915</v>
      </c>
      <c r="B57" s="185">
        <v>12</v>
      </c>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2916</v>
      </c>
      <c r="B58" s="185">
        <v>3</v>
      </c>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2917</v>
      </c>
      <c r="B59" s="185">
        <v>1.5</v>
      </c>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2918</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2919</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2920</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2921</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615" t="s">
        <v>1665</v>
      </c>
      <c r="B1" s="3616"/>
      <c r="C1" s="3616"/>
      <c r="D1" s="3616"/>
      <c r="E1" s="3616"/>
      <c r="F1" s="3616"/>
      <c r="G1" s="3616"/>
      <c r="H1" s="1996"/>
      <c r="I1" s="1997"/>
      <c r="J1" s="1998"/>
      <c r="K1" s="1996"/>
      <c r="L1" s="1997"/>
      <c r="M1" s="1998"/>
      <c r="N1" s="1996"/>
      <c r="O1" s="1997"/>
      <c r="P1" s="1998"/>
      <c r="Q1" s="1999"/>
      <c r="R1" s="2000"/>
    </row>
    <row r="2" spans="1:18" ht="14.25" thickBot="1">
      <c r="A2" s="1217"/>
      <c r="B2" s="1218"/>
      <c r="C2" s="1219" t="s">
        <v>1666</v>
      </c>
      <c r="D2" s="1220"/>
      <c r="E2" s="1221"/>
      <c r="F2" s="1222"/>
      <c r="G2" s="1219" t="s">
        <v>1667</v>
      </c>
      <c r="H2" s="2002"/>
      <c r="I2" s="2002"/>
      <c r="J2" s="2002"/>
      <c r="K2" s="2002"/>
      <c r="L2" s="2002"/>
      <c r="M2" s="2002"/>
      <c r="N2" s="2002"/>
      <c r="O2" s="2002"/>
      <c r="P2" s="2002"/>
      <c r="Q2" s="2002"/>
      <c r="R2" s="2002"/>
    </row>
    <row r="3" spans="1:18" ht="81">
      <c r="A3" s="1223" t="s">
        <v>1668</v>
      </c>
      <c r="B3" s="1224" t="s">
        <v>1655</v>
      </c>
      <c r="C3" s="3500" t="s">
        <v>3317</v>
      </c>
      <c r="D3" s="2003"/>
      <c r="E3" s="1225" t="s">
        <v>1668</v>
      </c>
      <c r="F3" s="1226" t="s">
        <v>1656</v>
      </c>
      <c r="G3" s="3102" t="s">
        <v>2926</v>
      </c>
      <c r="H3" s="2002"/>
      <c r="I3" s="2002"/>
      <c r="J3" s="2002"/>
      <c r="K3" s="2002"/>
      <c r="L3" s="2002"/>
      <c r="M3" s="2002"/>
      <c r="N3" s="2002"/>
      <c r="O3" s="2002"/>
      <c r="P3" s="2002"/>
      <c r="Q3" s="2002"/>
      <c r="R3" s="2002"/>
    </row>
    <row r="4" spans="1:18" ht="81">
      <c r="A4" s="1225"/>
      <c r="B4" s="1227" t="s">
        <v>1669</v>
      </c>
      <c r="C4" s="3501" t="s">
        <v>3318</v>
      </c>
      <c r="D4" s="2003"/>
      <c r="E4" s="1228"/>
      <c r="F4" s="1229" t="s">
        <v>1670</v>
      </c>
      <c r="G4" s="3100" t="s">
        <v>2923</v>
      </c>
      <c r="H4" s="2002"/>
      <c r="I4" s="2002"/>
      <c r="J4" s="2002"/>
      <c r="K4" s="2002"/>
      <c r="L4" s="2002"/>
      <c r="M4" s="2002"/>
      <c r="N4" s="2002"/>
      <c r="O4" s="2002"/>
      <c r="P4" s="2002"/>
      <c r="Q4" s="2002"/>
      <c r="R4" s="2002"/>
    </row>
    <row r="5" spans="1:18" ht="81">
      <c r="A5" s="1225"/>
      <c r="B5" s="1227" t="s">
        <v>1671</v>
      </c>
      <c r="C5" s="3501" t="s">
        <v>3319</v>
      </c>
      <c r="D5" s="2003"/>
      <c r="E5" s="1228"/>
      <c r="F5" s="1227" t="s">
        <v>2553</v>
      </c>
      <c r="G5" s="3100" t="s">
        <v>2924</v>
      </c>
      <c r="H5" s="2002"/>
      <c r="I5" s="2002"/>
      <c r="J5" s="2002"/>
      <c r="K5" s="2002"/>
      <c r="L5" s="2002"/>
      <c r="M5" s="2002"/>
      <c r="N5" s="2002"/>
      <c r="O5" s="2002"/>
      <c r="P5" s="2002"/>
      <c r="Q5" s="2002"/>
      <c r="R5" s="2002"/>
    </row>
    <row r="6" spans="1:18" ht="81">
      <c r="A6" s="1225"/>
      <c r="B6" s="1227" t="s">
        <v>1657</v>
      </c>
      <c r="C6" s="3502" t="s">
        <v>3370</v>
      </c>
      <c r="D6" s="2003"/>
      <c r="E6" s="1228"/>
      <c r="F6" s="1227" t="s">
        <v>2554</v>
      </c>
      <c r="G6" s="3100" t="s">
        <v>2922</v>
      </c>
      <c r="H6" s="2002"/>
      <c r="I6" s="2002"/>
      <c r="J6" s="2002"/>
      <c r="K6" s="2002"/>
      <c r="L6" s="2002"/>
      <c r="M6" s="2002"/>
      <c r="N6" s="2002"/>
      <c r="O6" s="2002"/>
      <c r="P6" s="2002"/>
      <c r="Q6" s="2002"/>
      <c r="R6" s="2002"/>
    </row>
    <row r="7" spans="1:18" ht="41.25" thickBot="1">
      <c r="A7" s="1225"/>
      <c r="B7" s="1227" t="s">
        <v>2553</v>
      </c>
      <c r="C7" s="3502" t="s">
        <v>3320</v>
      </c>
      <c r="D7" s="2004"/>
      <c r="E7" s="1230"/>
      <c r="F7" s="1231" t="s">
        <v>1672</v>
      </c>
      <c r="G7" s="3103" t="s">
        <v>2925</v>
      </c>
      <c r="H7" s="2002"/>
      <c r="I7" s="2002"/>
      <c r="J7" s="2002"/>
      <c r="K7" s="2002"/>
      <c r="L7" s="2002"/>
      <c r="M7" s="2002"/>
      <c r="N7" s="2002"/>
      <c r="O7" s="2002"/>
      <c r="P7" s="2002"/>
      <c r="Q7" s="2002"/>
      <c r="R7" s="2002"/>
    </row>
    <row r="8" spans="1:18">
      <c r="A8" s="1225"/>
      <c r="B8" s="1227" t="s">
        <v>2554</v>
      </c>
      <c r="C8" s="3502" t="s">
        <v>3322</v>
      </c>
      <c r="D8" s="2004"/>
      <c r="E8" s="2004"/>
      <c r="F8" s="1547"/>
      <c r="G8" s="1547"/>
      <c r="H8" s="2002"/>
      <c r="I8" s="2002"/>
      <c r="J8" s="2002"/>
      <c r="K8" s="2002"/>
      <c r="L8" s="2002"/>
      <c r="M8" s="2002"/>
      <c r="N8" s="2002"/>
      <c r="O8" s="2002"/>
      <c r="P8" s="2002"/>
      <c r="Q8" s="2002"/>
      <c r="R8" s="2002"/>
    </row>
    <row r="9" spans="1:18" ht="54">
      <c r="A9" s="1225"/>
      <c r="B9" s="1227" t="s">
        <v>1658</v>
      </c>
      <c r="C9" s="3501" t="s">
        <v>3323</v>
      </c>
      <c r="D9" s="2003"/>
      <c r="E9" s="2004"/>
      <c r="F9" s="1547"/>
      <c r="G9" s="1547"/>
      <c r="H9" s="2002"/>
      <c r="I9" s="2002"/>
      <c r="J9" s="2002"/>
      <c r="K9" s="2002"/>
      <c r="L9" s="2002"/>
      <c r="M9" s="2002"/>
      <c r="N9" s="2002"/>
      <c r="O9" s="2002"/>
      <c r="P9" s="2002"/>
      <c r="Q9" s="2002"/>
      <c r="R9" s="2002"/>
    </row>
    <row r="10" spans="1:18" s="2010" customFormat="1" ht="15" thickBot="1">
      <c r="A10" s="1232"/>
      <c r="B10" s="1233" t="s">
        <v>1673</v>
      </c>
      <c r="C10" s="3101" t="s">
        <v>3324</v>
      </c>
      <c r="D10" s="2003"/>
      <c r="E10" s="2003"/>
      <c r="F10" s="1547"/>
      <c r="G10" s="1547"/>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1674</v>
      </c>
      <c r="B13" s="2596"/>
      <c r="C13" s="2596"/>
      <c r="D13" s="1220"/>
      <c r="E13" s="2596"/>
      <c r="F13" s="2596"/>
      <c r="G13" s="2596"/>
    </row>
    <row r="14" spans="1:18" ht="14.25" thickBot="1">
      <c r="A14" s="1234"/>
      <c r="B14" s="1235"/>
      <c r="C14" s="1236" t="s">
        <v>1666</v>
      </c>
      <c r="D14" s="2003"/>
      <c r="E14" s="1237"/>
      <c r="F14" s="1237"/>
      <c r="G14" s="1219" t="s">
        <v>1667</v>
      </c>
    </row>
    <row r="15" spans="1:18" ht="81">
      <c r="A15" s="2606" t="s">
        <v>1659</v>
      </c>
      <c r="B15" s="1238" t="s">
        <v>1655</v>
      </c>
      <c r="C15" s="1239" t="str">
        <f>C3</f>
        <v>估价对象周边居住用地比例较高、居住小区规模和社区发展完善程度较好，有远洋一方、管庄新村等多个项目、综合评价居住社区成熟度较好</v>
      </c>
      <c r="D15" s="2003"/>
      <c r="E15" s="2603" t="s">
        <v>1660</v>
      </c>
      <c r="F15" s="1238" t="s">
        <v>1675</v>
      </c>
      <c r="G15" s="1240" t="str">
        <f>G3</f>
        <v>估价对象位于XX开发区，园区建设成熟度XX，产业集聚程度XX</v>
      </c>
    </row>
    <row r="16" spans="1:18" ht="81">
      <c r="A16" s="2607"/>
      <c r="B16" s="1241" t="s">
        <v>1669</v>
      </c>
      <c r="C16" s="1242" t="str">
        <f>C4</f>
        <v>估价对象位于管庄商圈，周边商业氛围成熟较好，人流量较大，周边2公里有万豪购物广场、国泰百货等多个商业项目，商业繁华度较好</v>
      </c>
      <c r="D16" s="2003"/>
      <c r="E16" s="2604"/>
      <c r="F16" s="1243" t="s">
        <v>1670</v>
      </c>
      <c r="G16" s="1001" t="str">
        <f>G4</f>
        <v>估价对象周边道路状况、公共交通通达情况、停车便捷程度，综合评价交通便捷度较好</v>
      </c>
    </row>
    <row r="17" spans="1:7" ht="81">
      <c r="A17" s="2607"/>
      <c r="B17" s="1241" t="s">
        <v>1671</v>
      </c>
      <c r="C17" s="1242" t="str">
        <f>C5</f>
        <v>估价对象位于管庄商圈，周边办公楼项目较多，入驻率较高，周边2公里有世通国际大厦、意菲克大厦等多个项目，办公集聚程度较好</v>
      </c>
      <c r="D17" s="2004"/>
      <c r="E17" s="2604"/>
      <c r="F17" s="1243" t="s">
        <v>1676</v>
      </c>
      <c r="G17" s="2813"/>
    </row>
    <row r="18" spans="1:7" ht="81">
      <c r="A18" s="2607"/>
      <c r="B18" s="1243" t="s">
        <v>1657</v>
      </c>
      <c r="C18" s="1001" t="str">
        <f>C6</f>
        <v>估价对象周边道路状况较好、公共交通通达情况一般、停车便捷程度较好，有364、532、690路等公交线路及地铁八通线，综合评价交通便捷度一般</v>
      </c>
      <c r="D18" s="2004"/>
      <c r="E18" s="2604"/>
      <c r="F18" s="1243" t="s">
        <v>1672</v>
      </c>
      <c r="G18" s="1001" t="str">
        <f>G7</f>
        <v>该园区内是否有污染型企业，绿化情况，卫生条件，整体环境状况判断</v>
      </c>
    </row>
    <row r="19" spans="1:7" ht="27">
      <c r="A19" s="2607"/>
      <c r="B19" s="1243" t="s">
        <v>1661</v>
      </c>
      <c r="C19" s="2813"/>
      <c r="D19" s="2003"/>
      <c r="E19" s="2604"/>
      <c r="F19" s="1227" t="s">
        <v>2553</v>
      </c>
      <c r="G19" s="1001" t="str">
        <f>G5</f>
        <v>估价对象所在区域公共配套设施齐备情况</v>
      </c>
    </row>
    <row r="20" spans="1:7" ht="54">
      <c r="A20" s="2607"/>
      <c r="B20" s="1243" t="s">
        <v>1662</v>
      </c>
      <c r="C20" s="1242" t="str">
        <f>C9</f>
        <v>区域自然环境：八里桥音乐主题公园、西汇公园、金田公园等；人文环境；综合评价环境状况较好</v>
      </c>
      <c r="D20" s="2004"/>
      <c r="E20" s="2604"/>
      <c r="F20" s="1227" t="s">
        <v>2554</v>
      </c>
      <c r="G20" s="1001" t="str">
        <f>G6</f>
        <v>估价对象所在区域基础设施水平</v>
      </c>
    </row>
    <row r="21" spans="1:7" ht="27">
      <c r="A21" s="2607"/>
      <c r="B21" s="1227" t="s">
        <v>2553</v>
      </c>
      <c r="C21" s="1001" t="str">
        <f>C7</f>
        <v>估价对象所在区域公共配套设施齐备情况较好</v>
      </c>
      <c r="D21" s="2003"/>
      <c r="E21" s="2604"/>
      <c r="F21" s="1243" t="s">
        <v>1663</v>
      </c>
      <c r="G21" s="3104"/>
    </row>
    <row r="22" spans="1:7" ht="14.25">
      <c r="A22" s="2607"/>
      <c r="B22" s="1227" t="s">
        <v>2554</v>
      </c>
      <c r="C22" s="1001" t="str">
        <f>C8</f>
        <v>七通</v>
      </c>
      <c r="D22" s="2003"/>
      <c r="E22" s="2604"/>
      <c r="F22" s="1243" t="s">
        <v>1673</v>
      </c>
      <c r="G22" s="2813"/>
    </row>
    <row r="23" spans="1:7" ht="15" thickBot="1">
      <c r="A23" s="2607"/>
      <c r="B23" s="1243" t="s">
        <v>1663</v>
      </c>
      <c r="C23" s="3104"/>
      <c r="E23" s="2605"/>
      <c r="F23" s="1244" t="s">
        <v>1677</v>
      </c>
      <c r="G23" s="3105"/>
    </row>
    <row r="24" spans="1:7" ht="14.25" thickBot="1">
      <c r="A24" s="2608"/>
      <c r="B24" s="1244" t="s">
        <v>1664</v>
      </c>
      <c r="C24" s="1245" t="str">
        <f>C10</f>
        <v>支路-塔营街</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2851</v>
      </c>
      <c r="B1" s="3064">
        <f>SUM(B14:B23)</f>
        <v>177832.7</v>
      </c>
      <c r="C1" s="3065"/>
      <c r="D1" s="3065"/>
      <c r="E1" s="3065"/>
      <c r="F1" s="3065"/>
    </row>
    <row r="2" spans="1:9" ht="16.5">
      <c r="A2" s="3064" t="s">
        <v>2852</v>
      </c>
      <c r="B2" s="3064">
        <f>SUM(C14:C23)</f>
        <v>57230.39</v>
      </c>
      <c r="C2" s="3065"/>
      <c r="D2" s="3065"/>
      <c r="E2" s="3065"/>
      <c r="F2" s="3065"/>
    </row>
    <row r="3" spans="1:9" ht="16.5">
      <c r="A3" s="3064" t="s">
        <v>2853</v>
      </c>
      <c r="B3" s="3066">
        <f>项目基本情况!D3</f>
        <v>43133</v>
      </c>
      <c r="C3" s="3065"/>
      <c r="D3" s="3065"/>
      <c r="E3" s="3065"/>
      <c r="F3" s="3065"/>
    </row>
    <row r="4" spans="1:9" ht="33">
      <c r="A4" s="3064" t="s">
        <v>2854</v>
      </c>
      <c r="B4" s="3064" t="s">
        <v>2855</v>
      </c>
      <c r="C4" s="3064" t="s">
        <v>2856</v>
      </c>
      <c r="D4" s="3064" t="s">
        <v>2857</v>
      </c>
      <c r="E4" s="3065"/>
      <c r="F4" s="3065"/>
    </row>
    <row r="5" spans="1:9" ht="16.5">
      <c r="A5" s="3064" t="s">
        <v>2858</v>
      </c>
      <c r="B5" s="3064">
        <f ca="1">SUM(D14:D23)</f>
        <v>332989</v>
      </c>
      <c r="C5" s="3064">
        <f ca="1">ROUND(B5*10000/$B$1,0)</f>
        <v>18725</v>
      </c>
      <c r="D5" s="3064">
        <f ca="1">ROUND(B5*10000/$B$2,0)</f>
        <v>58184</v>
      </c>
      <c r="E5" s="3065"/>
      <c r="F5" s="3065"/>
    </row>
    <row r="6" spans="1:9" ht="16.5">
      <c r="A6" s="3064" t="s">
        <v>2859</v>
      </c>
      <c r="B6" s="3064">
        <f ca="1">SUM(G14:G23)</f>
        <v>332989</v>
      </c>
      <c r="C6" s="3064">
        <f t="shared" ref="C6:C8" ca="1" si="0">ROUND(B6*10000/$B$1,0)</f>
        <v>18725</v>
      </c>
      <c r="D6" s="3064">
        <f t="shared" ref="D6:D8" ca="1" si="1">ROUND(B6*10000/$B$2,0)</f>
        <v>58184</v>
      </c>
      <c r="E6" s="3065"/>
      <c r="F6" s="3065"/>
    </row>
    <row r="7" spans="1:9" ht="16.5">
      <c r="A7" s="3064" t="s">
        <v>2860</v>
      </c>
      <c r="B7" s="3064">
        <f>SUM(H14:H23)</f>
        <v>0</v>
      </c>
      <c r="C7" s="3064">
        <f t="shared" si="0"/>
        <v>0</v>
      </c>
      <c r="D7" s="3064">
        <f t="shared" si="1"/>
        <v>0</v>
      </c>
      <c r="E7" s="3065"/>
      <c r="F7" s="3065"/>
    </row>
    <row r="8" spans="1:9" ht="16.5">
      <c r="A8" s="3064" t="s">
        <v>2861</v>
      </c>
      <c r="B8" s="3064">
        <f>SUM(I14:I23)</f>
        <v>0</v>
      </c>
      <c r="C8" s="3064">
        <f t="shared" si="0"/>
        <v>0</v>
      </c>
      <c r="D8" s="3064">
        <f t="shared" si="1"/>
        <v>0</v>
      </c>
      <c r="E8" s="3065"/>
      <c r="F8" s="3065"/>
    </row>
    <row r="9" spans="1:9" ht="16.5">
      <c r="A9" s="3064" t="s">
        <v>2862</v>
      </c>
      <c r="B9" s="3067"/>
      <c r="C9" s="3065"/>
      <c r="D9" s="3065"/>
      <c r="E9" s="3065"/>
      <c r="F9" s="3065"/>
    </row>
    <row r="10" spans="1:9" ht="16.5">
      <c r="A10" s="3064" t="s">
        <v>2863</v>
      </c>
      <c r="B10" s="3067"/>
      <c r="C10" s="3065"/>
      <c r="D10" s="3065"/>
      <c r="E10" s="3065"/>
      <c r="F10" s="3065"/>
    </row>
    <row r="11" spans="1:9" ht="16.5">
      <c r="A11" s="3064" t="s">
        <v>2880</v>
      </c>
      <c r="B11" s="3067"/>
      <c r="C11" s="3065"/>
      <c r="D11" s="3065"/>
      <c r="E11" s="3065"/>
      <c r="F11" s="3065"/>
    </row>
    <row r="12" spans="1:9" ht="16.5">
      <c r="A12" s="3065"/>
      <c r="B12" s="3065"/>
      <c r="C12" s="3065"/>
      <c r="D12" s="3065"/>
      <c r="E12" s="3065"/>
      <c r="F12" s="3065"/>
    </row>
    <row r="13" spans="1:9" ht="33">
      <c r="A13" s="3070" t="s">
        <v>2879</v>
      </c>
      <c r="B13" s="3068" t="s">
        <v>2851</v>
      </c>
      <c r="C13" s="3068" t="s">
        <v>2852</v>
      </c>
      <c r="D13" s="3068" t="s">
        <v>2864</v>
      </c>
      <c r="E13" s="3064" t="s">
        <v>2878</v>
      </c>
      <c r="F13" s="3064" t="s">
        <v>2857</v>
      </c>
      <c r="G13" s="3068" t="s">
        <v>2865</v>
      </c>
      <c r="H13" s="3068" t="s">
        <v>2866</v>
      </c>
      <c r="I13" s="3068" t="s">
        <v>2867</v>
      </c>
    </row>
    <row r="14" spans="1:9" ht="16.5">
      <c r="A14" s="3071" t="s">
        <v>2877</v>
      </c>
      <c r="B14" s="3068">
        <f>结果表!L38</f>
        <v>177832.7</v>
      </c>
      <c r="C14" s="3068">
        <f>结果表!K38</f>
        <v>57230.39</v>
      </c>
      <c r="D14" s="3068">
        <f ca="1">结果表!C42</f>
        <v>332989</v>
      </c>
      <c r="E14" s="3068">
        <f ca="1">ROUND(D14*10000/B14,0)</f>
        <v>18725</v>
      </c>
      <c r="F14" s="3068">
        <f ca="1">ROUND(D14*10000/C14,0)</f>
        <v>58184</v>
      </c>
      <c r="G14" s="3068">
        <f ca="1">结果表!C44</f>
        <v>332989</v>
      </c>
      <c r="H14" s="3068" t="str">
        <f>结果表!C45</f>
        <v>——</v>
      </c>
      <c r="I14" s="3068" t="str">
        <f>结果表!C46</f>
        <v>——</v>
      </c>
    </row>
    <row r="15" spans="1:9" ht="16.5">
      <c r="A15" s="3071" t="s">
        <v>2868</v>
      </c>
      <c r="B15" s="3072"/>
      <c r="C15" s="3072"/>
      <c r="D15" s="3072"/>
      <c r="E15" s="3068" t="e">
        <f t="shared" ref="E15:E23" si="2">ROUND(D15*10000/B15,0)</f>
        <v>#DIV/0!</v>
      </c>
      <c r="F15" s="3068" t="e">
        <f t="shared" ref="F15:F23" si="3">ROUND(D15*10000/C15,0)</f>
        <v>#DIV/0!</v>
      </c>
      <c r="G15" s="3069"/>
      <c r="H15" s="3069"/>
      <c r="I15" s="3072"/>
    </row>
    <row r="16" spans="1:9" ht="16.5">
      <c r="A16" s="3071" t="s">
        <v>2869</v>
      </c>
      <c r="B16" s="3072"/>
      <c r="C16" s="3072"/>
      <c r="D16" s="3072"/>
      <c r="E16" s="3068" t="e">
        <f t="shared" si="2"/>
        <v>#DIV/0!</v>
      </c>
      <c r="F16" s="3068" t="e">
        <f t="shared" si="3"/>
        <v>#DIV/0!</v>
      </c>
      <c r="G16" s="3069"/>
      <c r="H16" s="3069"/>
      <c r="I16" s="3072"/>
    </row>
    <row r="17" spans="1:9" ht="16.5">
      <c r="A17" s="3071" t="s">
        <v>2870</v>
      </c>
      <c r="B17" s="3072"/>
      <c r="C17" s="3072"/>
      <c r="D17" s="3072"/>
      <c r="E17" s="3068" t="e">
        <f t="shared" si="2"/>
        <v>#DIV/0!</v>
      </c>
      <c r="F17" s="3068" t="e">
        <f t="shared" si="3"/>
        <v>#DIV/0!</v>
      </c>
      <c r="G17" s="3069"/>
      <c r="H17" s="3069"/>
      <c r="I17" s="3072"/>
    </row>
    <row r="18" spans="1:9" ht="16.5">
      <c r="A18" s="3071" t="s">
        <v>2871</v>
      </c>
      <c r="B18" s="3072"/>
      <c r="C18" s="3072"/>
      <c r="D18" s="3072"/>
      <c r="E18" s="3068" t="e">
        <f t="shared" si="2"/>
        <v>#DIV/0!</v>
      </c>
      <c r="F18" s="3068" t="e">
        <f t="shared" si="3"/>
        <v>#DIV/0!</v>
      </c>
      <c r="G18" s="3072"/>
      <c r="H18" s="3072"/>
      <c r="I18" s="3072"/>
    </row>
    <row r="19" spans="1:9" ht="16.5">
      <c r="A19" s="3071" t="s">
        <v>2872</v>
      </c>
      <c r="B19" s="3072"/>
      <c r="C19" s="3072"/>
      <c r="D19" s="3072"/>
      <c r="E19" s="3068" t="e">
        <f t="shared" si="2"/>
        <v>#DIV/0!</v>
      </c>
      <c r="F19" s="3068" t="e">
        <f t="shared" si="3"/>
        <v>#DIV/0!</v>
      </c>
      <c r="G19" s="3072"/>
      <c r="H19" s="3072"/>
      <c r="I19" s="3072"/>
    </row>
    <row r="20" spans="1:9" ht="16.5">
      <c r="A20" s="3071" t="s">
        <v>2873</v>
      </c>
      <c r="B20" s="3072"/>
      <c r="C20" s="3072"/>
      <c r="D20" s="3072"/>
      <c r="E20" s="3068" t="e">
        <f t="shared" si="2"/>
        <v>#DIV/0!</v>
      </c>
      <c r="F20" s="3068" t="e">
        <f t="shared" si="3"/>
        <v>#DIV/0!</v>
      </c>
      <c r="G20" s="3072"/>
      <c r="H20" s="3072"/>
      <c r="I20" s="3072"/>
    </row>
    <row r="21" spans="1:9" ht="16.5">
      <c r="A21" s="3071" t="s">
        <v>2874</v>
      </c>
      <c r="B21" s="3072"/>
      <c r="C21" s="3072"/>
      <c r="D21" s="3072"/>
      <c r="E21" s="3068" t="e">
        <f t="shared" si="2"/>
        <v>#DIV/0!</v>
      </c>
      <c r="F21" s="3068" t="e">
        <f t="shared" si="3"/>
        <v>#DIV/0!</v>
      </c>
      <c r="G21" s="3072"/>
      <c r="H21" s="3072"/>
      <c r="I21" s="3072"/>
    </row>
    <row r="22" spans="1:9" ht="16.5">
      <c r="A22" s="3071" t="s">
        <v>2875</v>
      </c>
      <c r="B22" s="3072"/>
      <c r="C22" s="3072"/>
      <c r="D22" s="3072"/>
      <c r="E22" s="3068" t="e">
        <f t="shared" si="2"/>
        <v>#DIV/0!</v>
      </c>
      <c r="F22" s="3068" t="e">
        <f t="shared" si="3"/>
        <v>#DIV/0!</v>
      </c>
      <c r="G22" s="3072"/>
      <c r="H22" s="3072"/>
      <c r="I22" s="3072"/>
    </row>
    <row r="23" spans="1:9" ht="16.5">
      <c r="A23" s="3071" t="s">
        <v>2876</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2" zoomScaleSheetLayoutView="100" zoomScalePageLayoutView="80" workbookViewId="0">
      <selection activeCell="E42" sqref="E42"/>
    </sheetView>
  </sheetViews>
  <sheetFormatPr defaultColWidth="12.625" defaultRowHeight="21.75" customHeight="1"/>
  <cols>
    <col min="1" max="2" width="12.75" style="1246" bestFit="1" customWidth="1"/>
    <col min="3" max="3" width="18" style="1246" customWidth="1"/>
    <col min="4" max="4" width="17.7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70" t="s">
        <v>2059</v>
      </c>
      <c r="B1" s="1771"/>
      <c r="C1" s="1799" t="s">
        <v>2060</v>
      </c>
      <c r="D1" s="1800"/>
      <c r="E1" s="1799" t="s">
        <v>2061</v>
      </c>
      <c r="F1" s="1801"/>
      <c r="G1" s="307"/>
      <c r="H1" s="307"/>
      <c r="I1" s="307"/>
      <c r="J1" s="2023"/>
      <c r="K1" s="2023"/>
      <c r="L1" s="2023"/>
      <c r="M1" s="2023"/>
      <c r="N1" s="2023"/>
      <c r="O1" s="2023"/>
      <c r="P1" s="2023"/>
      <c r="Q1" s="2023"/>
      <c r="R1" s="2023"/>
      <c r="S1" s="2023"/>
      <c r="T1" s="2023"/>
      <c r="U1" s="2023"/>
      <c r="V1" s="2023"/>
    </row>
    <row r="2" spans="1:22" ht="21.75" customHeight="1" thickBot="1">
      <c r="A2" s="3657" t="str">
        <f>项目基本情况!K2</f>
        <v>北京市朝阳区管庄乡塔营村1208-605地块F1住宅混合公建用地项目出让国有建设用地使用权</v>
      </c>
      <c r="B2" s="3658"/>
      <c r="C2" s="3659"/>
      <c r="D2" s="3659"/>
      <c r="E2" s="3659"/>
      <c r="F2" s="3659"/>
      <c r="G2" s="3658"/>
      <c r="H2" s="3658"/>
      <c r="I2" s="3660"/>
      <c r="J2" s="2024"/>
      <c r="K2" s="2023"/>
      <c r="L2" s="2023"/>
      <c r="M2" s="2023"/>
      <c r="N2" s="2023"/>
      <c r="O2" s="2023"/>
      <c r="P2" s="2023"/>
      <c r="Q2" s="2023"/>
      <c r="R2" s="2023"/>
      <c r="S2" s="2023"/>
      <c r="T2" s="2023"/>
      <c r="U2" s="2023"/>
      <c r="V2" s="2023"/>
    </row>
    <row r="3" spans="1:22" ht="14.25">
      <c r="A3" s="3649" t="s">
        <v>298</v>
      </c>
      <c r="B3" s="3650"/>
      <c r="C3" s="3650"/>
      <c r="D3" s="3650"/>
      <c r="E3" s="3650"/>
      <c r="F3" s="3650"/>
      <c r="G3" s="3650"/>
      <c r="H3" s="3650"/>
      <c r="I3" s="3650"/>
      <c r="J3" s="2024"/>
      <c r="K3" s="2023"/>
      <c r="L3" s="2023"/>
      <c r="M3" s="2023"/>
      <c r="N3" s="2023"/>
      <c r="O3" s="2023"/>
      <c r="P3" s="2023"/>
      <c r="Q3" s="2023"/>
      <c r="R3" s="2023"/>
      <c r="S3" s="2023"/>
      <c r="T3" s="2023"/>
      <c r="U3" s="2023"/>
      <c r="V3" s="2023"/>
    </row>
    <row r="4" spans="1:22" ht="14.25">
      <c r="A4" s="254" t="s">
        <v>299</v>
      </c>
      <c r="B4" s="255" t="s">
        <v>300</v>
      </c>
      <c r="C4" s="256" t="s">
        <v>3389</v>
      </c>
      <c r="D4" s="256" t="s">
        <v>3390</v>
      </c>
      <c r="E4" s="3618" t="s">
        <v>301</v>
      </c>
      <c r="F4" s="3619"/>
      <c r="G4" s="3619"/>
      <c r="H4" s="3619"/>
      <c r="I4" s="3652"/>
      <c r="J4" s="2024"/>
      <c r="K4" s="2023"/>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617" t="s">
        <v>302</v>
      </c>
      <c r="B5" s="3643">
        <v>25</v>
      </c>
      <c r="C5" s="3641"/>
      <c r="D5" s="3648"/>
      <c r="E5" s="257" t="s">
        <v>303</v>
      </c>
      <c r="F5" s="258"/>
      <c r="G5" s="258"/>
      <c r="H5" s="258"/>
      <c r="I5" s="259"/>
      <c r="J5" s="2024"/>
      <c r="K5" s="2023"/>
      <c r="L5" s="2023"/>
      <c r="M5" s="2023"/>
      <c r="N5" s="2023"/>
      <c r="O5" s="2023"/>
      <c r="P5" s="2023"/>
      <c r="Q5" s="2023"/>
      <c r="R5" s="2023"/>
      <c r="S5" s="2023"/>
      <c r="T5" s="2023"/>
      <c r="U5" s="2023"/>
      <c r="V5" s="2023"/>
    </row>
    <row r="6" spans="1:22" ht="14.25">
      <c r="A6" s="3617"/>
      <c r="B6" s="3643"/>
      <c r="C6" s="3651"/>
      <c r="D6" s="3648"/>
      <c r="E6" s="257" t="s">
        <v>304</v>
      </c>
      <c r="F6" s="258"/>
      <c r="G6" s="258"/>
      <c r="H6" s="258"/>
      <c r="I6" s="259"/>
      <c r="J6" s="2024"/>
      <c r="K6" s="2023"/>
      <c r="L6" s="2023"/>
      <c r="M6" s="2023"/>
      <c r="N6" s="2023"/>
      <c r="O6" s="2023"/>
      <c r="P6" s="2023"/>
      <c r="Q6" s="2023"/>
      <c r="R6" s="2023"/>
      <c r="S6" s="2023"/>
      <c r="T6" s="2023"/>
      <c r="U6" s="2023"/>
      <c r="V6" s="2023"/>
    </row>
    <row r="7" spans="1:22" ht="14.25">
      <c r="A7" s="3617"/>
      <c r="B7" s="3643"/>
      <c r="C7" s="3642"/>
      <c r="D7" s="3648"/>
      <c r="E7" s="257" t="s">
        <v>305</v>
      </c>
      <c r="F7" s="258"/>
      <c r="G7" s="258"/>
      <c r="H7" s="258"/>
      <c r="I7" s="259"/>
      <c r="J7" s="2024"/>
      <c r="K7" s="2023"/>
      <c r="L7" s="2023"/>
      <c r="M7" s="2023"/>
      <c r="N7" s="2023"/>
      <c r="O7" s="2023"/>
      <c r="P7" s="2023"/>
      <c r="Q7" s="2023"/>
      <c r="R7" s="2023"/>
      <c r="S7" s="2023"/>
      <c r="T7" s="2023"/>
      <c r="U7" s="2023"/>
      <c r="V7" s="2023"/>
    </row>
    <row r="8" spans="1:22" ht="14.25">
      <c r="A8" s="3617" t="s">
        <v>306</v>
      </c>
      <c r="B8" s="3643">
        <v>15</v>
      </c>
      <c r="C8" s="3641"/>
      <c r="D8" s="3648"/>
      <c r="E8" s="257" t="s">
        <v>307</v>
      </c>
      <c r="F8" s="258"/>
      <c r="G8" s="258"/>
      <c r="H8" s="258"/>
      <c r="I8" s="259"/>
      <c r="J8" s="2024"/>
      <c r="K8" s="2023"/>
      <c r="L8" s="2023"/>
      <c r="M8" s="2023"/>
      <c r="N8" s="2023"/>
      <c r="O8" s="2023"/>
      <c r="P8" s="2023"/>
      <c r="Q8" s="2023"/>
      <c r="R8" s="2023"/>
      <c r="S8" s="2023"/>
      <c r="T8" s="2023"/>
      <c r="U8" s="2023"/>
      <c r="V8" s="2023"/>
    </row>
    <row r="9" spans="1:22" ht="14.25">
      <c r="A9" s="3617"/>
      <c r="B9" s="3643"/>
      <c r="C9" s="3642"/>
      <c r="D9" s="3648"/>
      <c r="E9" s="257" t="s">
        <v>308</v>
      </c>
      <c r="F9" s="258"/>
      <c r="G9" s="258"/>
      <c r="H9" s="258"/>
      <c r="I9" s="259"/>
      <c r="J9" s="2024"/>
      <c r="K9" s="2023"/>
      <c r="L9" s="2023"/>
      <c r="M9" s="2023"/>
      <c r="N9" s="2023"/>
      <c r="O9" s="2023"/>
      <c r="P9" s="2023"/>
      <c r="Q9" s="2023"/>
      <c r="R9" s="2023"/>
      <c r="S9" s="2023"/>
      <c r="T9" s="2023"/>
      <c r="U9" s="2023"/>
      <c r="V9" s="2023"/>
    </row>
    <row r="10" spans="1:22" ht="14.25">
      <c r="A10" s="3617" t="s">
        <v>309</v>
      </c>
      <c r="B10" s="3643">
        <v>15</v>
      </c>
      <c r="C10" s="3641"/>
      <c r="D10" s="3648"/>
      <c r="E10" s="257" t="s">
        <v>310</v>
      </c>
      <c r="F10" s="258"/>
      <c r="G10" s="258"/>
      <c r="H10" s="258"/>
      <c r="I10" s="259"/>
      <c r="J10" s="2024"/>
      <c r="K10" s="2023"/>
      <c r="L10" s="2023"/>
      <c r="M10" s="2023"/>
      <c r="N10" s="2023"/>
      <c r="O10" s="2023"/>
      <c r="P10" s="2023"/>
      <c r="Q10" s="2023"/>
      <c r="R10" s="2023"/>
      <c r="S10" s="2023"/>
      <c r="T10" s="2023"/>
      <c r="U10" s="2023"/>
      <c r="V10" s="2023"/>
    </row>
    <row r="11" spans="1:22" ht="14.25">
      <c r="A11" s="3617"/>
      <c r="B11" s="3643"/>
      <c r="C11" s="3642"/>
      <c r="D11" s="3648"/>
      <c r="E11" s="257" t="s">
        <v>311</v>
      </c>
      <c r="F11" s="258"/>
      <c r="G11" s="258"/>
      <c r="H11" s="258"/>
      <c r="I11" s="259"/>
      <c r="J11" s="2024"/>
      <c r="K11" s="2023"/>
      <c r="L11" s="2023"/>
      <c r="M11" s="2023"/>
      <c r="N11" s="2023"/>
      <c r="O11" s="2023"/>
      <c r="P11" s="2023"/>
      <c r="Q11" s="2023"/>
      <c r="R11" s="2023"/>
      <c r="S11" s="2023"/>
      <c r="T11" s="2023"/>
      <c r="U11" s="2023"/>
      <c r="V11" s="2023"/>
    </row>
    <row r="12" spans="1:22" ht="14.25">
      <c r="A12" s="3617" t="s">
        <v>312</v>
      </c>
      <c r="B12" s="3643">
        <v>15</v>
      </c>
      <c r="C12" s="3641"/>
      <c r="D12" s="3648"/>
      <c r="E12" s="257" t="s">
        <v>313</v>
      </c>
      <c r="F12" s="258"/>
      <c r="G12" s="258"/>
      <c r="H12" s="258"/>
      <c r="I12" s="259"/>
      <c r="J12" s="2024"/>
      <c r="K12" s="2023"/>
      <c r="L12" s="2023"/>
      <c r="M12" s="2023"/>
      <c r="N12" s="2023"/>
      <c r="O12" s="2023"/>
      <c r="P12" s="2023"/>
      <c r="Q12" s="2023"/>
      <c r="R12" s="2023"/>
      <c r="S12" s="2023"/>
      <c r="T12" s="2023"/>
      <c r="U12" s="2023"/>
      <c r="V12" s="2023"/>
    </row>
    <row r="13" spans="1:22" ht="14.25">
      <c r="A13" s="3617"/>
      <c r="B13" s="3643"/>
      <c r="C13" s="3642"/>
      <c r="D13" s="3648"/>
      <c r="E13" s="257" t="s">
        <v>314</v>
      </c>
      <c r="F13" s="258"/>
      <c r="G13" s="258"/>
      <c r="H13" s="258"/>
      <c r="I13" s="259"/>
      <c r="J13" s="2024"/>
      <c r="K13" s="2023"/>
      <c r="L13" s="2023"/>
      <c r="M13" s="2023"/>
      <c r="N13" s="2023"/>
      <c r="O13" s="2023"/>
      <c r="P13" s="2023"/>
      <c r="Q13" s="2023"/>
      <c r="R13" s="2023"/>
      <c r="S13" s="2023"/>
      <c r="T13" s="2023"/>
      <c r="U13" s="2023"/>
      <c r="V13" s="2023"/>
    </row>
    <row r="14" spans="1:22" ht="14.25">
      <c r="A14" s="3617" t="s">
        <v>315</v>
      </c>
      <c r="B14" s="3643">
        <v>30</v>
      </c>
      <c r="C14" s="3644">
        <v>7</v>
      </c>
      <c r="D14" s="3647">
        <v>3</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617"/>
      <c r="B15" s="3643"/>
      <c r="C15" s="3645"/>
      <c r="D15" s="3647"/>
      <c r="E15" s="257" t="s">
        <v>317</v>
      </c>
      <c r="F15" s="258"/>
      <c r="G15" s="258"/>
      <c r="H15" s="258"/>
      <c r="I15" s="259"/>
      <c r="J15" s="2024"/>
      <c r="K15" s="2023"/>
      <c r="L15" s="2023"/>
      <c r="M15" s="2023"/>
      <c r="N15" s="2023"/>
      <c r="O15" s="2023"/>
      <c r="P15" s="2023"/>
      <c r="Q15" s="2023"/>
      <c r="R15" s="2023"/>
      <c r="S15" s="2023"/>
      <c r="T15" s="2023"/>
      <c r="U15" s="2023"/>
      <c r="V15" s="2023"/>
    </row>
    <row r="16" spans="1:22" ht="14.25">
      <c r="A16" s="3617"/>
      <c r="B16" s="3643"/>
      <c r="C16" s="3646"/>
      <c r="D16" s="3647"/>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7</v>
      </c>
      <c r="D17" s="261">
        <f>SUM(D5:D16)</f>
        <v>3</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0.7</v>
      </c>
      <c r="D18" s="263">
        <f>1-C18</f>
        <v>0.30000000000000004</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360191</v>
      </c>
      <c r="D19" s="267">
        <f ca="1">SUMIF(INDIRECT("'"&amp;D4&amp;"'"&amp;"!A:A"),结果表!B19,INDIRECT("'"&amp;D4&amp;"'"&amp;"!B:B"))</f>
        <v>269519</v>
      </c>
      <c r="E19" s="264" t="s">
        <v>323</v>
      </c>
      <c r="F19" s="265" t="s">
        <v>322</v>
      </c>
      <c r="G19" s="268">
        <f ca="1">ROUND(C19*$C$18+D19*$D$18,0)</f>
        <v>332989</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20254</v>
      </c>
      <c r="D20" s="273">
        <f ca="1">SUMIF(INDIRECT("'"&amp;D4&amp;"'"&amp;"!A:A"),结果表!B20,INDIRECT("'"&amp;D4&amp;"'"&amp;"!B:B"))</f>
        <v>15156</v>
      </c>
      <c r="E20" s="270"/>
      <c r="F20" s="271" t="s">
        <v>325</v>
      </c>
      <c r="G20" s="274">
        <f ca="1">ROUND(C20*$C$18+D20*$D$18,0)</f>
        <v>18725</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62937</v>
      </c>
      <c r="D21" s="150">
        <f ca="1">SUMIF(INDIRECT("'"&amp;D4&amp;"'"&amp;"!A:A"),结果表!B21,INDIRECT("'"&amp;D4&amp;"'"&amp;"!B:B"))</f>
        <v>47094</v>
      </c>
      <c r="E21" s="270"/>
      <c r="F21" s="276" t="s">
        <v>327</v>
      </c>
      <c r="G21" s="278">
        <f ca="1">ROUND(C21*$C$18+D21*$D$18,0)</f>
        <v>58184</v>
      </c>
      <c r="H21" s="1247" t="s">
        <v>326</v>
      </c>
      <c r="I21" s="307"/>
      <c r="J21" s="2023"/>
      <c r="K21" s="2023"/>
      <c r="L21" s="2023"/>
      <c r="M21" s="2023"/>
      <c r="N21" s="2023"/>
      <c r="O21" s="2023"/>
      <c r="P21" s="2023"/>
      <c r="Q21" s="2023"/>
      <c r="R21" s="2023"/>
      <c r="S21" s="2023"/>
      <c r="T21" s="2023"/>
      <c r="U21" s="2023"/>
      <c r="V21" s="2023"/>
    </row>
    <row r="22" spans="1:26" ht="15.75" thickBot="1">
      <c r="A22" s="125" t="s">
        <v>328</v>
      </c>
      <c r="B22" s="1248"/>
      <c r="C22" s="1249"/>
      <c r="D22" s="279">
        <f ca="1">IF(C19&lt;D19,D19/C19-1,C19/D19-1)</f>
        <v>0.33642155098527371</v>
      </c>
      <c r="E22" s="280"/>
      <c r="F22" s="281"/>
      <c r="G22" s="282">
        <f ca="1">ROUND(G19/('数据-汇总表'!D3/666.67),0)</f>
        <v>3879</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25.5" customHeight="1" thickBot="1">
      <c r="A24" s="3623"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624"/>
      <c r="B25" s="1317" t="s">
        <v>331</v>
      </c>
      <c r="C25" s="286">
        <f>IF(B30=0,0,C30)</f>
        <v>0</v>
      </c>
      <c r="D25" s="287"/>
      <c r="E25" s="307"/>
      <c r="F25" s="307"/>
      <c r="G25" s="307"/>
      <c r="H25" s="307"/>
      <c r="I25" s="307"/>
      <c r="J25" s="2023"/>
      <c r="K25" s="1251" t="str">
        <f ca="1">项目基本情况!B16&amp;"国有建设用地使用权价格："&amp;O38&amp;"万元"</f>
        <v>出让国有建设用地使用权价格：332989万元</v>
      </c>
      <c r="L25" s="1252"/>
      <c r="M25" s="1252"/>
      <c r="N25" s="1252"/>
      <c r="O25" s="1253"/>
      <c r="P25" s="2023"/>
      <c r="Q25" s="2023"/>
      <c r="R25" s="2023"/>
      <c r="S25" s="2023"/>
      <c r="T25" s="2023"/>
      <c r="U25" s="2023"/>
      <c r="V25" s="2023"/>
    </row>
    <row r="26" spans="1:26" s="1250" customFormat="1" ht="18">
      <c r="A26" s="289" t="s">
        <v>332</v>
      </c>
      <c r="B26" s="290" t="s">
        <v>333</v>
      </c>
      <c r="C26" s="290" t="s">
        <v>334</v>
      </c>
      <c r="D26" s="291" t="s">
        <v>335</v>
      </c>
      <c r="E26" s="307"/>
      <c r="F26" s="307"/>
      <c r="G26" s="307"/>
      <c r="H26" s="307"/>
      <c r="I26" s="307"/>
      <c r="J26" s="2023"/>
      <c r="K26" s="1254" t="str">
        <f ca="1">"大写金额：人民币"&amp;NUMBERSTRING(INT(O38*10000),2)&amp;"元整"</f>
        <v>大写金额：人民币叁拾叁亿贰仟玖佰捌拾玖万元整</v>
      </c>
      <c r="L26" s="1248"/>
      <c r="M26" s="1248"/>
      <c r="N26" s="1248"/>
      <c r="O26" s="1247"/>
      <c r="P26" s="2023"/>
      <c r="Q26" s="2023"/>
      <c r="R26" s="2023"/>
      <c r="S26" s="2023"/>
      <c r="T26" s="2023"/>
      <c r="U26" s="2023"/>
      <c r="V26" s="2023"/>
      <c r="W26" s="288"/>
      <c r="X26" s="288"/>
      <c r="Y26" s="288"/>
      <c r="Z26" s="288"/>
    </row>
    <row r="27" spans="1:26" ht="18">
      <c r="A27" s="3520" t="s">
        <v>3392</v>
      </c>
      <c r="B27" s="290">
        <f>'数据-汇总表'!G23</f>
        <v>6425.8</v>
      </c>
      <c r="C27" s="290">
        <f>ROUND(31763*0.25*0.25,0)</f>
        <v>1985</v>
      </c>
      <c r="D27" s="291">
        <f>ROUND(B27*C27/10000,0)</f>
        <v>1276</v>
      </c>
      <c r="E27" s="307"/>
      <c r="F27" s="307"/>
      <c r="G27" s="307"/>
      <c r="H27" s="307"/>
      <c r="I27" s="307"/>
      <c r="J27" s="2023"/>
      <c r="K27" s="1254" t="str">
        <f ca="1">"单位面积地价："&amp;M38&amp;"元/平方米"</f>
        <v>单位面积地价：58184元/平方米</v>
      </c>
      <c r="L27" s="1248"/>
      <c r="M27" s="1248"/>
      <c r="N27" s="1248"/>
      <c r="O27" s="1247"/>
      <c r="P27" s="2023"/>
      <c r="Q27" s="2023"/>
      <c r="R27" s="2023"/>
      <c r="S27" s="2023"/>
      <c r="T27" s="2023"/>
      <c r="U27" s="2023"/>
      <c r="V27" s="2023"/>
    </row>
    <row r="28" spans="1:26" ht="18.75" customHeight="1">
      <c r="A28" s="3520" t="s">
        <v>3393</v>
      </c>
      <c r="B28" s="290">
        <f>'数据-汇总表'!G22</f>
        <v>38124.199999999997</v>
      </c>
      <c r="C28" s="290">
        <f>ROUND(31763*0.2*0.25,0)</f>
        <v>1588</v>
      </c>
      <c r="D28" s="291">
        <f>ROUND(B28*C28/10000,0)</f>
        <v>6054</v>
      </c>
      <c r="E28" s="307"/>
      <c r="F28" s="307"/>
      <c r="G28" s="307"/>
      <c r="H28" s="307"/>
      <c r="I28" s="307"/>
      <c r="J28" s="2023"/>
      <c r="K28" s="1254" t="str">
        <f ca="1">"楼面地价："&amp;N38&amp;"元/平方米"</f>
        <v>楼面地价：18725元/平方米</v>
      </c>
      <c r="L28" s="1248"/>
      <c r="M28" s="1248"/>
      <c r="N28" s="1248"/>
      <c r="O28" s="1247"/>
      <c r="P28" s="2023"/>
      <c r="V28" s="2023"/>
    </row>
    <row r="29" spans="1:26" ht="18">
      <c r="A29" s="289"/>
      <c r="B29" s="290"/>
      <c r="C29" s="290"/>
      <c r="D29" s="291"/>
      <c r="E29" s="307"/>
      <c r="F29" s="307"/>
      <c r="G29" s="307"/>
      <c r="H29" s="307"/>
      <c r="I29" s="307"/>
      <c r="J29" s="2023"/>
      <c r="K29" s="1254" t="str">
        <f ca="1">IF(OR(项目基本情况!E8="抵押价格",项目基本情况!E8="已注销及未注销"),"抵押价格："&amp;O39&amp;"万元","——")</f>
        <v>抵押价格：332989万元</v>
      </c>
      <c r="L29" s="1248"/>
      <c r="M29" s="1248"/>
      <c r="N29" s="1248"/>
      <c r="O29" s="1247"/>
      <c r="P29" s="2023"/>
      <c r="V29" s="2023"/>
    </row>
    <row r="30" spans="1:26" ht="18.75" thickBot="1">
      <c r="A30" s="3153" t="s">
        <v>336</v>
      </c>
      <c r="B30" s="305"/>
      <c r="C30" s="305"/>
      <c r="D30" s="306">
        <f>D27+D28+D29</f>
        <v>7330</v>
      </c>
      <c r="E30" s="3154" t="s">
        <v>2974</v>
      </c>
      <c r="F30" s="307"/>
      <c r="G30" s="307"/>
      <c r="H30" s="307"/>
      <c r="I30" s="307"/>
      <c r="J30" s="2023"/>
      <c r="K30" s="1254" t="str">
        <f ca="1">IF(K29="——","——","大写金额：人民币"&amp;NUMBERSTRING(INT(O39*10000),2)&amp;"元整")</f>
        <v>大写金额：人民币叁拾叁亿贰仟玖佰捌拾玖万元整</v>
      </c>
      <c r="L30" s="1248"/>
      <c r="M30" s="1248"/>
      <c r="N30" s="1248"/>
      <c r="O30" s="1247"/>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337</v>
      </c>
      <c r="B32" s="1375" t="s">
        <v>1690</v>
      </c>
      <c r="C32" s="1376">
        <f ca="1">G19-C24</f>
        <v>332989</v>
      </c>
      <c r="D32" s="1377" t="s">
        <v>1691</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340</v>
      </c>
      <c r="B33" s="1378" t="s">
        <v>1692</v>
      </c>
      <c r="C33" s="260">
        <f ca="1">ROUND(C32*10000/'数据-汇总表'!E3,0)</f>
        <v>18725</v>
      </c>
      <c r="D33" s="1379" t="s">
        <v>1693</v>
      </c>
      <c r="E33" s="3623" t="s">
        <v>338</v>
      </c>
      <c r="F33" s="292" t="s">
        <v>339</v>
      </c>
      <c r="G33" s="293"/>
      <c r="H33" s="976"/>
      <c r="I33" s="1255"/>
      <c r="J33" s="2023"/>
      <c r="K33" s="1254" t="str">
        <f>IF(项目基本情况!E9="——","——","抵押净值："&amp;C46&amp;"万元")</f>
        <v>抵押净值：——万元</v>
      </c>
      <c r="L33" s="1248"/>
      <c r="M33" s="1248"/>
      <c r="N33" s="1248"/>
      <c r="O33" s="1247"/>
      <c r="P33" s="2023"/>
      <c r="V33" s="2023"/>
    </row>
    <row r="34" spans="1:26" s="1250" customFormat="1" ht="18.75" thickBot="1">
      <c r="A34" s="296"/>
      <c r="B34" s="1380" t="s">
        <v>1694</v>
      </c>
      <c r="C34" s="260">
        <f ca="1">ROUND(C32*10000/'数据-汇总表'!D3,0)</f>
        <v>58184</v>
      </c>
      <c r="D34" s="1381" t="s">
        <v>1693</v>
      </c>
      <c r="E34" s="3668"/>
      <c r="F34" s="126" t="s">
        <v>341</v>
      </c>
      <c r="G34" s="295"/>
      <c r="H34" s="104"/>
      <c r="I34" s="307"/>
      <c r="J34" s="2023"/>
      <c r="K34" s="1257" t="e">
        <f>IF(K33="——","——","大写金额：人民币"&amp;NUMBERSTRING(INT(O41*10000),2)&amp;"元整")</f>
        <v>#VALUE!</v>
      </c>
      <c r="L34" s="1258"/>
      <c r="M34" s="1258"/>
      <c r="N34" s="1258"/>
      <c r="O34" s="1259"/>
      <c r="P34" s="2023"/>
      <c r="Q34" s="288"/>
      <c r="R34" s="288"/>
      <c r="S34" s="288"/>
      <c r="T34" s="288"/>
      <c r="U34" s="288"/>
      <c r="V34" s="2023"/>
      <c r="W34" s="288"/>
      <c r="X34" s="288"/>
      <c r="Y34" s="288"/>
      <c r="Z34" s="288"/>
    </row>
    <row r="35" spans="1:26" ht="15.75" thickBot="1">
      <c r="A35" s="280"/>
      <c r="B35" s="1382"/>
      <c r="C35" s="1383">
        <f ca="1">ROUND(C32/('数据-汇总表'!D3/666.67),0)</f>
        <v>3879</v>
      </c>
      <c r="D35" s="1384" t="s">
        <v>1695</v>
      </c>
      <c r="E35" s="3669"/>
      <c r="F35" s="297" t="s">
        <v>342</v>
      </c>
      <c r="G35" s="978"/>
      <c r="H35" s="977" t="s">
        <v>343</v>
      </c>
      <c r="I35" s="307"/>
      <c r="J35" s="2023"/>
      <c r="K35" s="3638" t="s">
        <v>350</v>
      </c>
      <c r="L35" s="3638" t="s">
        <v>351</v>
      </c>
      <c r="M35" s="1260" t="s">
        <v>352</v>
      </c>
      <c r="N35" s="3638" t="s">
        <v>353</v>
      </c>
      <c r="O35" s="3638" t="s">
        <v>354</v>
      </c>
      <c r="P35" s="2023"/>
      <c r="V35" s="2023"/>
    </row>
    <row r="36" spans="1:26" ht="16.5" customHeight="1">
      <c r="A36" s="299" t="s">
        <v>344</v>
      </c>
      <c r="B36" s="300" t="s">
        <v>333</v>
      </c>
      <c r="C36" s="301" t="s">
        <v>345</v>
      </c>
      <c r="D36" s="301" t="s">
        <v>346</v>
      </c>
      <c r="E36" s="302" t="s">
        <v>347</v>
      </c>
      <c r="F36" s="307"/>
      <c r="G36" s="307"/>
      <c r="H36" s="307"/>
      <c r="I36" s="307"/>
      <c r="J36" s="2025"/>
      <c r="K36" s="3639"/>
      <c r="L36" s="3639"/>
      <c r="M36" s="1262" t="s">
        <v>355</v>
      </c>
      <c r="N36" s="3639"/>
      <c r="O36" s="3639"/>
      <c r="P36" s="2023"/>
      <c r="V36" s="2023"/>
    </row>
    <row r="37" spans="1:26" ht="16.5" customHeight="1" thickBot="1">
      <c r="A37" s="1256" t="s">
        <v>348</v>
      </c>
      <c r="B37" s="303"/>
      <c r="C37" s="290"/>
      <c r="D37" s="290"/>
      <c r="E37" s="291"/>
      <c r="F37" s="307"/>
      <c r="G37" s="307"/>
      <c r="H37" s="307"/>
      <c r="I37" s="307"/>
      <c r="J37" s="2025"/>
      <c r="K37" s="3640"/>
      <c r="L37" s="3640"/>
      <c r="M37" s="1263"/>
      <c r="N37" s="3640"/>
      <c r="O37" s="3640"/>
      <c r="P37" s="2023"/>
      <c r="V37" s="2023"/>
    </row>
    <row r="38" spans="1:26" ht="16.5" customHeight="1" thickBot="1">
      <c r="A38" s="1256" t="s">
        <v>349</v>
      </c>
      <c r="B38" s="303"/>
      <c r="C38" s="290"/>
      <c r="D38" s="290"/>
      <c r="E38" s="291"/>
      <c r="F38" s="307"/>
      <c r="G38" s="307"/>
      <c r="H38" s="307"/>
      <c r="I38" s="307"/>
      <c r="J38" s="2025"/>
      <c r="K38" s="1264">
        <f>'数据-汇总表'!D3</f>
        <v>57230.39</v>
      </c>
      <c r="L38" s="1265">
        <f>'数据-汇总表'!E3</f>
        <v>177832.7</v>
      </c>
      <c r="M38" s="1265">
        <f ca="1">C34</f>
        <v>58184</v>
      </c>
      <c r="N38" s="1265">
        <f ca="1">C33</f>
        <v>18725</v>
      </c>
      <c r="O38" s="1266">
        <f ca="1">C32</f>
        <v>332989</v>
      </c>
      <c r="P38" s="2023"/>
      <c r="V38" s="2023"/>
    </row>
    <row r="39" spans="1:26" ht="16.5" customHeight="1" thickBot="1">
      <c r="A39" s="1261"/>
      <c r="B39" s="304"/>
      <c r="C39" s="305"/>
      <c r="D39" s="305"/>
      <c r="E39" s="306"/>
      <c r="F39" s="307"/>
      <c r="G39" s="307"/>
      <c r="H39" s="307"/>
      <c r="I39" s="307"/>
      <c r="J39" s="2025"/>
      <c r="K39" s="3687" t="str">
        <f>MID(A44,3,LEN(A44)-2)</f>
        <v>抵押价格</v>
      </c>
      <c r="L39" s="3688"/>
      <c r="M39" s="3688"/>
      <c r="N39" s="3689"/>
      <c r="O39" s="1386">
        <f ca="1">C44</f>
        <v>332989</v>
      </c>
      <c r="P39" s="2023"/>
      <c r="V39" s="2023"/>
    </row>
    <row r="40" spans="1:26" ht="19.5" thickBot="1">
      <c r="A40" s="103" t="s">
        <v>874</v>
      </c>
      <c r="B40" s="307"/>
      <c r="C40" s="307"/>
      <c r="D40" s="307"/>
      <c r="E40" s="307"/>
      <c r="F40" s="307"/>
      <c r="G40" s="307"/>
      <c r="H40" s="307"/>
      <c r="I40" s="307"/>
      <c r="J40" s="2025"/>
      <c r="K40" s="3687" t="str">
        <f t="shared" ref="K40:K41" si="0">MID(A45,3,LEN(A45)-2)</f>
        <v/>
      </c>
      <c r="L40" s="3688"/>
      <c r="M40" s="3688"/>
      <c r="N40" s="3689"/>
      <c r="O40" s="1386" t="str">
        <f>C45</f>
        <v>——</v>
      </c>
      <c r="P40" s="2023"/>
      <c r="V40" s="2023"/>
    </row>
    <row r="41" spans="1:26" ht="16.5" thickBot="1">
      <c r="A41" s="308" t="s">
        <v>356</v>
      </c>
      <c r="B41" s="309"/>
      <c r="C41" s="310" t="s">
        <v>357</v>
      </c>
      <c r="D41" s="311" t="s">
        <v>358</v>
      </c>
      <c r="E41" s="311" t="s">
        <v>359</v>
      </c>
      <c r="F41" s="312" t="s">
        <v>360</v>
      </c>
      <c r="G41" s="307"/>
      <c r="H41" s="307"/>
      <c r="I41" s="307"/>
      <c r="J41" s="2025"/>
      <c r="K41" s="3687" t="str">
        <f t="shared" si="0"/>
        <v/>
      </c>
      <c r="L41" s="3688"/>
      <c r="M41" s="3688"/>
      <c r="N41" s="3689"/>
      <c r="O41" s="1386" t="str">
        <f>C46</f>
        <v>——</v>
      </c>
      <c r="P41" s="2023"/>
      <c r="V41" s="2023"/>
    </row>
    <row r="42" spans="1:26" ht="29.25">
      <c r="A42" s="3625" t="s">
        <v>2071</v>
      </c>
      <c r="B42" s="3626"/>
      <c r="C42" s="260">
        <f ca="1">C32</f>
        <v>332989</v>
      </c>
      <c r="D42" s="313">
        <f ca="1">C33</f>
        <v>18725</v>
      </c>
      <c r="E42" s="313">
        <f ca="1">C34</f>
        <v>58184</v>
      </c>
      <c r="F42" s="314">
        <f ca="1">C35</f>
        <v>3879</v>
      </c>
      <c r="G42" s="307"/>
      <c r="H42" s="307"/>
      <c r="I42" s="315"/>
      <c r="J42" s="2025"/>
      <c r="K42" s="1267" t="s">
        <v>361</v>
      </c>
      <c r="L42" s="2042" t="s">
        <v>362</v>
      </c>
      <c r="M42" s="1268" t="s">
        <v>363</v>
      </c>
      <c r="N42" s="2043" t="s">
        <v>364</v>
      </c>
      <c r="O42" s="2044" t="s">
        <v>365</v>
      </c>
      <c r="P42" s="2023"/>
      <c r="V42" s="2023"/>
    </row>
    <row r="43" spans="1:26" ht="30">
      <c r="A43" s="3636" t="s">
        <v>2737</v>
      </c>
      <c r="B43" s="3637"/>
      <c r="C43" s="260">
        <f>IF(H33="正常操作",G33+G34+G35,G34+G35)</f>
        <v>0</v>
      </c>
      <c r="D43" s="313" t="s">
        <v>43</v>
      </c>
      <c r="E43" s="313" t="s">
        <v>44</v>
      </c>
      <c r="F43" s="314" t="s">
        <v>44</v>
      </c>
      <c r="G43" s="2886" t="s">
        <v>953</v>
      </c>
      <c r="H43" s="307"/>
      <c r="I43" s="315"/>
      <c r="J43" s="2025"/>
      <c r="K43" s="1269" t="str">
        <f>C4</f>
        <v>比较法-住宅、综合</v>
      </c>
      <c r="L43" s="1270">
        <f ca="1">IF(L42="估价结果/万元",C19,C20)</f>
        <v>360191</v>
      </c>
      <c r="M43" s="1271">
        <f>C18</f>
        <v>0.7</v>
      </c>
      <c r="N43" s="1272">
        <f ca="1">IF(N42="测算结果/万元",G19,G20)</f>
        <v>332989</v>
      </c>
      <c r="O43" s="1273">
        <f ca="1">IF(O42="最终结果/万元",C32,C33)</f>
        <v>332989</v>
      </c>
      <c r="P43" s="2023"/>
      <c r="V43" s="2023"/>
    </row>
    <row r="44" spans="1:26" ht="30.75" thickBot="1">
      <c r="A44" s="3625" t="str">
        <f>IF(OR(项目基本情况!E8="抵押价格",项目基本情况!E8="已注销及未注销"),"3.抵押价格","——")</f>
        <v>3.抵押价格</v>
      </c>
      <c r="B44" s="3626"/>
      <c r="C44" s="260">
        <f ca="1">IF(A44="——","——",C42-C43)</f>
        <v>332989</v>
      </c>
      <c r="D44" s="313">
        <f ca="1">ROUND(C44*10000/'数据-汇总表'!E3,0)</f>
        <v>18725</v>
      </c>
      <c r="E44" s="313">
        <f ca="1">ROUND(C44*10000/'数据-汇总表'!D3,0)</f>
        <v>58184</v>
      </c>
      <c r="F44" s="314">
        <f ca="1">ROUND(C44/('数据-汇总表'!D3/666.67),0)</f>
        <v>3879</v>
      </c>
      <c r="G44" s="307"/>
      <c r="H44" s="307"/>
      <c r="I44" s="315"/>
      <c r="J44" s="2025"/>
      <c r="K44" s="1274" t="str">
        <f>D4</f>
        <v>剩余法-待开发</v>
      </c>
      <c r="L44" s="1275">
        <f ca="1">IF(L42="估价结果/万元",D19,D20)</f>
        <v>269519</v>
      </c>
      <c r="M44" s="1276">
        <f>D18</f>
        <v>0.30000000000000004</v>
      </c>
      <c r="N44" s="1277"/>
      <c r="O44" s="1278"/>
      <c r="P44" s="2023"/>
      <c r="V44" s="2023"/>
    </row>
    <row r="45" spans="1:26" ht="15">
      <c r="A45" s="3631" t="str">
        <f>IF(项目基本情况!E8="已注销及未注销","4.抵押担保权已注销时的抵押价格",IF(项目基本情况!E8="已注销","3.抵押担保权已注销时的抵押价格","——"))</f>
        <v>——</v>
      </c>
      <c r="B45" s="3632"/>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627" t="str">
        <f>IF(项目基本情况!E9="抵押净值",IF(A45="——","4.抵押净值","5.抵押净值"),"——")</f>
        <v>——</v>
      </c>
      <c r="B46" s="3628"/>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9"/>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5"/>
      <c r="E61" s="215"/>
      <c r="F61" s="249"/>
      <c r="G61" s="253"/>
      <c r="H61" s="253"/>
      <c r="I61" s="253"/>
      <c r="J61" s="2026"/>
      <c r="K61" s="2023"/>
      <c r="L61" s="2023"/>
      <c r="M61" s="2023"/>
      <c r="N61" s="2023"/>
      <c r="O61" s="2023"/>
      <c r="P61" s="2023"/>
      <c r="Q61" s="2023"/>
      <c r="R61" s="2023"/>
      <c r="S61" s="2023"/>
      <c r="T61" s="2023"/>
      <c r="U61" s="2023"/>
      <c r="V61" s="2023"/>
    </row>
    <row r="62" spans="1:22" ht="18.75">
      <c r="A62" s="1280" t="s">
        <v>373</v>
      </c>
      <c r="B62" s="1281"/>
      <c r="C62" s="1281"/>
      <c r="D62" s="1282"/>
      <c r="E62" s="1282"/>
      <c r="F62" s="1283"/>
      <c r="G62" s="1283"/>
      <c r="H62" s="1283"/>
      <c r="I62" s="1283"/>
      <c r="J62" s="2027"/>
      <c r="K62" s="2023"/>
      <c r="L62" s="2023"/>
      <c r="M62" s="2023"/>
      <c r="N62" s="2023"/>
      <c r="O62" s="2023"/>
      <c r="P62" s="2023"/>
      <c r="Q62" s="2023"/>
      <c r="R62" s="2023"/>
      <c r="S62" s="2023"/>
      <c r="T62" s="2023"/>
      <c r="U62" s="2023"/>
      <c r="V62" s="2023"/>
    </row>
    <row r="63" spans="1:22" ht="14.25" customHeight="1" thickBot="1">
      <c r="A63" s="3676" t="s">
        <v>374</v>
      </c>
      <c r="B63" s="3677"/>
      <c r="C63" s="3678"/>
      <c r="D63" s="337">
        <f ca="1">ROUND(C42*F63,0)</f>
        <v>199793</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633" t="s">
        <v>378</v>
      </c>
      <c r="B64" s="3634"/>
      <c r="C64" s="3634"/>
      <c r="D64" s="3634"/>
      <c r="E64" s="3634"/>
      <c r="F64" s="3634"/>
      <c r="G64" s="3635"/>
      <c r="H64" s="1284"/>
      <c r="I64" s="944"/>
      <c r="J64" s="1985"/>
      <c r="K64" s="1555"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4"/>
      <c r="I65" s="944"/>
      <c r="J65" s="1985"/>
      <c r="K65" s="1285"/>
      <c r="L65" s="1286"/>
      <c r="M65" s="1286"/>
      <c r="N65" s="1318" t="s">
        <v>379</v>
      </c>
      <c r="O65" s="1319"/>
      <c r="P65" s="1320"/>
      <c r="Q65" s="2023"/>
      <c r="R65" s="2023"/>
      <c r="S65" s="2023"/>
      <c r="T65" s="2023"/>
      <c r="U65" s="2023"/>
      <c r="V65" s="2023"/>
    </row>
    <row r="66" spans="1:22" ht="25.5">
      <c r="A66" s="3629" t="s">
        <v>386</v>
      </c>
      <c r="B66" s="3630"/>
      <c r="C66" s="3630"/>
      <c r="D66" s="257">
        <f ca="1">IF(H66="情况1",0,IF(H66="情况2",D70,IF(H66="情况3",D71,IF(H66="情况4",D72))))</f>
        <v>10656</v>
      </c>
      <c r="E66" s="989" t="str">
        <f>IF(H66="情况4","(销售额-原购置价)×税（费）率","销售额×税（费）率")</f>
        <v>销售额×税（费）率</v>
      </c>
      <c r="F66" s="346">
        <f>IF(H66="情况1","免征",'数据-取费表'!B41)</f>
        <v>5.6000000000000001E-2</v>
      </c>
      <c r="G66" s="347" t="s">
        <v>387</v>
      </c>
      <c r="H66" s="190" t="s">
        <v>388</v>
      </c>
      <c r="I66" s="1284"/>
      <c r="J66" s="2029"/>
      <c r="K66" s="1287">
        <v>1</v>
      </c>
      <c r="L66" s="3691" t="s">
        <v>385</v>
      </c>
      <c r="M66" s="3692"/>
      <c r="N66" s="2477"/>
      <c r="O66" s="2478"/>
      <c r="P66" s="2479"/>
      <c r="Q66" s="2023"/>
      <c r="R66" s="2023"/>
      <c r="S66" s="2023"/>
      <c r="T66" s="2023"/>
      <c r="U66" s="2023"/>
      <c r="V66" s="2023"/>
    </row>
    <row r="67" spans="1:22" ht="25.5" customHeight="1">
      <c r="A67" s="348" t="s">
        <v>390</v>
      </c>
      <c r="B67" s="3620" t="s">
        <v>391</v>
      </c>
      <c r="C67" s="3620"/>
      <c r="D67" s="349">
        <v>0</v>
      </c>
      <c r="E67" s="40" t="s">
        <v>392</v>
      </c>
      <c r="F67" s="61" t="s">
        <v>21</v>
      </c>
      <c r="G67" s="3679"/>
      <c r="H67" s="307"/>
      <c r="I67" s="1288"/>
      <c r="J67" s="2030"/>
      <c r="K67" s="1971">
        <v>2</v>
      </c>
      <c r="L67" s="3690" t="s">
        <v>389</v>
      </c>
      <c r="M67" s="3690"/>
      <c r="N67" s="1321">
        <f>'数据-取费表'!B2</f>
        <v>43133</v>
      </c>
      <c r="O67" s="1321"/>
      <c r="P67" s="1321"/>
      <c r="Q67" s="2023"/>
      <c r="R67" s="2023"/>
      <c r="S67" s="2023"/>
      <c r="T67" s="2023"/>
      <c r="U67" s="2023"/>
      <c r="V67" s="2023"/>
    </row>
    <row r="68" spans="1:22" ht="25.5" customHeight="1">
      <c r="A68" s="350"/>
      <c r="B68" s="3620" t="s">
        <v>394</v>
      </c>
      <c r="C68" s="3620"/>
      <c r="D68" s="351"/>
      <c r="E68" s="76"/>
      <c r="F68" s="352"/>
      <c r="G68" s="3680"/>
      <c r="H68" s="307"/>
      <c r="I68" s="1288"/>
      <c r="J68" s="2030"/>
      <c r="K68" s="1971">
        <v>3</v>
      </c>
      <c r="L68" s="3690" t="s">
        <v>393</v>
      </c>
      <c r="M68" s="3690"/>
      <c r="N68" s="1289">
        <f ca="1">C42</f>
        <v>332989</v>
      </c>
      <c r="O68" s="1289"/>
      <c r="P68" s="1289"/>
      <c r="Q68" s="2023"/>
      <c r="R68" s="2023"/>
      <c r="S68" s="2023"/>
      <c r="T68" s="2023"/>
      <c r="U68" s="2023"/>
      <c r="V68" s="2023"/>
    </row>
    <row r="69" spans="1:22" ht="12" customHeight="1">
      <c r="A69" s="353"/>
      <c r="B69" s="3620" t="s">
        <v>395</v>
      </c>
      <c r="C69" s="3620"/>
      <c r="D69" s="354"/>
      <c r="E69" s="72"/>
      <c r="F69" s="352"/>
      <c r="G69" s="3681"/>
      <c r="H69" s="307"/>
      <c r="I69" s="1288"/>
      <c r="J69" s="2030"/>
      <c r="K69" s="1290">
        <v>4</v>
      </c>
      <c r="L69" s="3695" t="s">
        <v>2890</v>
      </c>
      <c r="M69" s="3696"/>
      <c r="N69" s="1291">
        <f ca="1">C44</f>
        <v>332989</v>
      </c>
      <c r="O69" s="1291"/>
      <c r="P69" s="1291"/>
      <c r="Q69" s="2023"/>
      <c r="R69" s="2023"/>
      <c r="S69" s="2023"/>
      <c r="T69" s="2023"/>
      <c r="U69" s="2023"/>
      <c r="V69" s="2023"/>
    </row>
    <row r="70" spans="1:22" ht="24" customHeight="1">
      <c r="A70" s="355" t="s">
        <v>396</v>
      </c>
      <c r="B70" s="3620" t="s">
        <v>397</v>
      </c>
      <c r="C70" s="3620"/>
      <c r="D70" s="354">
        <f ca="1">ROUND(D63*'数据-取费表'!B41/(1+'数据-取费表'!C42),0)</f>
        <v>10656</v>
      </c>
      <c r="E70" s="17" t="s">
        <v>398</v>
      </c>
      <c r="F70" s="356">
        <f>'数据-取费表'!B41</f>
        <v>5.6000000000000001E-2</v>
      </c>
      <c r="G70" s="357"/>
      <c r="H70" s="307"/>
      <c r="I70" s="1288"/>
      <c r="J70" s="2030"/>
      <c r="K70" s="3081"/>
      <c r="L70" s="3082"/>
      <c r="M70" s="3082"/>
      <c r="N70" s="3083" t="s">
        <v>2895</v>
      </c>
      <c r="O70" s="3082"/>
      <c r="P70" s="3084"/>
      <c r="Q70" s="2023"/>
      <c r="R70" s="2023"/>
      <c r="S70" s="2023"/>
      <c r="T70" s="2023"/>
      <c r="U70" s="2023"/>
      <c r="V70" s="2023"/>
    </row>
    <row r="71" spans="1:22" ht="12" customHeight="1">
      <c r="A71" s="355" t="s">
        <v>404</v>
      </c>
      <c r="B71" s="3621" t="s">
        <v>405</v>
      </c>
      <c r="C71" s="3622"/>
      <c r="D71" s="354">
        <f ca="1">ROUND(D63*'数据-取费表'!B41/(1+'数据-取费表'!C42),0)</f>
        <v>10656</v>
      </c>
      <c r="E71" s="17" t="s">
        <v>398</v>
      </c>
      <c r="F71" s="356">
        <f>'数据-取费表'!B41</f>
        <v>5.6000000000000001E-2</v>
      </c>
      <c r="G71" s="357"/>
      <c r="H71" s="307"/>
      <c r="I71" s="1288"/>
      <c r="J71" s="2030"/>
      <c r="K71" s="3080" t="s">
        <v>399</v>
      </c>
      <c r="L71" s="3697" t="s">
        <v>400</v>
      </c>
      <c r="M71" s="3697"/>
      <c r="N71" s="3080" t="s">
        <v>401</v>
      </c>
      <c r="O71" s="3080" t="s">
        <v>402</v>
      </c>
      <c r="P71" s="3080" t="s">
        <v>403</v>
      </c>
      <c r="Q71" s="2023"/>
      <c r="R71" s="2023"/>
      <c r="S71" s="2023"/>
      <c r="T71" s="2023"/>
      <c r="U71" s="2023"/>
      <c r="V71" s="2023"/>
    </row>
    <row r="72" spans="1:22" ht="12" customHeight="1">
      <c r="A72" s="355" t="s">
        <v>407</v>
      </c>
      <c r="B72" s="3621" t="s">
        <v>408</v>
      </c>
      <c r="C72" s="3622"/>
      <c r="D72" s="354">
        <f ca="1">C86</f>
        <v>10544</v>
      </c>
      <c r="E72" s="72" t="s">
        <v>409</v>
      </c>
      <c r="F72" s="356">
        <f>'数据-取费表'!B41</f>
        <v>5.6000000000000001E-2</v>
      </c>
      <c r="G72" s="357"/>
      <c r="H72" s="1294"/>
      <c r="I72" s="1288"/>
      <c r="J72" s="2030"/>
      <c r="K72" s="1971">
        <v>1</v>
      </c>
      <c r="L72" s="3672" t="s">
        <v>406</v>
      </c>
      <c r="M72" s="3672"/>
      <c r="N72" s="1292">
        <f ca="1">D66</f>
        <v>10656</v>
      </c>
      <c r="O72" s="1854" t="str">
        <f>E66</f>
        <v>销售额×税（费）率</v>
      </c>
      <c r="P72" s="1293">
        <f>F66</f>
        <v>5.6000000000000001E-2</v>
      </c>
      <c r="Q72" s="2023"/>
      <c r="R72" s="2023"/>
      <c r="S72" s="2023"/>
      <c r="T72" s="2023"/>
      <c r="U72" s="2023"/>
      <c r="V72" s="2023"/>
    </row>
    <row r="73" spans="1:22" ht="24" customHeight="1">
      <c r="A73" s="3666" t="s">
        <v>411</v>
      </c>
      <c r="B73" s="3630"/>
      <c r="C73" s="3630"/>
      <c r="D73" s="358">
        <f>IF(H73="个人住宅",0,ROUND(D63*I73,0))</f>
        <v>0</v>
      </c>
      <c r="E73" s="17" t="s">
        <v>412</v>
      </c>
      <c r="F73" s="356" t="str">
        <f>IF(H73="正常",I73,"免征")</f>
        <v>免征</v>
      </c>
      <c r="G73" s="357"/>
      <c r="H73" s="190" t="s">
        <v>2461</v>
      </c>
      <c r="I73" s="356">
        <f>'数据-取费表'!B49</f>
        <v>5.0000000000000001E-4</v>
      </c>
      <c r="J73" s="2030"/>
      <c r="K73" s="1971">
        <v>2</v>
      </c>
      <c r="L73" s="3672" t="s">
        <v>410</v>
      </c>
      <c r="M73" s="3672"/>
      <c r="N73" s="1292">
        <f t="shared" ref="N73:P74" si="1">D73</f>
        <v>0</v>
      </c>
      <c r="O73" s="1854" t="str">
        <f t="shared" si="1"/>
        <v>销售额×税（费）率</v>
      </c>
      <c r="P73" s="1293" t="str">
        <f t="shared" si="1"/>
        <v>免征</v>
      </c>
      <c r="Q73" s="2023"/>
      <c r="R73" s="2023"/>
      <c r="S73" s="2023"/>
      <c r="T73" s="2023"/>
      <c r="U73" s="2023"/>
      <c r="V73" s="2023"/>
    </row>
    <row r="74" spans="1:22" ht="24.75">
      <c r="A74" s="3666" t="s">
        <v>415</v>
      </c>
      <c r="B74" s="3630"/>
      <c r="C74" s="3630"/>
      <c r="D74" s="358">
        <f ca="1">IF(H74="个人住宅",D75,D76)</f>
        <v>112427</v>
      </c>
      <c r="E74" s="17" t="s">
        <v>416</v>
      </c>
      <c r="F74" s="356" t="str">
        <f>IF(H74="正常",F76,"免征")</f>
        <v>——</v>
      </c>
      <c r="G74" s="979" t="s">
        <v>417</v>
      </c>
      <c r="H74" s="359" t="s">
        <v>413</v>
      </c>
      <c r="I74" s="41"/>
      <c r="J74" s="2030"/>
      <c r="K74" s="1971">
        <v>3</v>
      </c>
      <c r="L74" s="3672" t="s">
        <v>414</v>
      </c>
      <c r="M74" s="3672"/>
      <c r="N74" s="1292">
        <f t="shared" ca="1" si="1"/>
        <v>112427</v>
      </c>
      <c r="O74" s="1854" t="str">
        <f t="shared" si="1"/>
        <v>增值额×税（费）率</v>
      </c>
      <c r="P74" s="1295" t="str">
        <f t="shared" si="1"/>
        <v>——</v>
      </c>
      <c r="Q74" s="2023"/>
      <c r="R74" s="2023"/>
      <c r="S74" s="2023"/>
      <c r="T74" s="2023"/>
      <c r="U74" s="2023"/>
      <c r="V74" s="2023"/>
    </row>
    <row r="75" spans="1:22" ht="24">
      <c r="A75" s="355" t="s">
        <v>418</v>
      </c>
      <c r="B75" s="3618" t="s">
        <v>419</v>
      </c>
      <c r="C75" s="3652"/>
      <c r="D75" s="360">
        <v>0</v>
      </c>
      <c r="E75" s="40" t="s">
        <v>420</v>
      </c>
      <c r="F75" s="361"/>
      <c r="G75" s="357"/>
      <c r="H75" s="41"/>
      <c r="I75" s="41"/>
      <c r="J75" s="2030"/>
      <c r="K75" s="3073">
        <f>IF(H77="非个人房产","",4)</f>
        <v>4</v>
      </c>
      <c r="L75" s="3672" t="str">
        <f>IF(H77="非个人房产","——","个人所得税")</f>
        <v>个人所得税</v>
      </c>
      <c r="M75" s="3672"/>
      <c r="N75" s="1296">
        <f ca="1">D77</f>
        <v>1998</v>
      </c>
      <c r="O75" s="1867" t="str">
        <f>E77</f>
        <v>销售额×税（费）率</v>
      </c>
      <c r="P75" s="1297">
        <f>F77</f>
        <v>0.01</v>
      </c>
      <c r="Q75" s="2023"/>
      <c r="R75" s="2023"/>
      <c r="S75" s="2023"/>
      <c r="T75" s="2023"/>
      <c r="U75" s="2023"/>
      <c r="V75" s="2023"/>
    </row>
    <row r="76" spans="1:22" ht="24.75">
      <c r="A76" s="355" t="s">
        <v>396</v>
      </c>
      <c r="B76" s="3618" t="s">
        <v>422</v>
      </c>
      <c r="C76" s="3619"/>
      <c r="D76" s="358">
        <f ca="1">IF(H76="转让取得",C99,C115)</f>
        <v>112427</v>
      </c>
      <c r="E76" s="17" t="s">
        <v>423</v>
      </c>
      <c r="F76" s="52" t="s">
        <v>21</v>
      </c>
      <c r="G76" s="357"/>
      <c r="H76" s="359" t="s">
        <v>424</v>
      </c>
      <c r="I76" s="41"/>
      <c r="J76" s="2030"/>
      <c r="K76" s="3073" t="str">
        <f>IF(项目基本情况!K6="上海银行",IF(K75="",4,K75+1),"")</f>
        <v/>
      </c>
      <c r="L76" s="3683" t="str">
        <f>IF(项目基本情况!K6="上海银行","其他处置费用","")</f>
        <v/>
      </c>
      <c r="M76" s="3684"/>
      <c r="N76" s="1292" t="str">
        <f>IF(项目基本情况!K6="上海银行",N89,"")</f>
        <v/>
      </c>
      <c r="O76" s="3685" t="str">
        <f>IF(项目基本情况!K6="上海银行","包含处置中涉及的律师、诉讼、拍卖、评估等费用","")</f>
        <v/>
      </c>
      <c r="P76" s="3686"/>
      <c r="Q76" s="2023"/>
      <c r="R76" s="2023"/>
      <c r="S76" s="2023"/>
      <c r="T76" s="2023"/>
      <c r="U76" s="2023"/>
      <c r="V76" s="2023"/>
    </row>
    <row r="77" spans="1:22" ht="26.25" thickBot="1">
      <c r="A77" s="3674" t="s">
        <v>426</v>
      </c>
      <c r="B77" s="3675"/>
      <c r="C77" s="3675"/>
      <c r="D77" s="362">
        <f ca="1">IF(H77="非个人房产","——",IF(H77="个人住宅",0,ROUND(D63*I77,0)))</f>
        <v>1998</v>
      </c>
      <c r="E77" s="363" t="str">
        <f>IF(H77="非个人房产","——","销售额×税（费）率")</f>
        <v>销售额×税（费）率</v>
      </c>
      <c r="F77" s="364">
        <f>IF(H77="非个人房产","——",IF(H77="个人住宅","免征",I77))</f>
        <v>0.01</v>
      </c>
      <c r="G77" s="980" t="s">
        <v>417</v>
      </c>
      <c r="H77" s="359" t="s">
        <v>2891</v>
      </c>
      <c r="I77" s="365">
        <v>0.01</v>
      </c>
      <c r="J77" s="2030"/>
      <c r="K77" s="3673">
        <f>IF(AND(K75="",K76=""),4,IF(项目基本情况!K6="上海银行",K76+1,K75+1))</f>
        <v>5</v>
      </c>
      <c r="L77" s="3672" t="s">
        <v>2892</v>
      </c>
      <c r="M77" s="3079" t="s">
        <v>421</v>
      </c>
      <c r="N77" s="1298"/>
      <c r="O77" s="1299">
        <f ca="1">SUMIF(N72:N76,"&lt;9e307")</f>
        <v>125081</v>
      </c>
      <c r="P77" s="1300"/>
      <c r="Q77" s="3077">
        <f ca="1">O77/N69</f>
        <v>0.37563102685073679</v>
      </c>
      <c r="R77" s="2023"/>
      <c r="S77" s="2023"/>
      <c r="T77" s="2023"/>
      <c r="U77" s="2023"/>
      <c r="V77" s="2023"/>
    </row>
    <row r="78" spans="1:22" ht="12" customHeight="1">
      <c r="A78" s="1301"/>
      <c r="B78" s="307"/>
      <c r="C78" s="307"/>
      <c r="D78" s="307"/>
      <c r="E78" s="41"/>
      <c r="F78" s="41"/>
      <c r="G78" s="41"/>
      <c r="H78" s="999"/>
      <c r="I78" s="307"/>
      <c r="J78" s="2030"/>
      <c r="K78" s="3673"/>
      <c r="L78" s="3672"/>
      <c r="M78" s="3079" t="s">
        <v>425</v>
      </c>
      <c r="N78" s="1298"/>
      <c r="O78" s="1299" t="str">
        <f ca="1">NUMBERSTRING(INT(O77*10000),2)&amp;"元整"</f>
        <v>壹拾贰亿伍仟零捌拾壹万元整</v>
      </c>
      <c r="P78" s="1300"/>
      <c r="Q78" s="2023"/>
      <c r="R78" s="2023"/>
      <c r="S78" s="2023"/>
      <c r="T78" s="2023"/>
      <c r="U78" s="2023"/>
      <c r="V78" s="2023"/>
    </row>
    <row r="79" spans="1:22" ht="13.5" thickBot="1">
      <c r="A79" s="3667" t="s">
        <v>427</v>
      </c>
      <c r="B79" s="3667"/>
      <c r="C79" s="3667"/>
      <c r="D79" s="3667"/>
      <c r="E79" s="3667"/>
      <c r="F79" s="41"/>
      <c r="G79" s="41"/>
      <c r="H79" s="999"/>
      <c r="I79" s="307"/>
      <c r="J79" s="2030"/>
      <c r="K79" s="3693">
        <f>K77+1</f>
        <v>6</v>
      </c>
      <c r="L79" s="3672" t="s">
        <v>2893</v>
      </c>
      <c r="M79" s="3079" t="s">
        <v>421</v>
      </c>
      <c r="N79" s="1298"/>
      <c r="O79" s="1299">
        <f ca="1">N69-O77</f>
        <v>207908</v>
      </c>
      <c r="P79" s="1300"/>
      <c r="Q79" s="2023"/>
      <c r="R79" s="2023"/>
      <c r="S79" s="2023"/>
      <c r="T79" s="2023"/>
      <c r="U79" s="2023"/>
      <c r="V79" s="2023"/>
    </row>
    <row r="80" spans="1:22" ht="25.5">
      <c r="A80" s="3662" t="s">
        <v>428</v>
      </c>
      <c r="B80" s="3663"/>
      <c r="C80" s="990"/>
      <c r="D80" s="990" t="s">
        <v>429</v>
      </c>
      <c r="E80" s="366" t="s">
        <v>430</v>
      </c>
      <c r="F80" s="41"/>
      <c r="G80" s="41"/>
      <c r="H80" s="999"/>
      <c r="I80" s="307"/>
      <c r="J80" s="2023"/>
      <c r="K80" s="3694"/>
      <c r="L80" s="3672"/>
      <c r="M80" s="3079" t="s">
        <v>425</v>
      </c>
      <c r="N80" s="1298"/>
      <c r="O80" s="1299" t="str">
        <f ca="1">NUMBERSTRING(INT(O79*10000),2)&amp;"元整"</f>
        <v>贰拾亿柒仟玖佰零捌万元整</v>
      </c>
      <c r="P80" s="1300"/>
      <c r="Q80" s="2023"/>
      <c r="R80" s="2023"/>
      <c r="S80" s="2023"/>
      <c r="T80" s="2023"/>
      <c r="U80" s="2023"/>
      <c r="V80" s="2023"/>
    </row>
    <row r="81" spans="1:26" ht="13.5" thickBot="1">
      <c r="A81" s="377" t="s">
        <v>1825</v>
      </c>
      <c r="B81" s="367" t="s">
        <v>431</v>
      </c>
      <c r="C81" s="368">
        <f ca="1">ROUND((C82+C83)/(1+'数据-取费表'!C42),0)</f>
        <v>190279</v>
      </c>
      <c r="D81" s="369"/>
      <c r="E81" s="370"/>
      <c r="F81" s="41"/>
      <c r="G81" s="41"/>
      <c r="H81" s="999"/>
      <c r="I81" s="307"/>
      <c r="J81" s="2023"/>
      <c r="K81" s="3073">
        <f>K79+1</f>
        <v>7</v>
      </c>
      <c r="L81" s="3670" t="s">
        <v>2894</v>
      </c>
      <c r="M81" s="3671"/>
      <c r="N81" s="1302"/>
      <c r="O81" s="1303">
        <f ca="1">ROUND(O79*10000/'数据-汇总表'!E3,0)</f>
        <v>11691</v>
      </c>
      <c r="P81" s="1304"/>
      <c r="Q81" s="2023"/>
      <c r="R81" s="2023"/>
      <c r="S81" s="2023"/>
      <c r="T81" s="2023"/>
      <c r="U81" s="2023"/>
      <c r="V81" s="2023"/>
    </row>
    <row r="82" spans="1:26" ht="13.5" thickTop="1">
      <c r="A82" s="371" t="s">
        <v>1826</v>
      </c>
      <c r="B82" s="372" t="s">
        <v>432</v>
      </c>
      <c r="C82" s="373">
        <f ca="1">D63</f>
        <v>199793</v>
      </c>
      <c r="D82" s="374" t="s">
        <v>19</v>
      </c>
      <c r="E82" s="375"/>
      <c r="F82" s="41"/>
      <c r="G82" s="41"/>
      <c r="H82" s="999"/>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9"/>
      <c r="I83" s="307"/>
      <c r="J83" s="2023"/>
      <c r="K83" s="3682" t="s">
        <v>2881</v>
      </c>
      <c r="L83" s="3085" t="s">
        <v>2882</v>
      </c>
      <c r="M83" s="3075">
        <f ca="1">IF(N69&gt;10000,N69*0.5%,IF(AND(N69&gt;1000,N69&lt;=10000),N69*1%,IF(AND(N69&gt;100,N69&lt;=1000),N69*3%,IF(AND(N69&gt;10,N69&lt;=100),N69*5%,N69*8%))))</f>
        <v>1664.9449999999999</v>
      </c>
      <c r="N83" s="52">
        <f ca="1">ROUND(M83,1)</f>
        <v>1664.9</v>
      </c>
      <c r="O83" s="3078"/>
      <c r="P83" s="2023"/>
      <c r="Q83" s="2023"/>
      <c r="R83" s="2023"/>
      <c r="S83" s="2023"/>
      <c r="T83" s="2023"/>
      <c r="U83" s="2023"/>
      <c r="V83" s="2023"/>
    </row>
    <row r="84" spans="1:26" ht="12.75">
      <c r="A84" s="377" t="s">
        <v>1828</v>
      </c>
      <c r="B84" s="378" t="s">
        <v>434</v>
      </c>
      <c r="C84" s="379">
        <v>2000</v>
      </c>
      <c r="D84" s="380" t="s">
        <v>19</v>
      </c>
      <c r="E84" s="3118" t="s">
        <v>2945</v>
      </c>
      <c r="F84" s="41"/>
      <c r="G84" s="41"/>
      <c r="H84" s="999"/>
      <c r="I84" s="307"/>
      <c r="J84" s="2023"/>
      <c r="K84" s="3682"/>
      <c r="L84" s="3085" t="s">
        <v>2883</v>
      </c>
      <c r="M84" s="3075">
        <f ca="1">IF(N69&gt;2000,N69*0.5%,IF(AND(N69&gt;1000,N69&lt;=2000),N69*0.6%,IF(AND(N69&gt;500,N69&lt;=1000),N69*0.7%,IF(AND(N69&gt;200,N69&lt;=500),N69*0.8%,IF(AND(N69&gt;100,N69&lt;=200),N69*0.9%,IF(AND(N69&gt;50,N69&lt;=100),N69*1%,IF(AND(N69&gt;20,N69&lt;=50),N69*1.5%,IF(AND(N69&gt;10,N69&lt;=20),N69*2%,IF(AND(N69&gt;1,N69&lt;=10),N69*2.5%)))))))))</f>
        <v>1664.9449999999999</v>
      </c>
      <c r="N84" s="52">
        <f t="shared" ref="N84:N85" ca="1" si="2">ROUND(M84,1)</f>
        <v>1664.9</v>
      </c>
      <c r="O84" s="2023" t="s">
        <v>2884</v>
      </c>
      <c r="P84" s="2023"/>
      <c r="Q84" s="2023"/>
      <c r="R84" s="2023"/>
      <c r="S84" s="2023"/>
      <c r="T84" s="2023"/>
      <c r="U84" s="2023"/>
      <c r="V84" s="2023"/>
    </row>
    <row r="85" spans="1:26" ht="12.75">
      <c r="A85" s="377" t="s">
        <v>1829</v>
      </c>
      <c r="B85" s="378" t="s">
        <v>435</v>
      </c>
      <c r="C85" s="381">
        <f ca="1">C81-C84</f>
        <v>188279</v>
      </c>
      <c r="D85" s="374" t="s">
        <v>19</v>
      </c>
      <c r="E85" s="375"/>
      <c r="F85" s="41"/>
      <c r="G85" s="41"/>
      <c r="H85" s="999"/>
      <c r="I85" s="307"/>
      <c r="J85" s="2023"/>
      <c r="K85" s="3682"/>
      <c r="L85" s="3085" t="s">
        <v>2885</v>
      </c>
      <c r="M85" s="3075">
        <f ca="1">IF(N69&gt;1000,N69*0.1%,IF(AND(N69&gt;500,N69&lt;=1000),N69*0.5%,IF(AND(N69&gt;50,N69&lt;=500),N69*1%,IF(AND(N69&gt;1,N69&lt;=50),N69*1.5%))))</f>
        <v>332.98900000000003</v>
      </c>
      <c r="N85" s="52">
        <f t="shared" ca="1" si="2"/>
        <v>333</v>
      </c>
      <c r="O85" s="2023" t="s">
        <v>2884</v>
      </c>
      <c r="P85" s="2023"/>
      <c r="Q85" s="2023"/>
      <c r="R85" s="2023"/>
      <c r="S85" s="2023"/>
      <c r="T85" s="2023"/>
      <c r="U85" s="2023"/>
      <c r="V85" s="2023"/>
    </row>
    <row r="86" spans="1:26" ht="13.5" thickBot="1">
      <c r="A86" s="382" t="s">
        <v>1830</v>
      </c>
      <c r="B86" s="383" t="s">
        <v>436</v>
      </c>
      <c r="C86" s="384">
        <f ca="1">IF(C85&lt;=0,0,ROUND(C85*D86,0))</f>
        <v>10544</v>
      </c>
      <c r="D86" s="385">
        <f>'数据-取费表'!B41</f>
        <v>5.6000000000000001E-2</v>
      </c>
      <c r="E86" s="386"/>
      <c r="F86" s="41"/>
      <c r="G86" s="41"/>
      <c r="H86" s="999"/>
      <c r="I86" s="307"/>
      <c r="J86" s="2023"/>
      <c r="K86" s="3682"/>
      <c r="L86" s="3085" t="s">
        <v>2886</v>
      </c>
      <c r="M86" s="3075">
        <f ca="1">N69*0.5%</f>
        <v>1664.9449999999999</v>
      </c>
      <c r="N86" s="52">
        <f ca="1">IF(M86&gt;0.5,0.5,ROUND(M86,0))</f>
        <v>0.5</v>
      </c>
      <c r="O86" s="2023" t="s">
        <v>2887</v>
      </c>
      <c r="P86" s="2023"/>
      <c r="Q86" s="2023"/>
      <c r="R86" s="2023"/>
      <c r="S86" s="2023"/>
      <c r="T86" s="2023"/>
      <c r="U86" s="2023"/>
      <c r="V86" s="2023"/>
    </row>
    <row r="87" spans="1:26" s="1250" customFormat="1" ht="14.25" customHeight="1">
      <c r="A87" s="1305"/>
      <c r="B87" s="1306"/>
      <c r="C87" s="1307"/>
      <c r="D87" s="1308"/>
      <c r="E87" s="1309"/>
      <c r="F87" s="41"/>
      <c r="G87" s="41"/>
      <c r="H87" s="999"/>
      <c r="I87" s="307"/>
      <c r="J87" s="2023"/>
      <c r="K87" s="3682"/>
      <c r="L87" s="3085" t="s">
        <v>2888</v>
      </c>
      <c r="M87" s="3075">
        <f ca="1">IF(N69&gt;=10000,(8.25+(N69-10000)*0.01%),IF(AND(N69&gt;=8000,N69&lt;10000),(7.85+(N69-8000)*0.02%),IF(AND(N69&gt;=5000,N69&lt;8000),(6.65+(N69-5000)*0.04%),IF(AND(N69&gt;=2000,N69&lt;5000),(4.25+(PN69-2000)*0.08%),IF(AND(N69&gt;=1000,N69&lt;2000),(2.75+(N69-1000)*0.15%),IF(AND(N69&gt;=100,N69&lt;1000),(0.5+(N69-100)*0.25%),IF(AND(N69&gt;0,N69&lt;100),N69*0.5%)))))))</f>
        <v>40.548900000000003</v>
      </c>
      <c r="N87" s="52">
        <f ca="1">ROUND(M87*0.9,1)</f>
        <v>36.5</v>
      </c>
      <c r="O87" s="3078"/>
      <c r="P87" s="307"/>
      <c r="Q87" s="2023"/>
      <c r="R87" s="2023"/>
      <c r="S87" s="2023"/>
      <c r="T87" s="2023"/>
      <c r="U87" s="2023"/>
      <c r="V87" s="2023"/>
      <c r="W87" s="288"/>
      <c r="X87" s="288"/>
      <c r="Y87" s="288"/>
      <c r="Z87" s="288"/>
    </row>
    <row r="88" spans="1:26" s="1310" customFormat="1" ht="15" thickBot="1">
      <c r="A88" s="3664" t="s">
        <v>437</v>
      </c>
      <c r="B88" s="3665"/>
      <c r="C88" s="3665"/>
      <c r="D88" s="3665"/>
      <c r="E88" s="3665"/>
      <c r="F88" s="3665"/>
      <c r="G88" s="3665"/>
      <c r="H88" s="3665"/>
      <c r="I88" s="1311"/>
      <c r="J88" s="2031"/>
      <c r="K88" s="3682"/>
      <c r="L88" s="3085" t="s">
        <v>2889</v>
      </c>
      <c r="M88" s="3075">
        <f ca="1">IF(N69&gt;10000,N69*0.5%,IF(AND(N69&gt;5000,N69&lt;=10000),N69*1%,IF(AND(N69&gt;1000,N69&lt;=5000),N69*2%,IF(AND(N69&gt;200,N69&lt;=1000),N69*3%,N69*5%))))</f>
        <v>1664.9449999999999</v>
      </c>
      <c r="N88" s="52">
        <f ca="1">ROUND(M88,1)</f>
        <v>1664.9</v>
      </c>
      <c r="O88" s="3078"/>
      <c r="P88" s="11"/>
      <c r="Q88" s="2028"/>
      <c r="R88" s="2028"/>
      <c r="S88" s="2028"/>
      <c r="T88" s="2028"/>
      <c r="U88" s="2028"/>
      <c r="V88" s="2028"/>
      <c r="W88" s="2032"/>
      <c r="X88" s="2032"/>
      <c r="Y88" s="2032"/>
      <c r="Z88" s="2032"/>
    </row>
    <row r="89" spans="1:26" s="1310" customFormat="1" ht="14.25">
      <c r="A89" s="3662" t="s">
        <v>428</v>
      </c>
      <c r="B89" s="3663"/>
      <c r="C89" s="990"/>
      <c r="D89" s="990" t="s">
        <v>429</v>
      </c>
      <c r="E89" s="387" t="s">
        <v>438</v>
      </c>
      <c r="F89" s="388"/>
      <c r="G89" s="388"/>
      <c r="H89" s="389"/>
      <c r="I89" s="1312"/>
      <c r="J89" s="2033"/>
      <c r="K89" s="3682"/>
      <c r="L89" s="3085" t="s">
        <v>27</v>
      </c>
      <c r="M89" s="3076"/>
      <c r="N89" s="52">
        <f ca="1">ROUND(SUM(N83:N88),0)</f>
        <v>5365</v>
      </c>
      <c r="O89" s="3086">
        <f ca="1">N89/N69</f>
        <v>1.6111643327557365E-2</v>
      </c>
      <c r="P89" s="2028"/>
      <c r="Q89" s="2028"/>
      <c r="R89" s="2028"/>
      <c r="S89" s="2028"/>
      <c r="T89" s="2028"/>
      <c r="U89" s="2028"/>
      <c r="V89" s="2028"/>
      <c r="W89" s="2032"/>
      <c r="X89" s="2032"/>
      <c r="Y89" s="2032"/>
      <c r="Z89" s="2032"/>
    </row>
    <row r="90" spans="1:26" s="1310" customFormat="1" ht="14.25">
      <c r="A90" s="377" t="s">
        <v>1825</v>
      </c>
      <c r="B90" s="378" t="s">
        <v>439</v>
      </c>
      <c r="C90" s="381">
        <f ca="1">ROUND(D63/(1+'数据-取费表'!C42),0)</f>
        <v>190279</v>
      </c>
      <c r="D90" s="374" t="s">
        <v>19</v>
      </c>
      <c r="E90" s="987"/>
      <c r="F90" s="986"/>
      <c r="G90" s="986"/>
      <c r="H90" s="390"/>
      <c r="I90" s="1312"/>
      <c r="J90" s="2033"/>
      <c r="K90" s="2028"/>
      <c r="L90" s="2028"/>
      <c r="M90" s="2028"/>
      <c r="N90" s="2028"/>
      <c r="O90" s="2028"/>
      <c r="P90" s="2028"/>
      <c r="Q90" s="2028"/>
      <c r="R90" s="2028"/>
      <c r="S90" s="2028"/>
      <c r="T90" s="2028"/>
      <c r="U90" s="2028"/>
      <c r="V90" s="2028"/>
      <c r="W90" s="2032"/>
      <c r="X90" s="2032"/>
      <c r="Y90" s="2032"/>
      <c r="Z90" s="2032"/>
    </row>
    <row r="91" spans="1:26" s="1310" customFormat="1" ht="14.25">
      <c r="A91" s="377" t="s">
        <v>1831</v>
      </c>
      <c r="B91" s="344" t="s">
        <v>440</v>
      </c>
      <c r="C91" s="381">
        <f ca="1">C92+C96</f>
        <v>3703</v>
      </c>
      <c r="D91" s="374" t="s">
        <v>19</v>
      </c>
      <c r="E91" s="987"/>
      <c r="F91" s="986"/>
      <c r="G91" s="986"/>
      <c r="H91" s="390"/>
      <c r="I91" s="1312"/>
      <c r="J91" s="2033"/>
      <c r="K91" s="2028"/>
      <c r="L91" s="2028"/>
      <c r="M91" s="2028"/>
      <c r="N91" s="2028"/>
      <c r="O91" s="2028"/>
      <c r="P91" s="2028"/>
      <c r="Q91" s="2028"/>
      <c r="R91" s="2028"/>
      <c r="S91" s="2028"/>
      <c r="T91" s="2028"/>
      <c r="U91" s="2028"/>
      <c r="V91" s="2028"/>
      <c r="W91" s="2032"/>
      <c r="X91" s="2032"/>
      <c r="Y91" s="2032"/>
      <c r="Z91" s="2032"/>
    </row>
    <row r="92" spans="1:26" s="1310" customFormat="1" ht="24">
      <c r="A92" s="391" t="s">
        <v>1832</v>
      </c>
      <c r="B92" s="372" t="s">
        <v>441</v>
      </c>
      <c r="C92" s="374">
        <f>ROUND(IF(G95="2016年5月1日后购买",C93/(1+'数据-取费表'!C30)+C94+C95,C93+C94+C95),0)</f>
        <v>2561</v>
      </c>
      <c r="D92" s="374" t="s">
        <v>19</v>
      </c>
      <c r="E92" s="987"/>
      <c r="F92" s="986"/>
      <c r="G92" s="986"/>
      <c r="H92" s="390"/>
      <c r="I92" s="1312"/>
      <c r="J92" s="2033"/>
      <c r="K92" s="2028"/>
      <c r="L92" s="2028"/>
      <c r="M92" s="2028"/>
      <c r="N92" s="2028"/>
      <c r="O92" s="2028"/>
      <c r="P92" s="2028"/>
      <c r="Q92" s="2028"/>
      <c r="R92" s="2028"/>
      <c r="S92" s="2028"/>
      <c r="T92" s="2028"/>
      <c r="U92" s="2028"/>
      <c r="V92" s="2028"/>
      <c r="W92" s="2032"/>
      <c r="X92" s="2032"/>
      <c r="Y92" s="2032"/>
      <c r="Z92" s="2032"/>
    </row>
    <row r="93" spans="1:26" s="1310"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10" customFormat="1" ht="24.75" customHeight="1">
      <c r="A94" s="391" t="s">
        <v>1834</v>
      </c>
      <c r="B94" s="396" t="s">
        <v>446</v>
      </c>
      <c r="C94" s="374">
        <f>IF(F93="购房发票",ROUND(C93*H93*5%,0),0)</f>
        <v>500</v>
      </c>
      <c r="D94" s="397">
        <v>0.05</v>
      </c>
      <c r="E94" s="3621" t="s">
        <v>447</v>
      </c>
      <c r="F94" s="3620"/>
      <c r="G94" s="3620"/>
      <c r="H94" s="3661"/>
      <c r="I94" s="1312"/>
      <c r="J94" s="2033"/>
      <c r="K94" s="2028"/>
      <c r="L94" s="2028"/>
      <c r="M94" s="2028"/>
      <c r="N94" s="2028"/>
      <c r="O94" s="2028"/>
      <c r="P94" s="2028"/>
      <c r="Q94" s="2028"/>
      <c r="R94" s="2028"/>
      <c r="S94" s="2028"/>
      <c r="T94" s="2028"/>
      <c r="U94" s="2028"/>
      <c r="V94" s="2028"/>
      <c r="W94" s="2032"/>
      <c r="X94" s="2032"/>
      <c r="Y94" s="2032"/>
      <c r="Z94" s="2032"/>
    </row>
    <row r="95" spans="1:26" s="1310" customFormat="1" ht="24.75" customHeight="1">
      <c r="A95" s="391" t="s">
        <v>1835</v>
      </c>
      <c r="B95" s="372" t="s">
        <v>448</v>
      </c>
      <c r="C95" s="374">
        <f>ROUND(IF(G95="个人买卖住房",0,IF(G95="2016年5月1日前购买",C93*D95,C93*D95/(1+'数据-取费表'!C42))),0)</f>
        <v>61</v>
      </c>
      <c r="D95" s="398">
        <f>'数据-取费表'!B48+'数据-取费表'!B49</f>
        <v>3.0499999999999999E-2</v>
      </c>
      <c r="E95" s="25" t="s">
        <v>449</v>
      </c>
      <c r="F95" s="399"/>
      <c r="G95" s="400" t="s">
        <v>2434</v>
      </c>
      <c r="H95" s="995" t="str">
        <f>IF(G95="个人买卖住房","免征印花税"," ")</f>
        <v xml:space="preserve"> </v>
      </c>
      <c r="I95" s="1312"/>
      <c r="J95" s="2033"/>
      <c r="K95" s="2028"/>
      <c r="L95" s="2028"/>
      <c r="M95" s="2028"/>
      <c r="N95" s="2028"/>
      <c r="O95" s="2028"/>
      <c r="P95" s="2028"/>
      <c r="Q95" s="2028"/>
      <c r="R95" s="2028"/>
      <c r="S95" s="2028"/>
      <c r="T95" s="2028"/>
      <c r="U95" s="2028"/>
      <c r="V95" s="2028"/>
      <c r="W95" s="2032"/>
      <c r="X95" s="2032"/>
      <c r="Y95" s="2032"/>
      <c r="Z95" s="2032"/>
    </row>
    <row r="96" spans="1:26" s="1310" customFormat="1" ht="24.75" customHeight="1">
      <c r="A96" s="391" t="s">
        <v>1836</v>
      </c>
      <c r="B96" s="372" t="s">
        <v>450</v>
      </c>
      <c r="C96" s="401">
        <f ca="1">ROUND(D63*D96/(1+'数据-取费表'!C42),0)</f>
        <v>1142</v>
      </c>
      <c r="D96" s="402">
        <f>'数据-取费表'!B43</f>
        <v>6.000000000000001E-3</v>
      </c>
      <c r="E96" s="3653" t="s">
        <v>2433</v>
      </c>
      <c r="F96" s="3654"/>
      <c r="G96" s="3654"/>
      <c r="H96" s="3655"/>
      <c r="I96" s="1313"/>
      <c r="J96" s="2034"/>
      <c r="K96" s="2028"/>
      <c r="L96" s="2028"/>
      <c r="M96" s="2028"/>
      <c r="N96" s="2028"/>
      <c r="O96" s="2028"/>
      <c r="P96" s="2028"/>
      <c r="Q96" s="2028"/>
      <c r="R96" s="2028"/>
      <c r="S96" s="2028"/>
      <c r="T96" s="2028"/>
      <c r="U96" s="2028"/>
      <c r="V96" s="2028"/>
      <c r="W96" s="2032"/>
      <c r="X96" s="2032"/>
      <c r="Y96" s="2032"/>
      <c r="Z96" s="2032"/>
    </row>
    <row r="97" spans="1:26" s="1310" customFormat="1" ht="14.25">
      <c r="A97" s="1611" t="s">
        <v>1837</v>
      </c>
      <c r="B97" s="378" t="s">
        <v>451</v>
      </c>
      <c r="C97" s="381">
        <f ca="1">C90-C91</f>
        <v>186576</v>
      </c>
      <c r="D97" s="374" t="s">
        <v>19</v>
      </c>
      <c r="E97" s="987"/>
      <c r="F97" s="986"/>
      <c r="G97" s="986"/>
      <c r="H97" s="390"/>
      <c r="I97" s="1312"/>
      <c r="J97" s="2033"/>
      <c r="K97" s="2028"/>
      <c r="L97" s="2028"/>
      <c r="M97" s="2028"/>
      <c r="N97" s="2028"/>
      <c r="O97" s="2028"/>
      <c r="P97" s="2028"/>
      <c r="Q97" s="2028"/>
      <c r="R97" s="2028"/>
      <c r="S97" s="2028"/>
      <c r="T97" s="2028"/>
      <c r="U97" s="2028"/>
      <c r="V97" s="2028"/>
      <c r="W97" s="2032"/>
      <c r="X97" s="2032"/>
      <c r="Y97" s="2032"/>
      <c r="Z97" s="2032"/>
    </row>
    <row r="98" spans="1:26" s="1310" customFormat="1" ht="24">
      <c r="A98" s="1611" t="s">
        <v>1838</v>
      </c>
      <c r="B98" s="378" t="s">
        <v>452</v>
      </c>
      <c r="C98" s="403">
        <f ca="1">IF(C97&lt;=0,0,C97/C91)</f>
        <v>50.385093167701861</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3"/>
      <c r="K98" s="2028"/>
      <c r="L98" s="2028"/>
      <c r="M98" s="2028"/>
      <c r="N98" s="2028"/>
      <c r="O98" s="2028"/>
      <c r="P98" s="2028"/>
      <c r="Q98" s="2028"/>
      <c r="R98" s="2028"/>
      <c r="S98" s="2028"/>
      <c r="T98" s="2028"/>
      <c r="U98" s="2028"/>
      <c r="V98" s="2028"/>
      <c r="W98" s="2032"/>
      <c r="X98" s="2032"/>
      <c r="Y98" s="2032"/>
      <c r="Z98" s="2032"/>
    </row>
    <row r="99" spans="1:26" s="1310" customFormat="1" ht="24.75" thickBot="1">
      <c r="A99" s="1612" t="s">
        <v>1839</v>
      </c>
      <c r="B99" s="383" t="s">
        <v>453</v>
      </c>
      <c r="C99" s="404">
        <f ca="1">ROUND(IF(C97&lt;=0,0,IF(C98&gt;=200%,C97*60%-C91*35%,IF(C98&gt;=100%,C97*50%-C91*15%,IF(C98&gt;=50%,C97*40%-C91*5%,IF(C98&lt;50%,C97*30%,0))))),0)</f>
        <v>110650</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3"/>
      <c r="K99" s="2028"/>
      <c r="L99" s="2028"/>
      <c r="M99" s="2028"/>
      <c r="N99" s="2028"/>
      <c r="O99" s="2028"/>
      <c r="P99" s="2028"/>
      <c r="Q99" s="2028"/>
      <c r="R99" s="2028"/>
      <c r="S99" s="2028"/>
      <c r="T99" s="2028"/>
      <c r="U99" s="2028"/>
      <c r="V99" s="2028"/>
      <c r="W99" s="2032"/>
      <c r="X99" s="2032"/>
      <c r="Y99" s="2032"/>
      <c r="Z99" s="2032"/>
    </row>
    <row r="100" spans="1:26" s="1310" customFormat="1" ht="7.5" customHeight="1">
      <c r="A100" s="1314"/>
      <c r="B100" s="1315"/>
      <c r="C100" s="11"/>
      <c r="D100" s="11"/>
      <c r="E100" s="1315"/>
      <c r="F100" s="1315"/>
      <c r="G100" s="1315"/>
      <c r="H100" s="1316"/>
      <c r="I100" s="1313"/>
      <c r="J100" s="2034"/>
      <c r="K100" s="2028"/>
      <c r="L100" s="2028"/>
      <c r="M100" s="2028"/>
      <c r="N100" s="2028"/>
      <c r="O100" s="2028"/>
      <c r="P100" s="2028"/>
      <c r="Q100" s="2028"/>
      <c r="R100" s="2028"/>
      <c r="S100" s="2028"/>
      <c r="T100" s="2028"/>
      <c r="U100" s="2028"/>
      <c r="V100" s="2028"/>
      <c r="W100" s="2032"/>
      <c r="X100" s="2032"/>
      <c r="Y100" s="2032"/>
      <c r="Z100" s="2032"/>
    </row>
    <row r="101" spans="1:26" s="1310" customFormat="1" ht="15" thickBot="1">
      <c r="A101" s="3664" t="s">
        <v>454</v>
      </c>
      <c r="B101" s="3665"/>
      <c r="C101" s="3665"/>
      <c r="D101" s="3665"/>
      <c r="E101" s="3665"/>
      <c r="F101" s="3665"/>
      <c r="G101" s="3665"/>
      <c r="H101" s="3665"/>
      <c r="I101" s="11"/>
      <c r="J101" s="2028"/>
      <c r="K101" s="2028"/>
      <c r="L101" s="2028"/>
      <c r="M101" s="2028"/>
      <c r="N101" s="2028"/>
      <c r="O101" s="2028"/>
      <c r="P101" s="2028"/>
      <c r="Q101" s="2028"/>
      <c r="R101" s="2028"/>
      <c r="S101" s="2028"/>
      <c r="T101" s="2028"/>
      <c r="U101" s="2028"/>
      <c r="V101" s="2028"/>
      <c r="W101" s="2032"/>
      <c r="X101" s="2032"/>
      <c r="Y101" s="2032"/>
      <c r="Z101" s="2032"/>
    </row>
    <row r="102" spans="1:26" s="1310" customFormat="1" ht="14.25">
      <c r="A102" s="3662" t="s">
        <v>428</v>
      </c>
      <c r="B102" s="3663"/>
      <c r="C102" s="990"/>
      <c r="D102" s="990"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10" customFormat="1" ht="14.25">
      <c r="A103" s="377" t="s">
        <v>1825</v>
      </c>
      <c r="B103" s="378" t="s">
        <v>439</v>
      </c>
      <c r="C103" s="381">
        <f ca="1">ROUND(D63/(1+'数据-取费表'!C42),0)</f>
        <v>190279</v>
      </c>
      <c r="D103" s="374" t="s">
        <v>19</v>
      </c>
      <c r="E103" s="987"/>
      <c r="F103" s="986"/>
      <c r="G103" s="986"/>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10" customFormat="1" ht="14.25">
      <c r="A104" s="377" t="s">
        <v>1831</v>
      </c>
      <c r="B104" s="344" t="s">
        <v>440</v>
      </c>
      <c r="C104" s="381">
        <f ca="1">IF(H106="仅含出让金",C105+C108+C109+C110+C111+C112,C105+C109+C110+C111+C112)</f>
        <v>1832</v>
      </c>
      <c r="D104" s="411"/>
      <c r="E104" s="987"/>
      <c r="F104" s="986"/>
      <c r="G104" s="986"/>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10" customFormat="1" ht="14.25">
      <c r="A105" s="391" t="s">
        <v>1832</v>
      </c>
      <c r="B105" s="372" t="s">
        <v>455</v>
      </c>
      <c r="C105" s="401">
        <f>C106+C107</f>
        <v>572</v>
      </c>
      <c r="D105" s="402"/>
      <c r="E105" s="981"/>
      <c r="F105" s="982"/>
      <c r="G105" s="982"/>
      <c r="H105" s="983"/>
      <c r="I105" s="11"/>
      <c r="J105" s="2028"/>
      <c r="K105" s="2028"/>
      <c r="L105" s="2028"/>
      <c r="M105" s="2028"/>
      <c r="N105" s="2028"/>
      <c r="O105" s="2028"/>
      <c r="P105" s="2028"/>
      <c r="Q105" s="2028"/>
      <c r="R105" s="2028"/>
      <c r="S105" s="2028"/>
      <c r="T105" s="2028"/>
      <c r="U105" s="2028"/>
      <c r="V105" s="2028"/>
      <c r="W105" s="2032"/>
      <c r="X105" s="2032"/>
      <c r="Y105" s="2032"/>
      <c r="Z105" s="2032"/>
    </row>
    <row r="106" spans="1:26" s="1310" customFormat="1" ht="14.25">
      <c r="A106" s="391" t="s">
        <v>1833</v>
      </c>
      <c r="B106" s="372" t="s">
        <v>456</v>
      </c>
      <c r="C106" s="412">
        <v>555</v>
      </c>
      <c r="D106" s="402"/>
      <c r="E106" s="413" t="s">
        <v>457</v>
      </c>
      <c r="F106" s="982"/>
      <c r="G106" s="414" t="s">
        <v>458</v>
      </c>
      <c r="H106" s="415" t="s">
        <v>2444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0" customFormat="1" ht="14.25">
      <c r="A107" s="391" t="s">
        <v>1834</v>
      </c>
      <c r="B107" s="372" t="s">
        <v>448</v>
      </c>
      <c r="C107" s="401">
        <f>ROUND(C106*D107,0)</f>
        <v>17</v>
      </c>
      <c r="D107" s="402">
        <f>'数据-取费表'!B48+'数据-取费表'!B49</f>
        <v>3.0499999999999999E-2</v>
      </c>
      <c r="E107" s="413" t="s">
        <v>459</v>
      </c>
      <c r="F107" s="982"/>
      <c r="G107" s="982"/>
      <c r="H107" s="983"/>
      <c r="I107" s="11"/>
      <c r="J107" s="2028"/>
      <c r="K107" s="2028"/>
      <c r="L107" s="2028"/>
      <c r="M107" s="2028"/>
      <c r="N107" s="2028"/>
      <c r="O107" s="2028"/>
      <c r="P107" s="2028"/>
      <c r="Q107" s="2028"/>
      <c r="R107" s="2028"/>
      <c r="S107" s="2028"/>
      <c r="T107" s="2028"/>
      <c r="U107" s="2028"/>
      <c r="V107" s="2028"/>
      <c r="W107" s="2032"/>
      <c r="X107" s="2032"/>
      <c r="Y107" s="2032"/>
      <c r="Z107" s="2032"/>
    </row>
    <row r="108" spans="1:26" s="1310" customFormat="1" ht="14.25">
      <c r="A108" s="391" t="s">
        <v>1836</v>
      </c>
      <c r="B108" s="372" t="s">
        <v>460</v>
      </c>
      <c r="C108" s="412"/>
      <c r="D108" s="402"/>
      <c r="E108" s="413" t="str">
        <f>IF(H106="-","土地取得成本中已包含该笔费用"," ")</f>
        <v xml:space="preserve"> </v>
      </c>
      <c r="F108" s="982"/>
      <c r="G108" s="982"/>
      <c r="H108" s="983"/>
      <c r="I108" s="11"/>
      <c r="J108" s="2028"/>
      <c r="K108" s="2028"/>
      <c r="L108" s="2028"/>
      <c r="M108" s="2028"/>
      <c r="N108" s="2028"/>
      <c r="O108" s="2028"/>
      <c r="P108" s="2028"/>
      <c r="Q108" s="2028"/>
      <c r="R108" s="2028"/>
      <c r="S108" s="2028"/>
      <c r="T108" s="2028"/>
      <c r="U108" s="2028"/>
      <c r="V108" s="2028"/>
      <c r="W108" s="2032"/>
      <c r="X108" s="2032"/>
      <c r="Y108" s="2032"/>
      <c r="Z108" s="2032"/>
    </row>
    <row r="109" spans="1:26" s="1310" customFormat="1" ht="24" customHeight="1">
      <c r="A109" s="1613" t="s">
        <v>1840</v>
      </c>
      <c r="B109" s="372" t="s">
        <v>461</v>
      </c>
      <c r="C109" s="401">
        <f>IF(H109="——",IF(F1="现房",'剩余法-现房'!C18,'剩余法-待开发'!C18),I109)</f>
        <v>55</v>
      </c>
      <c r="D109" s="402"/>
      <c r="E109" s="3656" t="s">
        <v>462</v>
      </c>
      <c r="F109" s="3654"/>
      <c r="G109" s="3654"/>
      <c r="H109" s="1936" t="s">
        <v>2283</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0" customFormat="1" ht="25.5" customHeight="1">
      <c r="A110" s="1613" t="s">
        <v>1841</v>
      </c>
      <c r="B110" s="372" t="s">
        <v>463</v>
      </c>
      <c r="C110" s="401">
        <f>ROUND((C105+C108+C109)*D110,0)</f>
        <v>63</v>
      </c>
      <c r="D110" s="402">
        <v>0.1</v>
      </c>
      <c r="E110" s="3656" t="s">
        <v>464</v>
      </c>
      <c r="F110" s="3654"/>
      <c r="G110" s="3654"/>
      <c r="H110" s="3655"/>
      <c r="I110" s="11"/>
      <c r="J110" s="2028"/>
      <c r="K110" s="2028"/>
      <c r="L110" s="2028"/>
      <c r="M110" s="2028"/>
      <c r="N110" s="2028"/>
      <c r="O110" s="2028"/>
      <c r="P110" s="2028"/>
      <c r="Q110" s="2028"/>
      <c r="R110" s="2028"/>
      <c r="S110" s="2028"/>
      <c r="T110" s="2028"/>
      <c r="U110" s="2028"/>
      <c r="V110" s="2028"/>
      <c r="W110" s="2032"/>
      <c r="X110" s="2032"/>
      <c r="Y110" s="2032"/>
      <c r="Z110" s="2032"/>
    </row>
    <row r="111" spans="1:26" s="1310" customFormat="1" ht="25.5" customHeight="1">
      <c r="A111" s="1613" t="s">
        <v>1842</v>
      </c>
      <c r="B111" s="372" t="s">
        <v>450</v>
      </c>
      <c r="C111" s="401">
        <f ca="1">ROUND(D63*D111/(1+'数据-取费表'!C42),0)</f>
        <v>1142</v>
      </c>
      <c r="D111" s="402">
        <f>'数据-取费表'!B43</f>
        <v>6.000000000000001E-3</v>
      </c>
      <c r="E111" s="3653" t="s">
        <v>2433</v>
      </c>
      <c r="F111" s="3654"/>
      <c r="G111" s="3654"/>
      <c r="H111" s="3655"/>
      <c r="I111" s="11"/>
      <c r="J111" s="2028"/>
      <c r="K111" s="2028"/>
      <c r="L111" s="2028"/>
      <c r="M111" s="2028"/>
      <c r="N111" s="2028"/>
      <c r="O111" s="2028"/>
      <c r="P111" s="2028"/>
      <c r="Q111" s="2028"/>
      <c r="R111" s="2028"/>
      <c r="S111" s="2028"/>
      <c r="T111" s="2028"/>
      <c r="U111" s="2028"/>
      <c r="V111" s="2028"/>
      <c r="W111" s="2032"/>
      <c r="X111" s="2032"/>
      <c r="Y111" s="2032"/>
      <c r="Z111" s="2032"/>
    </row>
    <row r="112" spans="1:26" s="1310" customFormat="1" ht="25.5" customHeight="1">
      <c r="A112" s="1613" t="s">
        <v>1843</v>
      </c>
      <c r="B112" s="372" t="s">
        <v>465</v>
      </c>
      <c r="C112" s="401">
        <f>ROUND(C108*D112,0)</f>
        <v>0</v>
      </c>
      <c r="D112" s="402">
        <v>0.2</v>
      </c>
      <c r="E112" s="3656" t="s">
        <v>2458</v>
      </c>
      <c r="F112" s="3654"/>
      <c r="G112" s="3654"/>
      <c r="H112" s="3655"/>
      <c r="I112" s="11"/>
      <c r="J112" s="2028"/>
      <c r="K112" s="2028"/>
      <c r="L112" s="2028"/>
      <c r="M112" s="2028"/>
      <c r="N112" s="2028"/>
      <c r="O112" s="2028"/>
      <c r="P112" s="2028"/>
      <c r="Q112" s="2028"/>
      <c r="R112" s="2028"/>
      <c r="S112" s="2028"/>
      <c r="T112" s="2028"/>
      <c r="U112" s="2028"/>
      <c r="V112" s="2028"/>
      <c r="W112" s="2032"/>
      <c r="X112" s="2032"/>
      <c r="Y112" s="2032"/>
      <c r="Z112" s="2032"/>
    </row>
    <row r="113" spans="1:26" s="1310" customFormat="1" ht="14.25">
      <c r="A113" s="1611" t="s">
        <v>1837</v>
      </c>
      <c r="B113" s="378" t="s">
        <v>451</v>
      </c>
      <c r="C113" s="381">
        <f ca="1">ROUND(C103-C104,0)</f>
        <v>188447</v>
      </c>
      <c r="D113" s="374" t="s">
        <v>19</v>
      </c>
      <c r="E113" s="987"/>
      <c r="F113" s="986"/>
      <c r="G113" s="986"/>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10" customFormat="1" ht="24">
      <c r="A114" s="1611" t="s">
        <v>1838</v>
      </c>
      <c r="B114" s="378" t="s">
        <v>452</v>
      </c>
      <c r="C114" s="403">
        <f ca="1">IF(C113&lt;=0,0,C113/C104)</f>
        <v>102.86408296943232</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10" customFormat="1" ht="24.75" thickBot="1">
      <c r="A115" s="1612" t="s">
        <v>1839</v>
      </c>
      <c r="B115" s="383" t="s">
        <v>453</v>
      </c>
      <c r="C115" s="404">
        <f ca="1">ROUND(IF(C113&lt;=0,0,IF(C114&gt;=200%,C113*60%-C104*35%,IF(C114&gt;=100%,C113*50%-C104*15%,IF(C114&gt;=50%,C113*40%-C104*5%,IF(C114&lt;50%,C113*30%,0))))),0)</f>
        <v>112427</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2663</v>
      </c>
      <c r="B1" s="2911" t="s">
        <v>2760</v>
      </c>
    </row>
    <row r="2" spans="1:55" s="2915" customFormat="1" ht="15" thickTop="1">
      <c r="A2" s="2913" t="s">
        <v>2667</v>
      </c>
      <c r="B2" s="2914" t="str">
        <f>'预评函-封皮'!B37</f>
        <v>北京市朝阳区管庄乡塔营村1208-605地块F1住宅混合公建用地项目出让国有建设用地使用权抵押价格预评估</v>
      </c>
      <c r="AX2" s="2916"/>
      <c r="AZ2" s="2916"/>
      <c r="BA2" s="2917"/>
      <c r="BC2" s="2917"/>
    </row>
    <row r="3" spans="1:55" s="2918" customFormat="1">
      <c r="A3" s="2897" t="s">
        <v>2668</v>
      </c>
      <c r="B3" s="2900" t="str">
        <f>'预评函-封皮'!B40</f>
        <v>北京诚志置业有限公司</v>
      </c>
    </row>
    <row r="4" spans="1:55" s="2899" customFormat="1">
      <c r="A4" s="2897" t="s">
        <v>2669</v>
      </c>
      <c r="B4" s="2898" t="str">
        <f>'预评函-封皮'!B46</f>
        <v>土地估价师、土地估价师</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2670</v>
      </c>
      <c r="B5" s="2920" t="str">
        <f>'预评函-封皮'!B49</f>
        <v>康正预评字号</v>
      </c>
    </row>
    <row r="6" spans="1:55" s="2921" customFormat="1" ht="15" thickTop="1">
      <c r="A6" s="2913" t="s">
        <v>2712</v>
      </c>
      <c r="B6" s="2914" t="str">
        <f>'预评函-1'!A4</f>
        <v>受贵公司委托，我公司对北京市朝阳区管庄乡塔营村1208-605地块F1住宅混合公建用地项目出让国有建设用地使用权抵押价格进行了预评估。</v>
      </c>
      <c r="AM6" s="2922"/>
    </row>
    <row r="7" spans="1:55" s="2896" customFormat="1">
      <c r="A7" s="2897" t="s">
        <v>2664</v>
      </c>
      <c r="B7" s="2898" t="str">
        <f>'预评函-1'!A6</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8" spans="1:55" s="2896" customFormat="1">
      <c r="A8" s="2897" t="s">
        <v>2665</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2715</v>
      </c>
      <c r="B9" s="2898"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2666</v>
      </c>
      <c r="B10" s="2898" t="str">
        <f>'预评函-1'!A11</f>
        <v>2018年2月2日（评估专业人员勘察现场之日）</v>
      </c>
    </row>
    <row r="11" spans="1:55" s="2896" customFormat="1">
      <c r="A11" s="2897" t="s">
        <v>2672</v>
      </c>
      <c r="B11" s="2898" t="str">
        <f>'预评函-1'!A14</f>
        <v>根据《国有建设用地使用权出让合同》[]及附件、，本次评估估价对象证载（地类）用途为住宅、商业、办公、地下车库。</v>
      </c>
    </row>
    <row r="12" spans="1:55" s="2896" customFormat="1">
      <c r="A12" s="2897" t="s">
        <v>2673</v>
      </c>
      <c r="B12" s="2898" t="str">
        <f>'预评函-1'!A15</f>
        <v>本次评估设定用途即为证载用途住宅、商业、办公、地下车库。</v>
      </c>
    </row>
    <row r="13" spans="1:55" s="2896" customFormat="1">
      <c r="A13" s="2897" t="s">
        <v>2674</v>
      </c>
      <c r="B13" s="2898" t="str">
        <f>'预评函-1'!A17</f>
        <v>根据委托估价方介绍及评估专业人员现场勘查，本次评估估价对象实际土地开发程度为红线外市政基础设施达“七通”（即通路、通电、通讯、通上水、通下水、燃气、）、宗地红线内场地平整。</v>
      </c>
    </row>
    <row r="14" spans="1:55" s="2896" customFormat="1">
      <c r="A14" s="2897" t="s">
        <v>2675</v>
      </c>
      <c r="B14" s="2898" t="str">
        <f>'预评函-1'!A18</f>
        <v>本次评估设定土地开发程度为红线外市政基础设施达“七通”、宗地红线内场地平整。</v>
      </c>
    </row>
    <row r="15" spans="1:55" s="2896" customFormat="1">
      <c r="A15" s="2897" t="s">
        <v>2671</v>
      </c>
      <c r="B15" s="2898" t="str">
        <f>'预评函-1'!A20</f>
        <v>根据《国有土地使用证》[]，估价对象（分摊）出让国有建设用地使用权面积为57230.39平方米。根据《建设工程规划许可证》[]、《出让合同》[]，估价对象规划建筑面积为177832.7平方米。</v>
      </c>
    </row>
    <row r="16" spans="1:55" s="2896" customFormat="1">
      <c r="A16" s="2897" t="s">
        <v>2676</v>
      </c>
      <c r="B16" s="2898" t="str">
        <f>'预评函-1'!A22</f>
        <v>本次估价对象为出让国有建设用地使用权，《国有建设用地使用权出让合同》[]及附件、证载土地终止日期为住宅2087年5月22日、商业2057年5月22日、办公2067年5月22日、地下车库2067年5月22日、仓储2067年5月22日。截至估价期日，出让国有建设用地使用权剩余土地使用年限为住宅69.3、办公49.3、地下车库49.3。</v>
      </c>
    </row>
    <row r="17" spans="1:48" s="2896" customFormat="1">
      <c r="A17" s="2897" t="s">
        <v>2677</v>
      </c>
      <c r="B17" s="2898" t="str">
        <f>'预评函-1'!A23</f>
        <v>本次评估设定估价对象剩余土地使用年限为住宅69.3、办公49.3、地下车库49.3。</v>
      </c>
    </row>
    <row r="18" spans="1:48" s="2896" customFormat="1">
      <c r="A18" s="2897" t="s">
        <v>2678</v>
      </c>
      <c r="B18" s="2898" t="str">
        <f>'预评函-1'!A25</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19" spans="1:48" s="2896" customFormat="1">
      <c r="A19" s="2897" t="s">
        <v>2679</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2680</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2681</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2682</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2683</v>
      </c>
      <c r="B23" s="2898" t="str">
        <f>'预评函-2'!K2</f>
        <v>估价期日：2018年2月2日</v>
      </c>
    </row>
    <row r="24" spans="1:48">
      <c r="A24" s="2897" t="s">
        <v>2684</v>
      </c>
      <c r="B24" s="2898" t="str">
        <f>'预评函-2'!R2</f>
        <v>估价期日的国有建设用地使用权性质：出让</v>
      </c>
    </row>
    <row r="25" spans="1:48">
      <c r="A25" s="2897" t="s">
        <v>2740</v>
      </c>
      <c r="B25" s="2898" t="str">
        <f>'预评函-2'!A3</f>
        <v>估价期日土地使用者</v>
      </c>
    </row>
    <row r="26" spans="1:48">
      <c r="A26" s="2897" t="s">
        <v>2716</v>
      </c>
      <c r="B26" s="2898" t="str">
        <f>'预评函-2'!A5</f>
        <v>中信开发</v>
      </c>
    </row>
    <row r="27" spans="1:48">
      <c r="A27" s="2897" t="s">
        <v>2741</v>
      </c>
      <c r="B27" s="2898" t="str">
        <f>'预评函-2'!B3</f>
        <v>宗地编号/不动产单元号</v>
      </c>
    </row>
    <row r="28" spans="1:48">
      <c r="A28" s="2897" t="s">
        <v>2717</v>
      </c>
      <c r="B28" s="2898" t="str">
        <f>'预评函-2'!B5</f>
        <v>11111111111</v>
      </c>
    </row>
    <row r="29" spans="1:48">
      <c r="A29" s="2897" t="s">
        <v>2743</v>
      </c>
      <c r="B29" s="2898">
        <f>'预评函-2'!C5</f>
        <v>22</v>
      </c>
    </row>
    <row r="30" spans="1:48">
      <c r="A30" s="2897" t="s">
        <v>2744</v>
      </c>
      <c r="B30" s="2898" t="str">
        <f>'预评函-2'!D3</f>
        <v>土地使用证编号/不动产权证书编号</v>
      </c>
    </row>
    <row r="31" spans="1:48">
      <c r="A31" s="2897" t="s">
        <v>2718</v>
      </c>
      <c r="B31" s="2898" t="str">
        <f>'预评函-2'!D5</f>
        <v>京国土字第111号</v>
      </c>
    </row>
    <row r="32" spans="1:48">
      <c r="A32" s="2897" t="s">
        <v>2719</v>
      </c>
      <c r="B32" s="2898" t="str">
        <f>'预评函-2'!E5</f>
        <v>住宅、商业、办公、地下车库</v>
      </c>
      <c r="AV32" s="2902"/>
    </row>
    <row r="33" spans="1:2">
      <c r="A33" s="2897" t="s">
        <v>2720</v>
      </c>
      <c r="B33" s="2898">
        <f>'预评函-2'!F5</f>
        <v>258</v>
      </c>
    </row>
    <row r="34" spans="1:2">
      <c r="A34" s="2897" t="s">
        <v>2721</v>
      </c>
      <c r="B34" s="2898" t="str">
        <f>'预评函-2'!G5</f>
        <v>住宅、商业、办公、地下车库</v>
      </c>
    </row>
    <row r="35" spans="1:2">
      <c r="A35" s="2897" t="s">
        <v>2722</v>
      </c>
      <c r="B35" s="2898">
        <f>'预评函-2'!H5</f>
        <v>1.5</v>
      </c>
    </row>
    <row r="36" spans="1:2">
      <c r="A36" s="2897" t="s">
        <v>2723</v>
      </c>
      <c r="B36" s="2898">
        <f>'预评函-2'!I5</f>
        <v>1.5</v>
      </c>
    </row>
    <row r="37" spans="1:2">
      <c r="A37" s="2897" t="s">
        <v>2724</v>
      </c>
      <c r="B37" s="2898">
        <f>'预评函-2'!J5</f>
        <v>1.5</v>
      </c>
    </row>
    <row r="38" spans="1:2">
      <c r="A38" s="2897" t="s">
        <v>2725</v>
      </c>
      <c r="B38" s="2898" t="str">
        <f>'预评函-2'!K5</f>
        <v>红线外七通、宗地红线内场地平整</v>
      </c>
    </row>
    <row r="39" spans="1:2">
      <c r="A39" s="2897" t="s">
        <v>2726</v>
      </c>
      <c r="B39" s="2898" t="str">
        <f>'预评函-2'!L5</f>
        <v>红线外七通、宗地红线内场地</v>
      </c>
    </row>
    <row r="40" spans="1:2">
      <c r="A40" s="2897" t="s">
        <v>2745</v>
      </c>
      <c r="B40" s="2898" t="str">
        <f>'预评函-2'!M3</f>
        <v>（剩余）土地使用年限/年</v>
      </c>
    </row>
    <row r="41" spans="1:2">
      <c r="A41" s="2897" t="s">
        <v>2727</v>
      </c>
      <c r="B41" s="2898" t="str">
        <f>'预评函-2'!M5</f>
        <v>住宅69.3、办公49.3、地下车库49.3</v>
      </c>
    </row>
    <row r="42" spans="1:2">
      <c r="A42" s="2897" t="s">
        <v>2746</v>
      </c>
      <c r="B42" s="2898" t="str">
        <f>'预评函-2'!N3</f>
        <v>（分摊）出让国有建设用地使用权面积/㎡</v>
      </c>
    </row>
    <row r="43" spans="1:2">
      <c r="A43" s="2897" t="s">
        <v>2728</v>
      </c>
      <c r="B43" s="2898">
        <f>'预评函-2'!N5</f>
        <v>57230.39</v>
      </c>
    </row>
    <row r="44" spans="1:2">
      <c r="A44" s="2897" t="s">
        <v>2747</v>
      </c>
      <c r="B44" s="2898" t="str">
        <f>'预评函-2'!O3</f>
        <v>规划建筑面积/㎡</v>
      </c>
    </row>
    <row r="45" spans="1:2">
      <c r="A45" s="2897" t="s">
        <v>2729</v>
      </c>
      <c r="B45" s="2898">
        <f>'预评函-2'!O5</f>
        <v>177832.7</v>
      </c>
    </row>
    <row r="46" spans="1:2">
      <c r="A46" s="2897" t="s">
        <v>2730</v>
      </c>
      <c r="B46" s="2898">
        <f ca="1">'预评函-2'!P5</f>
        <v>58184</v>
      </c>
    </row>
    <row r="47" spans="1:2">
      <c r="A47" s="2897" t="s">
        <v>2731</v>
      </c>
      <c r="B47" s="2898">
        <f ca="1">'预评函-2'!Q5</f>
        <v>18725</v>
      </c>
    </row>
    <row r="48" spans="1:2">
      <c r="A48" s="2897" t="s">
        <v>2732</v>
      </c>
      <c r="B48" s="2898">
        <f ca="1">'预评函-2'!R5</f>
        <v>332989</v>
      </c>
    </row>
    <row r="49" spans="1:2">
      <c r="A49" s="2897" t="s">
        <v>2748</v>
      </c>
      <c r="B49" s="2898" t="str">
        <f>'预评函-2'!A6</f>
        <v>抵押价格</v>
      </c>
    </row>
    <row r="50" spans="1:2">
      <c r="A50" s="2897" t="s">
        <v>2733</v>
      </c>
      <c r="B50" s="2898">
        <f ca="1">'预评函-2'!R6</f>
        <v>332989</v>
      </c>
    </row>
    <row r="51" spans="1:2">
      <c r="A51" s="2897" t="s">
        <v>2749</v>
      </c>
      <c r="B51" s="2898" t="str">
        <f>'预评函-2'!A7</f>
        <v>——</v>
      </c>
    </row>
    <row r="52" spans="1:2">
      <c r="A52" s="2897" t="s">
        <v>2734</v>
      </c>
      <c r="B52" s="2898" t="str">
        <f>'预评函-2'!R7</f>
        <v>——</v>
      </c>
    </row>
    <row r="53" spans="1:2">
      <c r="A53" s="2897" t="s">
        <v>2750</v>
      </c>
      <c r="B53" s="2898">
        <f>'预评函-2'!A8</f>
        <v>0</v>
      </c>
    </row>
    <row r="54" spans="1:2" s="2912" customFormat="1" ht="15" thickBot="1">
      <c r="A54" s="2919" t="s">
        <v>2735</v>
      </c>
      <c r="B54" s="2920" t="str">
        <f>'预评函-2'!R8</f>
        <v>——</v>
      </c>
    </row>
    <row r="55" spans="1:2" ht="15" thickTop="1">
      <c r="A55" s="2908" t="s">
        <v>2685</v>
      </c>
      <c r="B55" s="2909" t="str">
        <f>'预评函-3'!A2</f>
        <v>1.权利限制：根据估价对象《不动产权证书》原件、《国有土地使用权》复印件，截至估价期日，估价对象抵押权未见登记。未设定租赁等其他他项权利。</v>
      </c>
    </row>
    <row r="56" spans="1:2">
      <c r="A56" s="2897" t="s">
        <v>2686</v>
      </c>
      <c r="B56" s="2898" t="str">
        <f>'预评函-3'!A3</f>
        <v>2.基础设施条件：估价对象实际开发程度为红线外七通、宗地红线内场地平整；本次评估设定开发程度为红线外七通、宗地红线内场地。</v>
      </c>
    </row>
    <row r="57" spans="1:2">
      <c r="A57" s="2897" t="s">
        <v>2687</v>
      </c>
      <c r="B57" s="2898" t="str">
        <f>'预评函-3'!A4</f>
        <v>3.估价规划限制条件：详见《建设工程规划许可证》[]、《出让合同》[]。</v>
      </c>
    </row>
    <row r="58" spans="1:2" s="2912" customFormat="1" ht="15" thickBot="1">
      <c r="A58" s="2919" t="s">
        <v>2736</v>
      </c>
      <c r="B58" s="2920" t="str">
        <f>'预评函-3'!A5</f>
        <v>4.影响价格的其他限定条件：无。</v>
      </c>
    </row>
    <row r="59" spans="1:2" ht="15" thickTop="1">
      <c r="A59" s="2908" t="s">
        <v>2688</v>
      </c>
      <c r="B59" s="2909" t="str">
        <f>'预评函-3'!A8</f>
        <v>2.本《评估意见函》仅供金融机构进行内部审核使用，不做其他目的之用。</v>
      </c>
    </row>
    <row r="60" spans="1:2">
      <c r="A60" s="2897" t="s">
        <v>2689</v>
      </c>
      <c r="B60" s="2898" t="str">
        <f>'预评函-3'!A9</f>
        <v>3.抵押双方在办理抵押登记手续时，应使用本公司出具的正式《土地估价报告》，特提请报告使用者注意。</v>
      </c>
    </row>
    <row r="61" spans="1:2">
      <c r="A61" s="2897" t="s">
        <v>2691</v>
      </c>
      <c r="B61" s="2898" t="str">
        <f>'预评函-3'!A10</f>
        <v>4.估价师所知悉的法定优先受偿款情况为：</v>
      </c>
    </row>
    <row r="62" spans="1:2">
      <c r="A62" s="2897" t="s">
        <v>2690</v>
      </c>
      <c r="B62" s="2898" t="str">
        <f>'预评函-3'!A11</f>
        <v>（1）根据估价对象《不动产权证书》原件、《国有土地使用权》复印件，截至估价期日，估价对象抵押权未见登记。</v>
      </c>
    </row>
    <row r="63" spans="1:2">
      <c r="A63" s="2897" t="s">
        <v>2692</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2693</v>
      </c>
      <c r="B64" s="2903" t="str">
        <f>'预评函-3'!A13</f>
        <v>（3）。</v>
      </c>
    </row>
    <row r="65" spans="1:2">
      <c r="A65" s="2897" t="s">
        <v>2694</v>
      </c>
      <c r="B65" s="2904" t="str">
        <f>'预评函-3'!A14</f>
        <v>综上，本次评估不存在估价师知悉的法定优先受偿款</v>
      </c>
    </row>
    <row r="66" spans="1:2">
      <c r="A66" s="2897" t="s">
        <v>2695</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2696</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2699</v>
      </c>
      <c r="B68" s="2923">
        <f>'预评函-3'!D30</f>
        <v>42558</v>
      </c>
    </row>
    <row r="69" spans="1:2" ht="15" thickTop="1">
      <c r="A69" s="2908" t="s">
        <v>2697</v>
      </c>
      <c r="B69" s="2909" t="str">
        <f>'预评函-3'!A20</f>
        <v>土地估价师</v>
      </c>
    </row>
    <row r="70" spans="1:2">
      <c r="A70" s="2897" t="s">
        <v>2697</v>
      </c>
      <c r="B70" s="2904">
        <f>'预评函-3'!B20</f>
        <v>0</v>
      </c>
    </row>
    <row r="71" spans="1:2">
      <c r="A71" s="2897" t="s">
        <v>2698</v>
      </c>
      <c r="B71" s="2898" t="str">
        <f>'预评函-3'!A21</f>
        <v>土地估价师</v>
      </c>
    </row>
    <row r="72" spans="1:2" s="2912" customFormat="1" ht="15" thickBot="1">
      <c r="A72" s="2919" t="s">
        <v>2698</v>
      </c>
      <c r="B72" s="2925">
        <f>'预评函-3'!B21</f>
        <v>0</v>
      </c>
    </row>
    <row r="73" spans="1:2" ht="15" thickTop="1">
      <c r="A73" s="2908" t="s">
        <v>2757</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2758</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2759</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2794</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F68" sqref="F68"/>
    </sheetView>
  </sheetViews>
  <sheetFormatPr defaultRowHeight="14.25"/>
  <cols>
    <col min="1" max="1" width="15.625" style="1333" customWidth="1"/>
    <col min="2" max="2" width="15.75" style="1333" customWidth="1"/>
    <col min="3" max="3" width="22" style="1333" customWidth="1"/>
    <col min="4" max="4" width="14.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517</v>
      </c>
      <c r="B1" s="499"/>
      <c r="C1" s="500" t="s">
        <v>518</v>
      </c>
      <c r="D1" s="501" t="s">
        <v>519</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1"/>
    </row>
    <row r="2" spans="1:30" s="1332" customFormat="1" ht="28.5" customHeight="1">
      <c r="A2" s="419" t="s">
        <v>467</v>
      </c>
      <c r="B2" s="504">
        <f>F68</f>
        <v>360191</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c r="AD2" s="1331"/>
    </row>
    <row r="3" spans="1:30" s="1332" customFormat="1" ht="28.5" customHeight="1">
      <c r="A3" s="1373" t="s">
        <v>1686</v>
      </c>
      <c r="B3" s="506">
        <f>ROUND(B2*10000/'数据-汇总表'!E3,0)</f>
        <v>20254</v>
      </c>
      <c r="C3" s="2056"/>
      <c r="D3" s="2589"/>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30" s="1332" customFormat="1" ht="28.5" customHeight="1">
      <c r="A4" s="507" t="s">
        <v>521</v>
      </c>
      <c r="B4" s="423">
        <f>IF(B48="单位面积地价",C50,ROUND(B2*10000/'数据-汇总表'!D3,0))</f>
        <v>62937</v>
      </c>
      <c r="C4" s="2056"/>
      <c r="D4" s="2589"/>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30" s="1332" customFormat="1" ht="28.5" customHeight="1" thickBot="1">
      <c r="A5" s="425"/>
      <c r="B5" s="426">
        <f>ROUND(B2/('数据-汇总表'!D3/666.67),0)</f>
        <v>4196</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58"/>
      <c r="AC5" s="424"/>
    </row>
    <row r="6" spans="1:30" ht="20.25">
      <c r="A6" s="508" t="s">
        <v>522</v>
      </c>
      <c r="B6" s="509"/>
      <c r="C6" s="3707" t="s">
        <v>523</v>
      </c>
      <c r="D6" s="3708"/>
      <c r="E6" s="3707" t="s">
        <v>524</v>
      </c>
      <c r="F6" s="3708"/>
      <c r="G6" s="3707" t="s">
        <v>525</v>
      </c>
      <c r="H6" s="3708"/>
      <c r="I6" s="3707" t="s">
        <v>526</v>
      </c>
      <c r="J6" s="3708"/>
      <c r="K6" s="510" t="s">
        <v>527</v>
      </c>
      <c r="L6" s="2128"/>
      <c r="M6" s="2127"/>
      <c r="N6" s="2127"/>
      <c r="O6" s="2129"/>
      <c r="P6" s="3709" t="s">
        <v>528</v>
      </c>
      <c r="Q6" s="3710"/>
      <c r="R6" s="3715" t="s">
        <v>524</v>
      </c>
      <c r="S6" s="3716"/>
      <c r="T6" s="3715" t="s">
        <v>525</v>
      </c>
      <c r="U6" s="3716"/>
      <c r="V6" s="3702" t="s">
        <v>526</v>
      </c>
      <c r="W6" s="3702"/>
      <c r="X6" s="1561"/>
      <c r="Y6" s="3715" t="s">
        <v>528</v>
      </c>
      <c r="Z6" s="3716"/>
      <c r="AA6" s="3704" t="s">
        <v>524</v>
      </c>
      <c r="AB6" s="3705" t="s">
        <v>525</v>
      </c>
      <c r="AC6" s="3704" t="s">
        <v>526</v>
      </c>
    </row>
    <row r="7" spans="1:30" ht="52.5" customHeight="1">
      <c r="A7" s="511"/>
      <c r="B7" s="512"/>
      <c r="C7" s="3723" t="s">
        <v>2932</v>
      </c>
      <c r="D7" s="3724"/>
      <c r="E7" s="3723" t="str">
        <f>Sheet2!A2</f>
        <v>朝阳区常营乡1201-602、603地块</v>
      </c>
      <c r="F7" s="3724"/>
      <c r="G7" s="3723" t="str">
        <f>Sheet2!A3</f>
        <v>朝阳区东坝南区1106-657地块住宅混合公建用地</v>
      </c>
      <c r="H7" s="3724"/>
      <c r="I7" s="3723" t="str">
        <f>Sheet2!A4</f>
        <v>丰台区南苑乡石榴庄村0517-659等地块(丰台区城乡一体化石榴庄村旧村改造项目(二期))</v>
      </c>
      <c r="J7" s="3724"/>
      <c r="K7" s="510"/>
      <c r="L7" s="2128"/>
      <c r="M7" s="2127"/>
      <c r="N7" s="2127"/>
      <c r="O7" s="2129"/>
      <c r="P7" s="3711"/>
      <c r="Q7" s="3712"/>
      <c r="R7" s="3717"/>
      <c r="S7" s="3718"/>
      <c r="T7" s="3717"/>
      <c r="U7" s="3718"/>
      <c r="V7" s="3702"/>
      <c r="W7" s="3702"/>
      <c r="X7" s="1561"/>
      <c r="Y7" s="3717"/>
      <c r="Z7" s="3718"/>
      <c r="AA7" s="3705"/>
      <c r="AB7" s="3705"/>
      <c r="AC7" s="3705"/>
    </row>
    <row r="8" spans="1:30" ht="21" thickBot="1">
      <c r="A8" s="511"/>
      <c r="B8" s="512"/>
      <c r="C8" s="3725" t="s">
        <v>2936</v>
      </c>
      <c r="D8" s="3726"/>
      <c r="E8" s="3725" t="s">
        <v>2936</v>
      </c>
      <c r="F8" s="3726"/>
      <c r="G8" s="3721" t="s">
        <v>2936</v>
      </c>
      <c r="H8" s="3722"/>
      <c r="I8" s="3721" t="s">
        <v>2936</v>
      </c>
      <c r="J8" s="3722"/>
      <c r="K8" s="510" t="s">
        <v>529</v>
      </c>
      <c r="L8" s="2128"/>
      <c r="M8" s="2127"/>
      <c r="N8" s="2127"/>
      <c r="O8" s="2129"/>
      <c r="P8" s="3713"/>
      <c r="Q8" s="3714"/>
      <c r="R8" s="3717"/>
      <c r="S8" s="3718"/>
      <c r="T8" s="3719"/>
      <c r="U8" s="3720"/>
      <c r="V8" s="3702"/>
      <c r="W8" s="3702"/>
      <c r="X8" s="1561"/>
      <c r="Y8" s="3719"/>
      <c r="Z8" s="3720"/>
      <c r="AA8" s="3706"/>
      <c r="AB8" s="3706"/>
      <c r="AC8" s="3706"/>
    </row>
    <row r="9" spans="1:30" s="1216" customFormat="1" ht="21" thickBot="1">
      <c r="A9" s="2932"/>
      <c r="B9" s="2939" t="s">
        <v>530</v>
      </c>
      <c r="C9" s="2931">
        <f>'数据-取费表'!B2</f>
        <v>43133</v>
      </c>
      <c r="D9" s="516">
        <v>100</v>
      </c>
      <c r="E9" s="517" t="str">
        <f>Sheet2!H2</f>
        <v>2015-11-12</v>
      </c>
      <c r="F9" s="518">
        <f>SUMIF(72:72,YEAR(E9)&amp;"-"&amp;INT((MONTH(E9)+2)/3),73:73)</f>
        <v>91</v>
      </c>
      <c r="G9" s="519" t="str">
        <f>Sheet2!H3</f>
        <v>2015-09-08</v>
      </c>
      <c r="H9" s="516">
        <f>SUMIF(72:72,YEAR(G9)&amp;"-"&amp;INT((MONTH(G9)+2)/3),73:73)</f>
        <v>90</v>
      </c>
      <c r="I9" s="519" t="str">
        <f>Sheet2!H4</f>
        <v>2015-08-31</v>
      </c>
      <c r="J9" s="516">
        <f>SUMIF(72:72,YEAR(I9)&amp;"-"&amp;INT((MONTH(I9)+2)/3),73:73)</f>
        <v>90</v>
      </c>
      <c r="K9" s="520"/>
      <c r="L9" s="2130"/>
      <c r="M9" s="2127"/>
      <c r="N9" s="2127"/>
      <c r="O9" s="2131"/>
      <c r="P9" s="3732" t="s">
        <v>531</v>
      </c>
      <c r="Q9" s="3734"/>
      <c r="R9" s="1562" t="s">
        <v>8</v>
      </c>
      <c r="S9" s="1563">
        <f t="shared" ref="S9:S17" si="0">F9</f>
        <v>91</v>
      </c>
      <c r="T9" s="1562" t="s">
        <v>8</v>
      </c>
      <c r="U9" s="1563">
        <f t="shared" ref="U9:U17" si="1">H9</f>
        <v>90</v>
      </c>
      <c r="V9" s="1562" t="s">
        <v>8</v>
      </c>
      <c r="W9" s="1563">
        <f t="shared" ref="W9:W17" si="2">J9</f>
        <v>90</v>
      </c>
      <c r="X9" s="1564"/>
      <c r="Y9" s="3732" t="s">
        <v>531</v>
      </c>
      <c r="Z9" s="3733"/>
      <c r="AA9" s="1565">
        <f>D9/F9</f>
        <v>1.098901098901099</v>
      </c>
      <c r="AB9" s="1565">
        <f>D9/H9</f>
        <v>1.1111111111111112</v>
      </c>
      <c r="AC9" s="1565">
        <f>D9/J9</f>
        <v>1.1111111111111112</v>
      </c>
    </row>
    <row r="10" spans="1:30" s="1216" customFormat="1" ht="21" thickBot="1">
      <c r="A10" s="2933"/>
      <c r="B10" s="2940"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732" t="s">
        <v>534</v>
      </c>
      <c r="Q10" s="3733"/>
      <c r="R10" s="1562" t="s">
        <v>8</v>
      </c>
      <c r="S10" s="1563">
        <f t="shared" si="0"/>
        <v>100</v>
      </c>
      <c r="T10" s="1562" t="s">
        <v>8</v>
      </c>
      <c r="U10" s="1563">
        <f t="shared" si="1"/>
        <v>100</v>
      </c>
      <c r="V10" s="1562" t="s">
        <v>8</v>
      </c>
      <c r="W10" s="1563">
        <f t="shared" si="2"/>
        <v>100</v>
      </c>
      <c r="X10" s="1564"/>
      <c r="Y10" s="3732" t="s">
        <v>534</v>
      </c>
      <c r="Z10" s="3733"/>
      <c r="AA10" s="1565">
        <f t="shared" ref="AA10:AA47" si="3">D10/F10</f>
        <v>1</v>
      </c>
      <c r="AB10" s="1565">
        <f t="shared" ref="AB10:AB47" si="4">D10/H10</f>
        <v>1</v>
      </c>
      <c r="AC10" s="1565">
        <f t="shared" ref="AC10:AC47" si="5">D10/J10</f>
        <v>1</v>
      </c>
    </row>
    <row r="11" spans="1:30" s="1216" customFormat="1" ht="20.25">
      <c r="A11" s="2934"/>
      <c r="B11" s="2941" t="s">
        <v>2763</v>
      </c>
      <c r="C11" s="2928" t="s">
        <v>3310</v>
      </c>
      <c r="D11" s="250">
        <v>100</v>
      </c>
      <c r="E11" s="2928" t="s">
        <v>3310</v>
      </c>
      <c r="F11" s="250">
        <f>SUMIF(77:77,E11,78:78)-SUMIF(77:77,C11,78:78)+100</f>
        <v>100</v>
      </c>
      <c r="G11" s="2928" t="s">
        <v>3310</v>
      </c>
      <c r="H11" s="250">
        <f>SUMIF(77:77,G11,78:78)-SUMIF(77:77,C11,78:78)+100</f>
        <v>100</v>
      </c>
      <c r="I11" s="2928" t="s">
        <v>3310</v>
      </c>
      <c r="J11" s="250">
        <f>SUMIF(77:77,I11,78:78)-SUMIF(77:77,C11,78:78)+100</f>
        <v>100</v>
      </c>
      <c r="K11" s="520"/>
      <c r="L11" s="2130"/>
      <c r="M11" s="2127"/>
      <c r="N11" s="2127"/>
      <c r="O11" s="2132"/>
      <c r="P11" s="3701" t="s">
        <v>536</v>
      </c>
      <c r="Q11" s="1147" t="str">
        <f t="shared" ref="Q11:Q17" si="6">B11</f>
        <v>用途</v>
      </c>
      <c r="R11" s="1562" t="s">
        <v>8</v>
      </c>
      <c r="S11" s="1563">
        <f t="shared" si="0"/>
        <v>100</v>
      </c>
      <c r="T11" s="1562" t="s">
        <v>8</v>
      </c>
      <c r="U11" s="1563">
        <f t="shared" si="1"/>
        <v>100</v>
      </c>
      <c r="V11" s="1562" t="s">
        <v>8</v>
      </c>
      <c r="W11" s="1563">
        <f t="shared" si="2"/>
        <v>100</v>
      </c>
      <c r="X11" s="1564"/>
      <c r="Y11" s="3643" t="s">
        <v>537</v>
      </c>
      <c r="Z11" s="1146" t="str">
        <f t="shared" ref="Z11:Z17" si="7">Q11</f>
        <v>用途</v>
      </c>
      <c r="AA11" s="1565">
        <f t="shared" si="3"/>
        <v>1</v>
      </c>
      <c r="AB11" s="1565">
        <f t="shared" si="4"/>
        <v>1</v>
      </c>
      <c r="AC11" s="1565">
        <f t="shared" si="5"/>
        <v>1</v>
      </c>
    </row>
    <row r="12" spans="1:30" s="1334" customFormat="1" ht="27">
      <c r="A12" s="2935"/>
      <c r="B12" s="2940" t="s">
        <v>2764</v>
      </c>
      <c r="C12" s="906"/>
      <c r="D12" s="251">
        <v>100</v>
      </c>
      <c r="E12" s="525"/>
      <c r="F12" s="251">
        <f>ROUND(100/'数据-取费表'!G16,0)</f>
        <v>100</v>
      </c>
      <c r="G12" s="526"/>
      <c r="H12" s="251">
        <f>ROUND(100/'数据-取费表'!G16,0)</f>
        <v>100</v>
      </c>
      <c r="I12" s="526"/>
      <c r="J12" s="251">
        <f>ROUND(100/'数据-取费表'!G16,0)</f>
        <v>100</v>
      </c>
      <c r="K12" s="527"/>
      <c r="L12" s="2133"/>
      <c r="M12" s="2127"/>
      <c r="N12" s="2127"/>
      <c r="O12" s="2134"/>
      <c r="P12" s="3701"/>
      <c r="Q12" s="1147" t="str">
        <f t="shared" si="6"/>
        <v>土地使用年限（年）</v>
      </c>
      <c r="R12" s="1562" t="s">
        <v>8</v>
      </c>
      <c r="S12" s="1563">
        <f t="shared" si="0"/>
        <v>100</v>
      </c>
      <c r="T12" s="1562" t="s">
        <v>8</v>
      </c>
      <c r="U12" s="1563">
        <f t="shared" si="1"/>
        <v>100</v>
      </c>
      <c r="V12" s="1562" t="s">
        <v>8</v>
      </c>
      <c r="W12" s="1563">
        <f t="shared" si="2"/>
        <v>100</v>
      </c>
      <c r="X12" s="1564"/>
      <c r="Y12" s="3643"/>
      <c r="Z12" s="1146" t="str">
        <f t="shared" si="7"/>
        <v>土地使用年限（年）</v>
      </c>
      <c r="AA12" s="1565">
        <f t="shared" si="3"/>
        <v>1</v>
      </c>
      <c r="AB12" s="1565">
        <f t="shared" si="4"/>
        <v>1</v>
      </c>
      <c r="AC12" s="1565">
        <f t="shared" si="5"/>
        <v>1</v>
      </c>
    </row>
    <row r="13" spans="1:30" ht="21" thickBot="1">
      <c r="A13" s="2936"/>
      <c r="B13" s="2940" t="s">
        <v>2765</v>
      </c>
      <c r="C13" s="530">
        <f>'数据-汇总表'!I7</f>
        <v>1.79</v>
      </c>
      <c r="D13" s="251">
        <v>100</v>
      </c>
      <c r="E13" s="529">
        <f>Sheet2!G2</f>
        <v>2.8</v>
      </c>
      <c r="F13" s="251">
        <f>LOOKUP(E13,82:82,83:83)-LOOKUP(C13,82:82,83:83)+100</f>
        <v>99</v>
      </c>
      <c r="G13" s="530">
        <f>Sheet2!G3</f>
        <v>2.5</v>
      </c>
      <c r="H13" s="251">
        <f>LOOKUP(G13,82:82,83:83)-LOOKUP(C13,82:82,83:83)+100</f>
        <v>99</v>
      </c>
      <c r="I13" s="529">
        <f>Sheet2!G4</f>
        <v>1.96</v>
      </c>
      <c r="J13" s="251">
        <f>LOOKUP(I13,82:82,83:83)-LOOKUP(C13,82:82,83:83)+100</f>
        <v>100</v>
      </c>
      <c r="K13" s="531">
        <v>1</v>
      </c>
      <c r="L13" s="2135"/>
      <c r="M13" s="2127"/>
      <c r="N13" s="2127"/>
      <c r="O13" s="2136"/>
      <c r="P13" s="3701"/>
      <c r="Q13" s="1147" t="str">
        <f t="shared" si="6"/>
        <v>容积率</v>
      </c>
      <c r="R13" s="1562" t="s">
        <v>8</v>
      </c>
      <c r="S13" s="1563">
        <f t="shared" si="0"/>
        <v>99</v>
      </c>
      <c r="T13" s="1562" t="s">
        <v>8</v>
      </c>
      <c r="U13" s="1563">
        <f t="shared" si="1"/>
        <v>99</v>
      </c>
      <c r="V13" s="1562" t="s">
        <v>8</v>
      </c>
      <c r="W13" s="1563">
        <f t="shared" si="2"/>
        <v>100</v>
      </c>
      <c r="X13" s="1564"/>
      <c r="Y13" s="3643"/>
      <c r="Z13" s="1146" t="str">
        <f t="shared" si="7"/>
        <v>容积率</v>
      </c>
      <c r="AA13" s="1565">
        <f t="shared" si="3"/>
        <v>1.0101010101010102</v>
      </c>
      <c r="AB13" s="1565">
        <f t="shared" si="4"/>
        <v>1.0101010101010102</v>
      </c>
      <c r="AC13" s="1565">
        <f t="shared" si="5"/>
        <v>1</v>
      </c>
    </row>
    <row r="14" spans="1:30" s="1216" customFormat="1" ht="21" thickTop="1">
      <c r="A14" s="2933"/>
      <c r="B14" s="2942" t="s">
        <v>2766</v>
      </c>
      <c r="C14" s="2929" t="s">
        <v>3312</v>
      </c>
      <c r="D14" s="534">
        <v>100</v>
      </c>
      <c r="E14" s="1370" t="s">
        <v>3314</v>
      </c>
      <c r="F14" s="251">
        <f>SUMIF(84:84,E14,85:85)-SUMIF(84:84,C14,85:85)+100</f>
        <v>97</v>
      </c>
      <c r="G14" s="3499" t="s">
        <v>3315</v>
      </c>
      <c r="H14" s="251">
        <f>SUMIF(84:84,G14,85:85)-SUMIF(84:84,C14,85:85)+100</f>
        <v>94</v>
      </c>
      <c r="I14" s="3499" t="s">
        <v>3316</v>
      </c>
      <c r="J14" s="251">
        <f>SUMIF(84:84,I14,85:85)-SUMIF(84:84,C14,85:85)+100</f>
        <v>91</v>
      </c>
      <c r="K14" s="527"/>
      <c r="L14" s="2130"/>
      <c r="M14" s="2127"/>
      <c r="N14" s="2127"/>
      <c r="O14" s="2132"/>
      <c r="P14" s="3701"/>
      <c r="Q14" s="1147" t="str">
        <f t="shared" si="6"/>
        <v>配建</v>
      </c>
      <c r="R14" s="1562" t="s">
        <v>8</v>
      </c>
      <c r="S14" s="1563">
        <f t="shared" si="0"/>
        <v>97</v>
      </c>
      <c r="T14" s="1562" t="s">
        <v>8</v>
      </c>
      <c r="U14" s="1563">
        <f t="shared" si="1"/>
        <v>94</v>
      </c>
      <c r="V14" s="1562" t="s">
        <v>8</v>
      </c>
      <c r="W14" s="1563">
        <f t="shared" si="2"/>
        <v>91</v>
      </c>
      <c r="X14" s="1564"/>
      <c r="Y14" s="3643"/>
      <c r="Z14" s="1146" t="str">
        <f t="shared" si="7"/>
        <v>配建</v>
      </c>
      <c r="AA14" s="1565">
        <f>D14/F14</f>
        <v>1.0309278350515463</v>
      </c>
      <c r="AB14" s="1565">
        <f>D14/H14</f>
        <v>1.0638297872340425</v>
      </c>
      <c r="AC14" s="1565">
        <f>D14/J14</f>
        <v>1.098901098901099</v>
      </c>
    </row>
    <row r="15" spans="1:30" ht="20.25">
      <c r="A15" s="2937"/>
      <c r="B15" s="2943">
        <v>111</v>
      </c>
      <c r="C15" s="908"/>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701"/>
      <c r="Q15" s="1147">
        <f t="shared" si="6"/>
        <v>111</v>
      </c>
      <c r="R15" s="1562" t="s">
        <v>8</v>
      </c>
      <c r="S15" s="1563">
        <f t="shared" si="0"/>
        <v>100</v>
      </c>
      <c r="T15" s="1562" t="s">
        <v>8</v>
      </c>
      <c r="U15" s="1563">
        <f t="shared" si="1"/>
        <v>100</v>
      </c>
      <c r="V15" s="1562" t="s">
        <v>8</v>
      </c>
      <c r="W15" s="1563">
        <f t="shared" si="2"/>
        <v>100</v>
      </c>
      <c r="X15" s="1564"/>
      <c r="Y15" s="3643"/>
      <c r="Z15" s="1146">
        <f t="shared" si="7"/>
        <v>111</v>
      </c>
      <c r="AA15" s="1565">
        <f>D15/F15</f>
        <v>1</v>
      </c>
      <c r="AB15" s="1565">
        <f>D15/H15</f>
        <v>1</v>
      </c>
      <c r="AC15" s="1565">
        <f>D15/J15</f>
        <v>1</v>
      </c>
    </row>
    <row r="16" spans="1:30" ht="21" thickBot="1">
      <c r="A16" s="2938"/>
      <c r="B16" s="2944">
        <v>111</v>
      </c>
      <c r="C16" s="911"/>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701"/>
      <c r="Q16" s="1147">
        <f t="shared" si="6"/>
        <v>111</v>
      </c>
      <c r="R16" s="1562" t="s">
        <v>8</v>
      </c>
      <c r="S16" s="1563">
        <f t="shared" si="0"/>
        <v>100</v>
      </c>
      <c r="T16" s="1562" t="s">
        <v>8</v>
      </c>
      <c r="U16" s="1563">
        <f t="shared" si="1"/>
        <v>100</v>
      </c>
      <c r="V16" s="1562" t="s">
        <v>8</v>
      </c>
      <c r="W16" s="1563">
        <f t="shared" si="2"/>
        <v>100</v>
      </c>
      <c r="X16" s="1564"/>
      <c r="Y16" s="3643"/>
      <c r="Z16" s="1146">
        <f t="shared" si="7"/>
        <v>111</v>
      </c>
      <c r="AA16" s="1565">
        <f>D16/F16</f>
        <v>1</v>
      </c>
      <c r="AB16" s="1565">
        <f>D16/H16</f>
        <v>1</v>
      </c>
      <c r="AC16" s="1565">
        <f>D16/J16</f>
        <v>1</v>
      </c>
    </row>
    <row r="17" spans="1:29" ht="85.5">
      <c r="A17" s="2930" t="s">
        <v>2761</v>
      </c>
      <c r="B17" s="574" t="s">
        <v>295</v>
      </c>
      <c r="C17" s="544" t="str">
        <f>估价对象房地状况!C15</f>
        <v>估价对象周边居住用地比例较高、居住小区规模和社区发展完善程度较好，有远洋一方、管庄新村等多个项目、综合评价居住社区成熟度较好</v>
      </c>
      <c r="D17" s="547">
        <v>100</v>
      </c>
      <c r="E17" s="3506" t="s">
        <v>3356</v>
      </c>
      <c r="F17" s="545">
        <f>SUMIF(90:90,E18,91:91)-SUMIF(90:90,C18,91:91)+100</f>
        <v>100</v>
      </c>
      <c r="G17" s="3506" t="s">
        <v>3363</v>
      </c>
      <c r="H17" s="545">
        <f>SUMIF(90:90,G18,91:91)-SUMIF(90:90,C18,91:91)+100</f>
        <v>100</v>
      </c>
      <c r="I17" s="3506" t="s">
        <v>3367</v>
      </c>
      <c r="J17" s="545">
        <f>SUMIF(90:90,I18,91:91)-SUMIF(90:90,C18,91:91)+100</f>
        <v>100</v>
      </c>
      <c r="K17" s="531">
        <v>2</v>
      </c>
      <c r="L17" s="2137"/>
      <c r="M17" s="2127"/>
      <c r="N17" s="2127"/>
      <c r="O17" s="2136"/>
      <c r="P17" s="3735" t="s">
        <v>541</v>
      </c>
      <c r="Q17" s="1566" t="str">
        <f t="shared" si="6"/>
        <v>居住社区成熟度</v>
      </c>
      <c r="R17" s="1567" t="s">
        <v>8</v>
      </c>
      <c r="S17" s="1568">
        <f t="shared" si="0"/>
        <v>100</v>
      </c>
      <c r="T17" s="1567" t="s">
        <v>8</v>
      </c>
      <c r="U17" s="1568">
        <f t="shared" si="1"/>
        <v>100</v>
      </c>
      <c r="V17" s="1567" t="s">
        <v>8</v>
      </c>
      <c r="W17" s="1568">
        <f t="shared" si="2"/>
        <v>100</v>
      </c>
      <c r="X17" s="1561"/>
      <c r="Y17" s="3735" t="s">
        <v>541</v>
      </c>
      <c r="Z17" s="1569" t="str">
        <f t="shared" si="7"/>
        <v>居住社区成熟度</v>
      </c>
      <c r="AA17" s="1570">
        <f t="shared" si="3"/>
        <v>1</v>
      </c>
      <c r="AB17" s="1570">
        <f t="shared" si="4"/>
        <v>1</v>
      </c>
      <c r="AC17" s="1570">
        <f t="shared" si="5"/>
        <v>1</v>
      </c>
    </row>
    <row r="18" spans="1:29" ht="21" thickBot="1">
      <c r="A18" s="528"/>
      <c r="B18" s="549"/>
      <c r="C18" s="550" t="s">
        <v>3325</v>
      </c>
      <c r="D18" s="553"/>
      <c r="E18" s="550" t="s">
        <v>3325</v>
      </c>
      <c r="F18" s="551"/>
      <c r="G18" s="550" t="s">
        <v>3325</v>
      </c>
      <c r="H18" s="555"/>
      <c r="I18" s="550" t="s">
        <v>3325</v>
      </c>
      <c r="J18" s="551"/>
      <c r="K18" s="527"/>
      <c r="L18" s="2137"/>
      <c r="M18" s="2127"/>
      <c r="N18" s="2127"/>
      <c r="O18" s="2136"/>
      <c r="P18" s="3736"/>
      <c r="Q18" s="1566"/>
      <c r="R18" s="1567"/>
      <c r="S18" s="1568"/>
      <c r="T18" s="1567"/>
      <c r="U18" s="1568"/>
      <c r="V18" s="1567"/>
      <c r="W18" s="1568"/>
      <c r="X18" s="1561"/>
      <c r="Y18" s="3736"/>
      <c r="Z18" s="1569"/>
      <c r="AA18" s="1570">
        <v>1</v>
      </c>
      <c r="AB18" s="1570">
        <v>1</v>
      </c>
      <c r="AC18" s="1570">
        <v>1</v>
      </c>
    </row>
    <row r="19" spans="1:29" ht="89.25" customHeight="1">
      <c r="A19" s="528"/>
      <c r="B19" s="556" t="s">
        <v>542</v>
      </c>
      <c r="C19" s="557" t="str">
        <f>估价对象房地状况!C16</f>
        <v>估价对象位于管庄商圈，周边商业氛围成熟较好，人流量较大，周边2公里有万豪购物广场、国泰百货等多个商业项目，商业繁华度较好</v>
      </c>
      <c r="D19" s="559">
        <v>100</v>
      </c>
      <c r="E19" s="3506" t="s">
        <v>3357</v>
      </c>
      <c r="F19" s="555">
        <f>SUMIF(92:92,E20,93:93)-SUMIF(92:92,C20,93:93)+100</f>
        <v>100</v>
      </c>
      <c r="G19" s="3509" t="s">
        <v>3364</v>
      </c>
      <c r="H19" s="561">
        <f>SUMIF(92:92,G20,93:93)-SUMIF(92:92,C20,93:93)+100</f>
        <v>98</v>
      </c>
      <c r="I19" s="3506" t="s">
        <v>3368</v>
      </c>
      <c r="J19" s="561">
        <f>SUMIF(92:92,I20,93:93)-SUMIF(92:92,C20,93:93)+100</f>
        <v>100</v>
      </c>
      <c r="K19" s="531">
        <v>2</v>
      </c>
      <c r="L19" s="2137"/>
      <c r="M19" s="2127"/>
      <c r="N19" s="2127"/>
      <c r="O19" s="2136"/>
      <c r="P19" s="3736"/>
      <c r="Q19" s="1566" t="str">
        <f>B19</f>
        <v>商业繁华度</v>
      </c>
      <c r="R19" s="1567" t="s">
        <v>8</v>
      </c>
      <c r="S19" s="1568">
        <f>F19</f>
        <v>100</v>
      </c>
      <c r="T19" s="1567" t="s">
        <v>8</v>
      </c>
      <c r="U19" s="1568">
        <f>H19</f>
        <v>98</v>
      </c>
      <c r="V19" s="1567" t="s">
        <v>8</v>
      </c>
      <c r="W19" s="1568">
        <f>J19</f>
        <v>100</v>
      </c>
      <c r="X19" s="1561"/>
      <c r="Y19" s="3736"/>
      <c r="Z19" s="1569" t="str">
        <f>Q19</f>
        <v>商业繁华度</v>
      </c>
      <c r="AA19" s="1570">
        <f t="shared" si="3"/>
        <v>1</v>
      </c>
      <c r="AB19" s="1570">
        <f t="shared" si="4"/>
        <v>1.0204081632653061</v>
      </c>
      <c r="AC19" s="1570">
        <f t="shared" si="5"/>
        <v>1</v>
      </c>
    </row>
    <row r="20" spans="1:29" ht="20.25">
      <c r="A20" s="528"/>
      <c r="B20" s="562"/>
      <c r="C20" s="563" t="s">
        <v>3325</v>
      </c>
      <c r="D20" s="559"/>
      <c r="E20" s="550" t="s">
        <v>3325</v>
      </c>
      <c r="F20" s="555"/>
      <c r="G20" s="564" t="s">
        <v>3326</v>
      </c>
      <c r="H20" s="551"/>
      <c r="I20" s="550" t="s">
        <v>3325</v>
      </c>
      <c r="J20" s="551"/>
      <c r="K20" s="527"/>
      <c r="L20" s="2137"/>
      <c r="M20" s="2127"/>
      <c r="N20" s="2127"/>
      <c r="O20" s="2136"/>
      <c r="P20" s="3736"/>
      <c r="Q20" s="1566"/>
      <c r="R20" s="1567"/>
      <c r="S20" s="1568"/>
      <c r="T20" s="1567"/>
      <c r="U20" s="1568"/>
      <c r="V20" s="1567"/>
      <c r="W20" s="1568"/>
      <c r="X20" s="1561"/>
      <c r="Y20" s="3736"/>
      <c r="Z20" s="1569"/>
      <c r="AA20" s="1570">
        <v>1</v>
      </c>
      <c r="AB20" s="1570">
        <v>1</v>
      </c>
      <c r="AC20" s="1570">
        <v>1</v>
      </c>
    </row>
    <row r="21" spans="1:29" ht="88.5" customHeight="1">
      <c r="A21" s="528"/>
      <c r="B21" s="556" t="s">
        <v>543</v>
      </c>
      <c r="C21" s="557" t="str">
        <f>估价对象房地状况!C17</f>
        <v>估价对象位于管庄商圈，周边办公楼项目较多，入驻率较高，周边2公里有世通国际大厦、意菲克大厦等多个项目，办公集聚程度较好</v>
      </c>
      <c r="D21" s="567">
        <v>100</v>
      </c>
      <c r="E21" s="3507" t="s">
        <v>3359</v>
      </c>
      <c r="F21" s="561">
        <f>SUMIF(94:94,E22,95:95)-SUMIF(94:94,C22,95:95)+100</f>
        <v>96</v>
      </c>
      <c r="G21" s="3507" t="s">
        <v>3359</v>
      </c>
      <c r="H21" s="555">
        <f>SUMIF(94:94,G22,95:95)-SUMIF(94:94,C22,95:95)+100</f>
        <v>96</v>
      </c>
      <c r="I21" s="3507" t="s">
        <v>3369</v>
      </c>
      <c r="J21" s="555">
        <f>SUMIF(94:94,I22,95:95)-SUMIF(94:94,C22,95:95)+100</f>
        <v>100</v>
      </c>
      <c r="K21" s="531">
        <v>2</v>
      </c>
      <c r="L21" s="2137"/>
      <c r="M21" s="2127"/>
      <c r="N21" s="2127"/>
      <c r="O21" s="2136"/>
      <c r="P21" s="3736"/>
      <c r="Q21" s="1566" t="str">
        <f>B21</f>
        <v>办公集聚程度</v>
      </c>
      <c r="R21" s="1567" t="s">
        <v>8</v>
      </c>
      <c r="S21" s="1568">
        <f>F21</f>
        <v>96</v>
      </c>
      <c r="T21" s="1567" t="s">
        <v>8</v>
      </c>
      <c r="U21" s="1568">
        <f>H21</f>
        <v>96</v>
      </c>
      <c r="V21" s="1567" t="s">
        <v>8</v>
      </c>
      <c r="W21" s="1568">
        <f>J21</f>
        <v>100</v>
      </c>
      <c r="X21" s="1561"/>
      <c r="Y21" s="3736"/>
      <c r="Z21" s="1569" t="str">
        <f>Q21</f>
        <v>办公集聚程度</v>
      </c>
      <c r="AA21" s="1570">
        <f t="shared" si="3"/>
        <v>1.0416666666666667</v>
      </c>
      <c r="AB21" s="1570">
        <f t="shared" si="4"/>
        <v>1.0416666666666667</v>
      </c>
      <c r="AC21" s="1570">
        <f t="shared" si="5"/>
        <v>1</v>
      </c>
    </row>
    <row r="22" spans="1:29" ht="20.25">
      <c r="A22" s="528"/>
      <c r="B22" s="562"/>
      <c r="C22" s="550" t="s">
        <v>3325</v>
      </c>
      <c r="D22" s="553"/>
      <c r="E22" s="554" t="s">
        <v>3358</v>
      </c>
      <c r="F22" s="551"/>
      <c r="G22" s="554" t="s">
        <v>3358</v>
      </c>
      <c r="H22" s="551"/>
      <c r="I22" s="554" t="s">
        <v>3325</v>
      </c>
      <c r="J22" s="551"/>
      <c r="K22" s="527"/>
      <c r="L22" s="2137"/>
      <c r="M22" s="2127"/>
      <c r="N22" s="2127"/>
      <c r="O22" s="2136"/>
      <c r="P22" s="3736"/>
      <c r="Q22" s="1566"/>
      <c r="R22" s="1567"/>
      <c r="S22" s="1568"/>
      <c r="T22" s="1567"/>
      <c r="U22" s="1568"/>
      <c r="V22" s="1567"/>
      <c r="W22" s="1568"/>
      <c r="X22" s="1561"/>
      <c r="Y22" s="3736"/>
      <c r="Z22" s="1569"/>
      <c r="AA22" s="1570">
        <v>1</v>
      </c>
      <c r="AB22" s="1570">
        <v>1</v>
      </c>
      <c r="AC22" s="1570">
        <v>1</v>
      </c>
    </row>
    <row r="23" spans="1:29" ht="85.5">
      <c r="A23" s="528"/>
      <c r="B23" s="556" t="s">
        <v>544</v>
      </c>
      <c r="C23" s="569" t="str">
        <f>估价对象房地状况!C18</f>
        <v>估价对象周边道路状况较好、公共交通通达情况一般、停车便捷程度较好，有364、532、690路等公交线路及地铁八通线，综合评价交通便捷度一般</v>
      </c>
      <c r="D23" s="559">
        <v>100</v>
      </c>
      <c r="E23" s="560" t="s">
        <v>3371</v>
      </c>
      <c r="F23" s="561">
        <f>SUMIF(96:96,E24,97:97)-SUMIF(96:96,C24,97:97)+100</f>
        <v>100</v>
      </c>
      <c r="G23" s="3508" t="s">
        <v>3372</v>
      </c>
      <c r="H23" s="555">
        <f>SUMIF(96:96,G24,97:97)-SUMIF(96:96,C24,97:97)+100</f>
        <v>98</v>
      </c>
      <c r="I23" s="3508" t="s">
        <v>3373</v>
      </c>
      <c r="J23" s="555">
        <f>SUMIF(96:96,I24,97:97)-SUMIF(96:96,C24,97:97)+100</f>
        <v>102</v>
      </c>
      <c r="K23" s="531">
        <v>2</v>
      </c>
      <c r="L23" s="2137"/>
      <c r="M23" s="2127"/>
      <c r="N23" s="2127"/>
      <c r="O23" s="2136"/>
      <c r="P23" s="3736"/>
      <c r="Q23" s="1566" t="str">
        <f>B23</f>
        <v>交通便捷度</v>
      </c>
      <c r="R23" s="1567" t="s">
        <v>8</v>
      </c>
      <c r="S23" s="1568">
        <f>F23</f>
        <v>100</v>
      </c>
      <c r="T23" s="1567" t="s">
        <v>8</v>
      </c>
      <c r="U23" s="1568">
        <f>H23</f>
        <v>98</v>
      </c>
      <c r="V23" s="1567" t="s">
        <v>8</v>
      </c>
      <c r="W23" s="1568">
        <f>J23</f>
        <v>102</v>
      </c>
      <c r="X23" s="1561"/>
      <c r="Y23" s="3736"/>
      <c r="Z23" s="1569" t="str">
        <f>Q23</f>
        <v>交通便捷度</v>
      </c>
      <c r="AA23" s="1570">
        <f t="shared" si="3"/>
        <v>1</v>
      </c>
      <c r="AB23" s="1570">
        <f t="shared" si="4"/>
        <v>1.0204081632653061</v>
      </c>
      <c r="AC23" s="1570">
        <f t="shared" si="5"/>
        <v>0.98039215686274506</v>
      </c>
    </row>
    <row r="24" spans="1:29" ht="20.25">
      <c r="A24" s="528"/>
      <c r="B24" s="574"/>
      <c r="C24" s="550" t="s">
        <v>3326</v>
      </c>
      <c r="D24" s="553"/>
      <c r="E24" s="550" t="s">
        <v>3326</v>
      </c>
      <c r="F24" s="551"/>
      <c r="G24" s="552" t="s">
        <v>3358</v>
      </c>
      <c r="H24" s="551"/>
      <c r="I24" s="554" t="s">
        <v>3325</v>
      </c>
      <c r="J24" s="551"/>
      <c r="K24" s="527"/>
      <c r="L24" s="2137"/>
      <c r="M24" s="2127"/>
      <c r="N24" s="2127"/>
      <c r="O24" s="2136"/>
      <c r="P24" s="3736"/>
      <c r="Q24" s="1566"/>
      <c r="R24" s="1567"/>
      <c r="S24" s="1568"/>
      <c r="T24" s="1567"/>
      <c r="U24" s="1568"/>
      <c r="V24" s="1567"/>
      <c r="W24" s="1568"/>
      <c r="X24" s="1561"/>
      <c r="Y24" s="3736"/>
      <c r="Z24" s="1569"/>
      <c r="AA24" s="1570">
        <v>1</v>
      </c>
      <c r="AB24" s="1570">
        <v>1</v>
      </c>
      <c r="AC24" s="1570">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1</v>
      </c>
      <c r="L25" s="2137"/>
      <c r="M25" s="2127"/>
      <c r="N25" s="2127"/>
      <c r="O25" s="2136"/>
      <c r="P25" s="3736"/>
      <c r="Q25" s="1566" t="str">
        <f t="shared" ref="Q25:Q39" si="8">B25</f>
        <v>区域土地利用方向</v>
      </c>
      <c r="R25" s="1567" t="s">
        <v>8</v>
      </c>
      <c r="S25" s="1568">
        <f>F25</f>
        <v>100</v>
      </c>
      <c r="T25" s="1567" t="s">
        <v>8</v>
      </c>
      <c r="U25" s="1568">
        <f>H25</f>
        <v>100</v>
      </c>
      <c r="V25" s="1567" t="s">
        <v>8</v>
      </c>
      <c r="W25" s="1568">
        <f>J25</f>
        <v>100</v>
      </c>
      <c r="X25" s="1561"/>
      <c r="Y25" s="3736"/>
      <c r="Z25" s="1569" t="str">
        <f>Q25</f>
        <v>区域土地利用方向</v>
      </c>
      <c r="AA25" s="1570">
        <f t="shared" si="3"/>
        <v>1</v>
      </c>
      <c r="AB25" s="1570">
        <f t="shared" si="4"/>
        <v>1</v>
      </c>
      <c r="AC25" s="1570">
        <f t="shared" si="5"/>
        <v>1</v>
      </c>
    </row>
    <row r="26" spans="1:29" ht="20.25">
      <c r="A26" s="511"/>
      <c r="B26" s="1003"/>
      <c r="C26" s="550" t="s">
        <v>3325</v>
      </c>
      <c r="D26" s="553"/>
      <c r="E26" s="550" t="s">
        <v>3325</v>
      </c>
      <c r="F26" s="551"/>
      <c r="G26" s="550" t="s">
        <v>3325</v>
      </c>
      <c r="H26" s="551"/>
      <c r="I26" s="550" t="s">
        <v>3325</v>
      </c>
      <c r="J26" s="551"/>
      <c r="K26" s="527"/>
      <c r="L26" s="2137"/>
      <c r="M26" s="2127"/>
      <c r="N26" s="2127"/>
      <c r="O26" s="2136"/>
      <c r="P26" s="3736"/>
      <c r="Q26" s="1566"/>
      <c r="R26" s="1567"/>
      <c r="S26" s="1568"/>
      <c r="T26" s="1567"/>
      <c r="U26" s="1568"/>
      <c r="V26" s="1567"/>
      <c r="W26" s="1568"/>
      <c r="X26" s="1561"/>
      <c r="Y26" s="3736"/>
      <c r="Z26" s="1569"/>
      <c r="AA26" s="1570"/>
      <c r="AB26" s="1570"/>
      <c r="AC26" s="1570"/>
    </row>
    <row r="27" spans="1:29" ht="57">
      <c r="A27" s="511"/>
      <c r="B27" s="574" t="s">
        <v>546</v>
      </c>
      <c r="C27" s="557" t="str">
        <f>估价对象房地状况!C20</f>
        <v>区域自然环境：八里桥音乐主题公园、西汇公园、金田公园等；人文环境；综合评价环境状况较好</v>
      </c>
      <c r="D27" s="559">
        <v>100</v>
      </c>
      <c r="E27" s="3508" t="s">
        <v>3360</v>
      </c>
      <c r="F27" s="555">
        <f>SUMIF(100:100,E28,101:101)-SUMIF(100:100,C28,101:101)+100</f>
        <v>100</v>
      </c>
      <c r="G27" s="3508" t="s">
        <v>3365</v>
      </c>
      <c r="H27" s="555">
        <f>SUMIF(100:100,G28,101:101)-SUMIF(100:100,C28,101:101)+100</f>
        <v>98</v>
      </c>
      <c r="I27" s="3508" t="s">
        <v>3374</v>
      </c>
      <c r="J27" s="555">
        <f>SUMIF(100:100,I28,101:101)-SUMIF(100:100,C28,101:101)+100</f>
        <v>98</v>
      </c>
      <c r="K27" s="531">
        <v>2</v>
      </c>
      <c r="L27" s="2137"/>
      <c r="M27" s="2127"/>
      <c r="N27" s="2127"/>
      <c r="O27" s="2136"/>
      <c r="P27" s="3736"/>
      <c r="Q27" s="1566" t="str">
        <f t="shared" si="8"/>
        <v>自然及人文环境状况</v>
      </c>
      <c r="R27" s="1567" t="s">
        <v>8</v>
      </c>
      <c r="S27" s="1568">
        <f>F27</f>
        <v>100</v>
      </c>
      <c r="T27" s="1567" t="s">
        <v>8</v>
      </c>
      <c r="U27" s="1568">
        <f>H27</f>
        <v>98</v>
      </c>
      <c r="V27" s="1567" t="s">
        <v>8</v>
      </c>
      <c r="W27" s="1568">
        <f>J27</f>
        <v>98</v>
      </c>
      <c r="X27" s="1561"/>
      <c r="Y27" s="3736"/>
      <c r="Z27" s="1569" t="str">
        <f>Q27</f>
        <v>自然及人文环境状况</v>
      </c>
      <c r="AA27" s="1570">
        <f t="shared" si="3"/>
        <v>1</v>
      </c>
      <c r="AB27" s="1570">
        <f t="shared" si="4"/>
        <v>1.0204081632653061</v>
      </c>
      <c r="AC27" s="1570">
        <f t="shared" si="5"/>
        <v>1.0204081632653061</v>
      </c>
    </row>
    <row r="28" spans="1:29" ht="20.25">
      <c r="A28" s="511"/>
      <c r="B28" s="562"/>
      <c r="C28" s="550" t="s">
        <v>3325</v>
      </c>
      <c r="D28" s="553"/>
      <c r="E28" s="550" t="s">
        <v>3325</v>
      </c>
      <c r="F28" s="551"/>
      <c r="G28" s="550" t="s">
        <v>3326</v>
      </c>
      <c r="H28" s="551"/>
      <c r="I28" s="572" t="s">
        <v>3326</v>
      </c>
      <c r="J28" s="551"/>
      <c r="K28" s="527"/>
      <c r="L28" s="2137"/>
      <c r="M28" s="2127"/>
      <c r="N28" s="2127"/>
      <c r="O28" s="2136"/>
      <c r="P28" s="3736"/>
      <c r="Q28" s="1566"/>
      <c r="R28" s="1567"/>
      <c r="S28" s="1568"/>
      <c r="T28" s="1567"/>
      <c r="U28" s="1568"/>
      <c r="V28" s="1567"/>
      <c r="W28" s="1568"/>
      <c r="X28" s="1561"/>
      <c r="Y28" s="3736"/>
      <c r="Z28" s="1569"/>
      <c r="AA28" s="1570">
        <v>1</v>
      </c>
      <c r="AB28" s="1570">
        <v>1</v>
      </c>
      <c r="AC28" s="1570">
        <v>1</v>
      </c>
    </row>
    <row r="29" spans="1:29" s="1216" customFormat="1" ht="28.5">
      <c r="A29" s="573"/>
      <c r="B29" s="2610" t="s">
        <v>2555</v>
      </c>
      <c r="C29" s="569" t="str">
        <f>估价对象房地状况!C21</f>
        <v>估价对象所在区域公共配套设施齐备情况较好</v>
      </c>
      <c r="D29" s="559">
        <v>100</v>
      </c>
      <c r="E29" s="560"/>
      <c r="F29" s="555">
        <f>SUMIF(102:102,E30,103:103)-SUMIF(102:102,C30,103:103)+100</f>
        <v>100</v>
      </c>
      <c r="G29" s="558"/>
      <c r="H29" s="555">
        <f>SUMIF(102:102,G30,103:103)-SUMIF(102:102,C30,103:103)+100</f>
        <v>98</v>
      </c>
      <c r="I29" s="560"/>
      <c r="J29" s="555">
        <f>SUMIF(102:102,I30,103:103)-SUMIF(102:102,C30,103:103)+100</f>
        <v>100</v>
      </c>
      <c r="K29" s="531">
        <v>2</v>
      </c>
      <c r="L29" s="2130"/>
      <c r="M29" s="2127"/>
      <c r="N29" s="2127"/>
      <c r="O29" s="2132"/>
      <c r="P29" s="3736"/>
      <c r="Q29" s="1147" t="str">
        <f t="shared" si="8"/>
        <v>公共配套设施</v>
      </c>
      <c r="R29" s="1562" t="s">
        <v>8</v>
      </c>
      <c r="S29" s="1563">
        <f>F29</f>
        <v>100</v>
      </c>
      <c r="T29" s="1562" t="s">
        <v>8</v>
      </c>
      <c r="U29" s="1563">
        <f>H29</f>
        <v>98</v>
      </c>
      <c r="V29" s="1562" t="s">
        <v>8</v>
      </c>
      <c r="W29" s="1563">
        <f>J29</f>
        <v>100</v>
      </c>
      <c r="X29" s="1564"/>
      <c r="Y29" s="3736"/>
      <c r="Z29" s="1146" t="str">
        <f>Q29</f>
        <v>公共配套设施</v>
      </c>
      <c r="AA29" s="1570">
        <f>D29/F29</f>
        <v>1</v>
      </c>
      <c r="AB29" s="1570">
        <f>D29/H29</f>
        <v>1.0204081632653061</v>
      </c>
      <c r="AC29" s="1570">
        <f>D29/J29</f>
        <v>1</v>
      </c>
    </row>
    <row r="30" spans="1:29" s="1216" customFormat="1" ht="20.25">
      <c r="A30" s="573"/>
      <c r="B30" s="562"/>
      <c r="C30" s="575" t="s">
        <v>3325</v>
      </c>
      <c r="D30" s="553"/>
      <c r="E30" s="575" t="s">
        <v>3325</v>
      </c>
      <c r="F30" s="551"/>
      <c r="G30" s="550" t="s">
        <v>3326</v>
      </c>
      <c r="H30" s="551"/>
      <c r="I30" s="575" t="s">
        <v>3325</v>
      </c>
      <c r="J30" s="551"/>
      <c r="K30" s="527"/>
      <c r="L30" s="2130"/>
      <c r="M30" s="2127"/>
      <c r="N30" s="2127"/>
      <c r="O30" s="2132"/>
      <c r="P30" s="3736"/>
      <c r="Q30" s="1147"/>
      <c r="R30" s="1562"/>
      <c r="S30" s="1563"/>
      <c r="T30" s="1562"/>
      <c r="U30" s="1563"/>
      <c r="V30" s="1562"/>
      <c r="W30" s="1563"/>
      <c r="X30" s="1564"/>
      <c r="Y30" s="3736"/>
      <c r="Z30" s="1146"/>
      <c r="AA30" s="1570">
        <v>1</v>
      </c>
      <c r="AB30" s="1570">
        <v>1</v>
      </c>
      <c r="AC30" s="1570">
        <v>1</v>
      </c>
    </row>
    <row r="31" spans="1:29" s="1216" customFormat="1" ht="20.25">
      <c r="A31" s="573"/>
      <c r="B31" s="2610" t="s">
        <v>2556</v>
      </c>
      <c r="C31" s="569" t="str">
        <f>估价对象房地状况!C22</f>
        <v>七通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736"/>
      <c r="Q31" s="2597" t="str">
        <f t="shared" ref="Q31" si="9">B31</f>
        <v>基础设施水平</v>
      </c>
      <c r="R31" s="1562" t="s">
        <v>8</v>
      </c>
      <c r="S31" s="1563">
        <f>F31</f>
        <v>100</v>
      </c>
      <c r="T31" s="1562" t="s">
        <v>8</v>
      </c>
      <c r="U31" s="1563">
        <f>H31</f>
        <v>100</v>
      </c>
      <c r="V31" s="1562" t="s">
        <v>8</v>
      </c>
      <c r="W31" s="1563">
        <f>J31</f>
        <v>100</v>
      </c>
      <c r="X31" s="1564"/>
      <c r="Y31" s="3736"/>
      <c r="Z31" s="2594" t="str">
        <f>Q31</f>
        <v>基础设施水平</v>
      </c>
      <c r="AA31" s="1570">
        <f>D31/F31</f>
        <v>1</v>
      </c>
      <c r="AB31" s="1570">
        <f>D31/H31</f>
        <v>1</v>
      </c>
      <c r="AC31" s="1570">
        <f>D31/J31</f>
        <v>1</v>
      </c>
    </row>
    <row r="32" spans="1:29" s="1216" customFormat="1" ht="20.25">
      <c r="A32" s="573"/>
      <c r="B32" s="562"/>
      <c r="C32" s="575" t="s">
        <v>3321</v>
      </c>
      <c r="D32" s="553"/>
      <c r="E32" s="575" t="s">
        <v>3321</v>
      </c>
      <c r="F32" s="551"/>
      <c r="G32" s="575" t="s">
        <v>3321</v>
      </c>
      <c r="H32" s="551"/>
      <c r="I32" s="575" t="s">
        <v>3321</v>
      </c>
      <c r="J32" s="551"/>
      <c r="K32" s="527"/>
      <c r="L32" s="2130"/>
      <c r="M32" s="2127"/>
      <c r="N32" s="2127"/>
      <c r="O32" s="2132"/>
      <c r="P32" s="3736"/>
      <c r="Q32" s="2597"/>
      <c r="R32" s="1562"/>
      <c r="S32" s="1563"/>
      <c r="T32" s="1562"/>
      <c r="U32" s="1563"/>
      <c r="V32" s="1562"/>
      <c r="W32" s="1563"/>
      <c r="X32" s="1564"/>
      <c r="Y32" s="3736"/>
      <c r="Z32" s="2594"/>
      <c r="AA32" s="1570">
        <v>1</v>
      </c>
      <c r="AB32" s="1570">
        <v>1</v>
      </c>
      <c r="AC32" s="1570">
        <v>1</v>
      </c>
    </row>
    <row r="33" spans="1:29" ht="20.25">
      <c r="A33" s="528"/>
      <c r="B33" s="562" t="s">
        <v>548</v>
      </c>
      <c r="C33" s="576" t="s">
        <v>3327</v>
      </c>
      <c r="D33" s="571">
        <v>100</v>
      </c>
      <c r="E33" s="576" t="s">
        <v>3327</v>
      </c>
      <c r="F33" s="536">
        <f>SUMIF(106:106,E33,107:107)-SUMIF(106:106,C33,107:107)+100</f>
        <v>100</v>
      </c>
      <c r="G33" s="576" t="s">
        <v>3377</v>
      </c>
      <c r="H33" s="536">
        <f>SUMIF(106:106,G33,107:107)-SUMIF(106:106,C33,107:107)+100</f>
        <v>99</v>
      </c>
      <c r="I33" s="576" t="s">
        <v>3327</v>
      </c>
      <c r="J33" s="536">
        <f>SUMIF(106:106,I33,107:107)-SUMIF(106:106,C33,107:107)+100</f>
        <v>100</v>
      </c>
      <c r="K33" s="531">
        <v>1</v>
      </c>
      <c r="L33" s="2137"/>
      <c r="M33" s="2127"/>
      <c r="N33" s="2127"/>
      <c r="O33" s="2136"/>
      <c r="P33" s="3736"/>
      <c r="Q33" s="1566" t="str">
        <f t="shared" si="8"/>
        <v>临街状况</v>
      </c>
      <c r="R33" s="1567" t="s">
        <v>8</v>
      </c>
      <c r="S33" s="1568">
        <f t="shared" ref="S33:S47" si="10">F33</f>
        <v>100</v>
      </c>
      <c r="T33" s="1567" t="s">
        <v>8</v>
      </c>
      <c r="U33" s="1568">
        <f t="shared" ref="U33:U47" si="11">H33</f>
        <v>99</v>
      </c>
      <c r="V33" s="1567" t="s">
        <v>8</v>
      </c>
      <c r="W33" s="1568">
        <f t="shared" ref="W33:W47" si="12">J33</f>
        <v>100</v>
      </c>
      <c r="X33" s="1561"/>
      <c r="Y33" s="3736"/>
      <c r="Z33" s="1569" t="str">
        <f t="shared" ref="Z33:Z47" si="13">Q33</f>
        <v>临街状况</v>
      </c>
      <c r="AA33" s="1570">
        <f t="shared" si="3"/>
        <v>1</v>
      </c>
      <c r="AB33" s="1570">
        <f t="shared" si="4"/>
        <v>1.0101010101010102</v>
      </c>
      <c r="AC33" s="1570">
        <f t="shared" si="5"/>
        <v>1</v>
      </c>
    </row>
    <row r="34" spans="1:29" ht="27">
      <c r="A34" s="528"/>
      <c r="B34" s="574" t="s">
        <v>549</v>
      </c>
      <c r="C34" s="3509" t="s">
        <v>3361</v>
      </c>
      <c r="D34" s="559">
        <v>100</v>
      </c>
      <c r="E34" s="3508" t="s">
        <v>3362</v>
      </c>
      <c r="F34" s="555">
        <f>SUMIF(108:108,E35,109:109)-SUMIF(108:108,C35,109:109)+100</f>
        <v>100</v>
      </c>
      <c r="G34" s="3509" t="s">
        <v>3366</v>
      </c>
      <c r="H34" s="555">
        <f>SUMIF(108:108,G35,109:109)-SUMIF(108:108,C35,109:109)+100</f>
        <v>100</v>
      </c>
      <c r="I34" s="3508" t="s">
        <v>3376</v>
      </c>
      <c r="J34" s="555">
        <f>SUMIF(108:108,I35,109:109)-SUMIF(108:108,C35,109:109)+100</f>
        <v>101</v>
      </c>
      <c r="K34" s="531">
        <v>1</v>
      </c>
      <c r="L34" s="2137"/>
      <c r="M34" s="2127"/>
      <c r="N34" s="2127"/>
      <c r="O34" s="2136"/>
      <c r="P34" s="3736"/>
      <c r="Q34" s="1566" t="str">
        <f t="shared" si="8"/>
        <v>毗邻道路的类型与等级</v>
      </c>
      <c r="R34" s="1567" t="s">
        <v>8</v>
      </c>
      <c r="S34" s="1568">
        <f t="shared" si="10"/>
        <v>100</v>
      </c>
      <c r="T34" s="1567" t="s">
        <v>8</v>
      </c>
      <c r="U34" s="1568">
        <f t="shared" si="11"/>
        <v>100</v>
      </c>
      <c r="V34" s="1567" t="s">
        <v>8</v>
      </c>
      <c r="W34" s="1568">
        <f t="shared" si="12"/>
        <v>101</v>
      </c>
      <c r="X34" s="1561"/>
      <c r="Y34" s="3736"/>
      <c r="Z34" s="1569" t="str">
        <f t="shared" si="13"/>
        <v>毗邻道路的类型与等级</v>
      </c>
      <c r="AA34" s="1570">
        <f t="shared" si="3"/>
        <v>1</v>
      </c>
      <c r="AB34" s="1570">
        <f t="shared" si="4"/>
        <v>1</v>
      </c>
      <c r="AC34" s="1570">
        <f t="shared" si="5"/>
        <v>0.99009900990099009</v>
      </c>
    </row>
    <row r="35" spans="1:29" ht="20.25">
      <c r="A35" s="528"/>
      <c r="B35" s="562"/>
      <c r="C35" s="550" t="s">
        <v>3333</v>
      </c>
      <c r="D35" s="553"/>
      <c r="E35" s="572" t="s">
        <v>3333</v>
      </c>
      <c r="F35" s="551"/>
      <c r="G35" s="572" t="s">
        <v>3333</v>
      </c>
      <c r="H35" s="551"/>
      <c r="I35" s="572" t="s">
        <v>3375</v>
      </c>
      <c r="J35" s="551"/>
      <c r="K35" s="577"/>
      <c r="L35" s="2137"/>
      <c r="M35" s="2127"/>
      <c r="N35" s="2127"/>
      <c r="O35" s="2136"/>
      <c r="P35" s="3736"/>
      <c r="Q35" s="1566"/>
      <c r="R35" s="1567"/>
      <c r="S35" s="1568"/>
      <c r="T35" s="1567"/>
      <c r="U35" s="1568"/>
      <c r="V35" s="1567"/>
      <c r="W35" s="1568"/>
      <c r="X35" s="1561"/>
      <c r="Y35" s="3736"/>
      <c r="Z35" s="1569"/>
      <c r="AA35" s="1570">
        <v>1</v>
      </c>
      <c r="AB35" s="1570">
        <v>1</v>
      </c>
      <c r="AC35" s="1570">
        <v>1</v>
      </c>
    </row>
    <row r="36" spans="1:29" ht="20.25">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36"/>
      <c r="Q36" s="1566" t="str">
        <f t="shared" si="8"/>
        <v>土地级别</v>
      </c>
      <c r="R36" s="1567" t="s">
        <v>8</v>
      </c>
      <c r="S36" s="1568">
        <f t="shared" si="10"/>
        <v>100</v>
      </c>
      <c r="T36" s="1567" t="s">
        <v>8</v>
      </c>
      <c r="U36" s="1568">
        <f t="shared" si="11"/>
        <v>100</v>
      </c>
      <c r="V36" s="1567" t="s">
        <v>8</v>
      </c>
      <c r="W36" s="1568">
        <f t="shared" si="12"/>
        <v>100</v>
      </c>
      <c r="X36" s="1561"/>
      <c r="Y36" s="3736"/>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36"/>
      <c r="Q37" s="1566">
        <f t="shared" si="8"/>
        <v>111</v>
      </c>
      <c r="R37" s="1567" t="s">
        <v>8</v>
      </c>
      <c r="S37" s="1568">
        <f t="shared" si="10"/>
        <v>100</v>
      </c>
      <c r="T37" s="1567" t="s">
        <v>8</v>
      </c>
      <c r="U37" s="1568">
        <f t="shared" si="11"/>
        <v>100</v>
      </c>
      <c r="V37" s="1567" t="s">
        <v>8</v>
      </c>
      <c r="W37" s="1568">
        <f t="shared" si="12"/>
        <v>100</v>
      </c>
      <c r="X37" s="1561"/>
      <c r="Y37" s="3736"/>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37" t="s">
        <v>551</v>
      </c>
      <c r="Q38" s="1566">
        <f t="shared" si="8"/>
        <v>111</v>
      </c>
      <c r="R38" s="1567" t="s">
        <v>8</v>
      </c>
      <c r="S38" s="1568">
        <f t="shared" si="10"/>
        <v>100</v>
      </c>
      <c r="T38" s="1567" t="s">
        <v>8</v>
      </c>
      <c r="U38" s="1568">
        <f t="shared" si="11"/>
        <v>100</v>
      </c>
      <c r="V38" s="1567" t="s">
        <v>8</v>
      </c>
      <c r="W38" s="1568">
        <f t="shared" si="12"/>
        <v>100</v>
      </c>
      <c r="X38" s="1561"/>
      <c r="Y38" s="3738" t="s">
        <v>551</v>
      </c>
      <c r="Z38" s="1569">
        <f t="shared" si="13"/>
        <v>111</v>
      </c>
      <c r="AA38" s="1570">
        <f t="shared" si="3"/>
        <v>1</v>
      </c>
      <c r="AB38" s="1570">
        <f t="shared" si="4"/>
        <v>1</v>
      </c>
      <c r="AC38" s="1570">
        <f t="shared" si="5"/>
        <v>1</v>
      </c>
    </row>
    <row r="39" spans="1:29" s="1335"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38"/>
      <c r="Q39" s="1566">
        <f t="shared" si="8"/>
        <v>111</v>
      </c>
      <c r="R39" s="1571" t="s">
        <v>8</v>
      </c>
      <c r="S39" s="1572">
        <f t="shared" si="10"/>
        <v>100</v>
      </c>
      <c r="T39" s="1571" t="s">
        <v>8</v>
      </c>
      <c r="U39" s="1572">
        <f t="shared" si="11"/>
        <v>100</v>
      </c>
      <c r="V39" s="1571" t="s">
        <v>8</v>
      </c>
      <c r="W39" s="1572">
        <f t="shared" si="12"/>
        <v>100</v>
      </c>
      <c r="X39" s="1573"/>
      <c r="Y39" s="3738"/>
      <c r="Z39" s="1574">
        <f t="shared" si="13"/>
        <v>111</v>
      </c>
      <c r="AA39" s="1570">
        <f t="shared" si="3"/>
        <v>1</v>
      </c>
      <c r="AB39" s="1570">
        <f t="shared" si="4"/>
        <v>1</v>
      </c>
      <c r="AC39" s="1570">
        <f t="shared" si="5"/>
        <v>1</v>
      </c>
    </row>
    <row r="40" spans="1:29" ht="20.25">
      <c r="A40" s="2927" t="s">
        <v>2762</v>
      </c>
      <c r="B40" s="591" t="s">
        <v>553</v>
      </c>
      <c r="C40" s="592">
        <f>'数据-汇总表'!D3</f>
        <v>57230.39</v>
      </c>
      <c r="D40" s="593">
        <v>100</v>
      </c>
      <c r="E40" s="592">
        <f>Sheet2!E2</f>
        <v>41963.66</v>
      </c>
      <c r="F40" s="593">
        <f>LOOKUP(E40,119:119,120:120)-LOOKUP(C40,119:119,120:120)+100</f>
        <v>100</v>
      </c>
      <c r="G40" s="592">
        <f>Sheet2!E3</f>
        <v>63913.14</v>
      </c>
      <c r="H40" s="593">
        <f>LOOKUP(G40,119:119,120:120)-LOOKUP(C40,119:119,120:120)+100</f>
        <v>104</v>
      </c>
      <c r="I40" s="594">
        <f>Sheet2!E4</f>
        <v>84985.06</v>
      </c>
      <c r="J40" s="593">
        <f>LOOKUP(I40,119:119,120:120)-LOOKUP(C40,119:119,120:120)+100</f>
        <v>104</v>
      </c>
      <c r="K40" s="577"/>
      <c r="L40" s="2137"/>
      <c r="M40" s="2127"/>
      <c r="N40" s="2127"/>
      <c r="O40" s="2136"/>
      <c r="P40" s="3738"/>
      <c r="Q40" s="1566" t="str">
        <f>B40</f>
        <v>宗地面积</v>
      </c>
      <c r="R40" s="1567" t="s">
        <v>8</v>
      </c>
      <c r="S40" s="1568">
        <f t="shared" si="10"/>
        <v>100</v>
      </c>
      <c r="T40" s="1567" t="s">
        <v>8</v>
      </c>
      <c r="U40" s="1568">
        <f t="shared" si="11"/>
        <v>104</v>
      </c>
      <c r="V40" s="1567" t="s">
        <v>8</v>
      </c>
      <c r="W40" s="1568">
        <f t="shared" si="12"/>
        <v>104</v>
      </c>
      <c r="X40" s="1561"/>
      <c r="Y40" s="3738"/>
      <c r="Z40" s="1569" t="str">
        <f t="shared" si="13"/>
        <v>宗地面积</v>
      </c>
      <c r="AA40" s="1570">
        <f t="shared" si="3"/>
        <v>1</v>
      </c>
      <c r="AB40" s="1570">
        <f t="shared" si="4"/>
        <v>0.96153846153846156</v>
      </c>
      <c r="AC40" s="1570">
        <f t="shared" si="5"/>
        <v>0.96153846153846156</v>
      </c>
    </row>
    <row r="41" spans="1:29" ht="20.25">
      <c r="A41" s="590"/>
      <c r="B41" s="523" t="s">
        <v>554</v>
      </c>
      <c r="C41" s="595" t="s">
        <v>3351</v>
      </c>
      <c r="D41" s="536">
        <v>100</v>
      </c>
      <c r="E41" s="595" t="s">
        <v>3355</v>
      </c>
      <c r="F41" s="536">
        <f>SUMIF(121:121,E41,122:122)-SUMIF(121:121,C41,122:122)+100</f>
        <v>102</v>
      </c>
      <c r="G41" s="595" t="s">
        <v>3355</v>
      </c>
      <c r="H41" s="536">
        <f>SUMIF(121:121,G41,122:122)-SUMIF(121:121,C41,122:122)+100</f>
        <v>102</v>
      </c>
      <c r="I41" s="595" t="s">
        <v>3351</v>
      </c>
      <c r="J41" s="536">
        <f>SUMIF(121:121,I41,122:122)-SUMIF(121:121,C41,122:122)+100</f>
        <v>100</v>
      </c>
      <c r="K41" s="580">
        <v>2</v>
      </c>
      <c r="L41" s="2137"/>
      <c r="M41" s="2127"/>
      <c r="N41" s="2127"/>
      <c r="O41" s="2136"/>
      <c r="P41" s="3738"/>
      <c r="Q41" s="1566" t="str">
        <f t="shared" ref="Q41:Q47" si="14">B41</f>
        <v>宗地形状</v>
      </c>
      <c r="R41" s="1567" t="s">
        <v>8</v>
      </c>
      <c r="S41" s="1568">
        <f t="shared" si="10"/>
        <v>102</v>
      </c>
      <c r="T41" s="1567" t="s">
        <v>8</v>
      </c>
      <c r="U41" s="1568">
        <f t="shared" si="11"/>
        <v>102</v>
      </c>
      <c r="V41" s="1567" t="s">
        <v>8</v>
      </c>
      <c r="W41" s="1568">
        <f t="shared" si="12"/>
        <v>100</v>
      </c>
      <c r="X41" s="1561"/>
      <c r="Y41" s="3738"/>
      <c r="Z41" s="1569" t="str">
        <f t="shared" si="13"/>
        <v>宗地形状</v>
      </c>
      <c r="AA41" s="1570">
        <f t="shared" si="3"/>
        <v>0.98039215686274506</v>
      </c>
      <c r="AB41" s="1570">
        <f t="shared" si="4"/>
        <v>0.98039215686274506</v>
      </c>
      <c r="AC41" s="1570">
        <f t="shared" si="5"/>
        <v>1</v>
      </c>
    </row>
    <row r="42" spans="1:29" ht="20.25">
      <c r="A42" s="590"/>
      <c r="B42" s="523" t="s">
        <v>555</v>
      </c>
      <c r="C42" s="595" t="s">
        <v>3352</v>
      </c>
      <c r="D42" s="536">
        <v>100</v>
      </c>
      <c r="E42" s="595" t="s">
        <v>3352</v>
      </c>
      <c r="F42" s="536">
        <f>SUMIF(123:123,E42,124:124)-SUMIF(123:123,C42,124:124)+100</f>
        <v>100</v>
      </c>
      <c r="G42" s="595" t="s">
        <v>3352</v>
      </c>
      <c r="H42" s="536">
        <f>SUMIF(123:123,G42,124:124)-SUMIF(123:123,C42,124:124)+100</f>
        <v>100</v>
      </c>
      <c r="I42" s="595" t="s">
        <v>3352</v>
      </c>
      <c r="J42" s="536">
        <f>SUMIF(123:123,I42,124:124)-SUMIF(123:123,C42,124:124)+100</f>
        <v>100</v>
      </c>
      <c r="K42" s="580">
        <v>2</v>
      </c>
      <c r="L42" s="2137"/>
      <c r="M42" s="2127"/>
      <c r="N42" s="2127"/>
      <c r="O42" s="2136"/>
      <c r="P42" s="3738"/>
      <c r="Q42" s="1566" t="str">
        <f t="shared" si="14"/>
        <v>临街宽度及深度</v>
      </c>
      <c r="R42" s="1567" t="s">
        <v>8</v>
      </c>
      <c r="S42" s="1568">
        <f t="shared" si="10"/>
        <v>100</v>
      </c>
      <c r="T42" s="1567" t="s">
        <v>8</v>
      </c>
      <c r="U42" s="1568">
        <f t="shared" si="11"/>
        <v>100</v>
      </c>
      <c r="V42" s="1567" t="s">
        <v>8</v>
      </c>
      <c r="W42" s="1568">
        <f t="shared" si="12"/>
        <v>100</v>
      </c>
      <c r="X42" s="1561"/>
      <c r="Y42" s="3738"/>
      <c r="Z42" s="1569" t="str">
        <f t="shared" si="13"/>
        <v>临街宽度及深度</v>
      </c>
      <c r="AA42" s="1570">
        <f t="shared" si="3"/>
        <v>1</v>
      </c>
      <c r="AB42" s="1570">
        <f t="shared" si="4"/>
        <v>1</v>
      </c>
      <c r="AC42" s="1570">
        <f t="shared" si="5"/>
        <v>1</v>
      </c>
    </row>
    <row r="43" spans="1:29" s="1216" customFormat="1" ht="20.25">
      <c r="A43" s="596"/>
      <c r="B43" s="1890" t="s">
        <v>2429</v>
      </c>
      <c r="C43" s="597" t="s">
        <v>3353</v>
      </c>
      <c r="D43" s="251">
        <v>100</v>
      </c>
      <c r="E43" s="597" t="s">
        <v>3353</v>
      </c>
      <c r="F43" s="536">
        <f>SUMIF(125:125,E43,126:126)-SUMIF(125:125,C43,126:126)+100</f>
        <v>100</v>
      </c>
      <c r="G43" s="597" t="s">
        <v>3353</v>
      </c>
      <c r="H43" s="536">
        <f>SUMIF(125:125,G43,126:126)-SUMIF(125:125,C43,126:126)+100</f>
        <v>100</v>
      </c>
      <c r="I43" s="597" t="s">
        <v>3354</v>
      </c>
      <c r="J43" s="536">
        <f>SUMIF(125:125,I43,126:126)-SUMIF(125:125,C43,126:126)+100</f>
        <v>97</v>
      </c>
      <c r="K43" s="580">
        <v>1</v>
      </c>
      <c r="L43" s="2130"/>
      <c r="M43" s="2127"/>
      <c r="N43" s="2127"/>
      <c r="O43" s="2132"/>
      <c r="P43" s="3738"/>
      <c r="Q43" s="1566" t="str">
        <f t="shared" si="14"/>
        <v>宗地开发程度</v>
      </c>
      <c r="R43" s="1562" t="s">
        <v>8</v>
      </c>
      <c r="S43" s="1563">
        <f t="shared" si="10"/>
        <v>100</v>
      </c>
      <c r="T43" s="1562" t="s">
        <v>8</v>
      </c>
      <c r="U43" s="1563">
        <f t="shared" si="11"/>
        <v>100</v>
      </c>
      <c r="V43" s="1562" t="s">
        <v>8</v>
      </c>
      <c r="W43" s="1563">
        <f t="shared" si="12"/>
        <v>97</v>
      </c>
      <c r="X43" s="1564"/>
      <c r="Y43" s="3738"/>
      <c r="Z43" s="1146" t="str">
        <f t="shared" si="13"/>
        <v>宗地开发程度</v>
      </c>
      <c r="AA43" s="1565">
        <f t="shared" si="3"/>
        <v>1</v>
      </c>
      <c r="AB43" s="1565">
        <f t="shared" si="4"/>
        <v>1</v>
      </c>
      <c r="AC43" s="1565">
        <f t="shared" si="5"/>
        <v>1.0309278350515463</v>
      </c>
    </row>
    <row r="44" spans="1:29" ht="20.25">
      <c r="A44" s="590"/>
      <c r="B44" s="523" t="s">
        <v>556</v>
      </c>
      <c r="C44" s="595" t="s">
        <v>3325</v>
      </c>
      <c r="D44" s="536">
        <v>100</v>
      </c>
      <c r="E44" s="595" t="s">
        <v>3325</v>
      </c>
      <c r="F44" s="536">
        <f>SUMIF(127:127,E44,128:128)-SUMIF(127:127,C44,128:128)+100</f>
        <v>100</v>
      </c>
      <c r="G44" s="595" t="s">
        <v>3325</v>
      </c>
      <c r="H44" s="536">
        <f>SUMIF(127:127,G44,128:128)-SUMIF(127:127,C44,128:128)+100</f>
        <v>100</v>
      </c>
      <c r="I44" s="595" t="s">
        <v>3325</v>
      </c>
      <c r="J44" s="536">
        <f>SUMIF(127:127,I44,128:128)-SUMIF(127:127,C44,128:128)+100</f>
        <v>100</v>
      </c>
      <c r="K44" s="580">
        <v>2</v>
      </c>
      <c r="L44" s="2137"/>
      <c r="M44" s="2127"/>
      <c r="N44" s="2127"/>
      <c r="O44" s="2136"/>
      <c r="P44" s="3738" t="s">
        <v>551</v>
      </c>
      <c r="Q44" s="1566" t="str">
        <f t="shared" si="14"/>
        <v>工程地质条件</v>
      </c>
      <c r="R44" s="1567" t="s">
        <v>8</v>
      </c>
      <c r="S44" s="1568">
        <f t="shared" si="10"/>
        <v>100</v>
      </c>
      <c r="T44" s="1567" t="s">
        <v>8</v>
      </c>
      <c r="U44" s="1568">
        <f t="shared" si="11"/>
        <v>100</v>
      </c>
      <c r="V44" s="1567" t="s">
        <v>8</v>
      </c>
      <c r="W44" s="1568">
        <f t="shared" si="12"/>
        <v>100</v>
      </c>
      <c r="X44" s="1561"/>
      <c r="Y44" s="3738" t="s">
        <v>551</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38"/>
      <c r="Q45" s="1566">
        <f t="shared" si="14"/>
        <v>111</v>
      </c>
      <c r="R45" s="1567" t="s">
        <v>8</v>
      </c>
      <c r="S45" s="1568">
        <f t="shared" si="10"/>
        <v>100</v>
      </c>
      <c r="T45" s="1567" t="s">
        <v>8</v>
      </c>
      <c r="U45" s="1568">
        <f t="shared" si="11"/>
        <v>100</v>
      </c>
      <c r="V45" s="1567" t="s">
        <v>8</v>
      </c>
      <c r="W45" s="1568">
        <f t="shared" si="12"/>
        <v>100</v>
      </c>
      <c r="X45" s="1561"/>
      <c r="Y45" s="3738"/>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38"/>
      <c r="Q46" s="1566">
        <f t="shared" si="14"/>
        <v>111</v>
      </c>
      <c r="R46" s="1567" t="s">
        <v>8</v>
      </c>
      <c r="S46" s="1568">
        <f t="shared" si="10"/>
        <v>100</v>
      </c>
      <c r="T46" s="1567" t="s">
        <v>8</v>
      </c>
      <c r="U46" s="1568">
        <f t="shared" si="11"/>
        <v>100</v>
      </c>
      <c r="V46" s="1567" t="s">
        <v>8</v>
      </c>
      <c r="W46" s="1568">
        <f t="shared" si="12"/>
        <v>100</v>
      </c>
      <c r="X46" s="1561"/>
      <c r="Y46" s="3738"/>
      <c r="Z46" s="1569">
        <f t="shared" si="13"/>
        <v>111</v>
      </c>
      <c r="AA46" s="1570">
        <f t="shared" si="3"/>
        <v>1</v>
      </c>
      <c r="AB46" s="1570">
        <f t="shared" si="4"/>
        <v>1</v>
      </c>
      <c r="AC46" s="1570">
        <f t="shared" si="5"/>
        <v>1</v>
      </c>
    </row>
    <row r="47" spans="1:29" s="1335"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38"/>
      <c r="Q47" s="1566">
        <f t="shared" si="14"/>
        <v>111</v>
      </c>
      <c r="R47" s="1571" t="s">
        <v>8</v>
      </c>
      <c r="S47" s="1572">
        <f t="shared" si="10"/>
        <v>100</v>
      </c>
      <c r="T47" s="1571" t="s">
        <v>8</v>
      </c>
      <c r="U47" s="1572">
        <f t="shared" si="11"/>
        <v>100</v>
      </c>
      <c r="V47" s="1571" t="s">
        <v>8</v>
      </c>
      <c r="W47" s="1572">
        <f t="shared" si="12"/>
        <v>100</v>
      </c>
      <c r="X47" s="1573"/>
      <c r="Y47" s="3738"/>
      <c r="Z47" s="1574">
        <f t="shared" si="13"/>
        <v>111</v>
      </c>
      <c r="AA47" s="1570">
        <f t="shared" si="3"/>
        <v>1</v>
      </c>
      <c r="AB47" s="1570">
        <f t="shared" si="4"/>
        <v>1</v>
      </c>
      <c r="AC47" s="1570">
        <f t="shared" si="5"/>
        <v>1</v>
      </c>
    </row>
    <row r="48" spans="1:29" ht="20.25">
      <c r="A48" s="603" t="s">
        <v>557</v>
      </c>
      <c r="B48" s="604" t="s">
        <v>3378</v>
      </c>
      <c r="C48" s="605" t="s">
        <v>1</v>
      </c>
      <c r="D48" s="606"/>
      <c r="E48" s="607">
        <f>ROUND(Sheet2!L2,0)</f>
        <v>28086</v>
      </c>
      <c r="F48" s="608"/>
      <c r="G48" s="607">
        <f>ROUND(Sheet2!L3,0)</f>
        <v>26599</v>
      </c>
      <c r="H48" s="610"/>
      <c r="I48" s="607">
        <f>ROUND(Sheet2!L4,0)</f>
        <v>30201</v>
      </c>
      <c r="J48" s="610"/>
      <c r="K48" s="1336"/>
      <c r="L48" s="2139"/>
      <c r="M48" s="2127"/>
      <c r="N48" s="2127"/>
      <c r="O48" s="2140"/>
      <c r="P48" s="3701" t="str">
        <f>A48</f>
        <v>成交单价</v>
      </c>
      <c r="Q48" s="3701"/>
      <c r="R48" s="3702">
        <f>E48</f>
        <v>28086</v>
      </c>
      <c r="S48" s="3702"/>
      <c r="T48" s="3702">
        <f>G48</f>
        <v>26599</v>
      </c>
      <c r="U48" s="3702"/>
      <c r="V48" s="3702">
        <f>I48</f>
        <v>30201</v>
      </c>
      <c r="W48" s="3702"/>
      <c r="X48" s="1553"/>
      <c r="Y48" s="1575"/>
      <c r="Z48" s="1553"/>
      <c r="AA48" s="1553"/>
      <c r="AB48" s="1553"/>
      <c r="AC48" s="1553"/>
    </row>
    <row r="49" spans="1:29" ht="21" thickBot="1">
      <c r="A49" s="611" t="s">
        <v>2700</v>
      </c>
      <c r="B49" s="612"/>
      <c r="C49" s="613">
        <f>R50</f>
        <v>34393</v>
      </c>
      <c r="D49" s="614"/>
      <c r="E49" s="613">
        <f>R49</f>
        <v>32822</v>
      </c>
      <c r="F49" s="615"/>
      <c r="G49" s="616">
        <f>T49</f>
        <v>34152</v>
      </c>
      <c r="H49" s="614"/>
      <c r="I49" s="613">
        <f>V49</f>
        <v>36206</v>
      </c>
      <c r="J49" s="614"/>
      <c r="K49" s="1337"/>
      <c r="L49" s="2139"/>
      <c r="M49" s="2127"/>
      <c r="N49" s="2127"/>
      <c r="O49" s="2140"/>
      <c r="P49" s="3701" t="str">
        <f>A49</f>
        <v>比较价格（元/平方米）</v>
      </c>
      <c r="Q49" s="3701"/>
      <c r="R49" s="3703">
        <f>ROUND(PRODUCT(R48,AA9:AA47),0)</f>
        <v>32822</v>
      </c>
      <c r="S49" s="3703"/>
      <c r="T49" s="3703">
        <f>ROUND(PRODUCT(T48,AB9:AB47),0)</f>
        <v>34152</v>
      </c>
      <c r="U49" s="3703"/>
      <c r="V49" s="3703">
        <f>ROUND(PRODUCT(V48,AC9:AC47),0)</f>
        <v>36206</v>
      </c>
      <c r="W49" s="3703"/>
      <c r="X49" s="1553"/>
      <c r="Y49" s="1553"/>
      <c r="Z49" s="1553"/>
      <c r="AA49" s="1553"/>
      <c r="AB49" s="1553"/>
      <c r="AC49" s="1553"/>
    </row>
    <row r="50" spans="1:29" ht="21" thickBot="1">
      <c r="A50" s="617" t="s">
        <v>2938</v>
      </c>
      <c r="B50" s="618"/>
      <c r="C50" s="619">
        <f>R50</f>
        <v>34393</v>
      </c>
      <c r="D50" s="619"/>
      <c r="E50" s="619"/>
      <c r="F50" s="619"/>
      <c r="G50" s="619"/>
      <c r="H50" s="619"/>
      <c r="I50" s="619"/>
      <c r="J50" s="619"/>
      <c r="K50" s="1338"/>
      <c r="L50" s="2139"/>
      <c r="M50" s="2127"/>
      <c r="N50" s="2127"/>
      <c r="O50" s="2140"/>
      <c r="P50" s="3698" t="str">
        <f>A50</f>
        <v>估价对象XX用房的比较价格（楼面单价，元/平方米）</v>
      </c>
      <c r="Q50" s="3699"/>
      <c r="R50" s="3700">
        <f>ROUND(AVERAGE(R49:V49),0)</f>
        <v>34393</v>
      </c>
      <c r="S50" s="3700"/>
      <c r="T50" s="3700"/>
      <c r="U50" s="3700"/>
      <c r="V50" s="3700"/>
      <c r="W50" s="3700"/>
      <c r="X50" s="1553"/>
      <c r="Y50" s="1553"/>
      <c r="Z50" s="1553"/>
      <c r="AA50" s="1553"/>
      <c r="AB50" s="1553"/>
      <c r="AC50" s="1553"/>
    </row>
    <row r="51" spans="1:29" ht="20.25">
      <c r="A51" s="2140"/>
      <c r="B51" s="2140"/>
      <c r="C51" s="2140"/>
      <c r="D51" s="2140"/>
      <c r="E51" s="2140"/>
      <c r="F51" s="2140"/>
      <c r="G51" s="2143"/>
      <c r="H51" s="2140"/>
      <c r="I51" s="2140"/>
      <c r="J51" s="2140"/>
      <c r="K51" s="2144"/>
      <c r="L51" s="2145"/>
      <c r="M51" s="2127"/>
      <c r="N51" s="2127"/>
      <c r="O51" s="2140"/>
      <c r="P51" s="1553"/>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0.16862493769137643</v>
      </c>
      <c r="F53" s="623" t="str">
        <f>IF(OR(E53&gt;=0.3,E53&lt;=-0.3),"超过30%","")</f>
        <v/>
      </c>
      <c r="G53" s="622">
        <f>IF(G48&lt;G49,G49/G48-1,G48/G49-1)</f>
        <v>0.28395804353547116</v>
      </c>
      <c r="H53" s="623" t="str">
        <f>IF(OR(G53&gt;=0.3,G53&lt;=-0.3),"超过30%","")</f>
        <v/>
      </c>
      <c r="I53" s="622">
        <f>IF(I48&lt;I49,I49/I48-1,I48/I49-1)</f>
        <v>0.19883447567961321</v>
      </c>
      <c r="J53" s="623" t="str">
        <f>IF(OR(I53&gt;=0.3,I53&lt;=-0.3),"超过30%","")</f>
        <v/>
      </c>
      <c r="K53" s="2144"/>
      <c r="L53" s="2145"/>
      <c r="M53" s="2127"/>
      <c r="N53" s="2127"/>
      <c r="O53" s="2140"/>
      <c r="P53" s="155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4.0521601364938098E-2</v>
      </c>
      <c r="F54" s="623" t="str">
        <f>IF(OR(E54&gt;=0.2,E54&lt;=-0.2),"超过20%","")</f>
        <v/>
      </c>
      <c r="G54" s="622">
        <f>IF(G49&lt;I49,I49/G49-1,G49/I49-1)</f>
        <v>6.0142890606699417E-2</v>
      </c>
      <c r="H54" s="623" t="str">
        <f>IF(OR(G54&gt;=0.2,G54&lt;=-0.2),"超过20%","")</f>
        <v/>
      </c>
      <c r="I54" s="622">
        <f>IF(I49&lt;E49,E49/I49-1,I49/E49-1)</f>
        <v>0.10310157820973731</v>
      </c>
      <c r="J54" s="623" t="str">
        <f>IF(OR(I54&gt;=0.2,I54&lt;=-0.2),"超过20%","")</f>
        <v/>
      </c>
      <c r="K54" s="2144"/>
      <c r="L54" s="2145"/>
      <c r="M54" s="2127"/>
      <c r="N54" s="2127"/>
      <c r="O54" s="2140"/>
      <c r="P54" s="155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f>IF(E48&lt;G48,G48/E48-1,E48/G48-1)</f>
        <v>5.5904357306665764E-2</v>
      </c>
      <c r="F55" s="623" t="str">
        <f>IF(OR(E55&gt;=0.3,E55&lt;=-0.3),"超过30%","")</f>
        <v/>
      </c>
      <c r="G55" s="622">
        <f>IF(G48&lt;I48,I48/G48-1,G48/I48-1)</f>
        <v>0.13541862476032929</v>
      </c>
      <c r="H55" s="623" t="str">
        <f>IF(OR(G55&gt;=0.3,G55&lt;=-0.3),"超过30%","")</f>
        <v/>
      </c>
      <c r="I55" s="622">
        <f>IF(I48&lt;E48,E48/I48-1,I48/E48-1)</f>
        <v>7.5304422132023152E-2</v>
      </c>
      <c r="J55" s="623" t="str">
        <f>IF(OR(I55&gt;=0.3,I55&lt;=-0.3),"超过30%","")</f>
        <v/>
      </c>
      <c r="K55" s="2147"/>
      <c r="L55" s="2148"/>
      <c r="M55" s="2127"/>
      <c r="N55" s="2127"/>
      <c r="O55" s="2141"/>
      <c r="P55" s="1551"/>
      <c r="Q55" s="2141"/>
      <c r="R55" s="2141"/>
      <c r="S55" s="2141"/>
      <c r="T55" s="2141"/>
      <c r="U55" s="2141"/>
      <c r="V55" s="2141"/>
      <c r="W55" s="2141"/>
      <c r="X55" s="2141"/>
      <c r="Y55" s="2141"/>
      <c r="Z55" s="2141"/>
      <c r="AA55" s="2141"/>
      <c r="AB55" s="2141"/>
      <c r="AC55" s="2141"/>
    </row>
    <row r="56" spans="1:29" s="1341" customFormat="1" ht="21" thickBot="1">
      <c r="A56" s="2141"/>
      <c r="B56" s="2142"/>
      <c r="C56" s="2146"/>
      <c r="D56" s="2141"/>
      <c r="E56" s="2141"/>
      <c r="F56" s="2141"/>
      <c r="G56" s="2141"/>
      <c r="H56" s="2141"/>
      <c r="I56" s="2141"/>
      <c r="J56" s="2141"/>
      <c r="K56" s="2147"/>
      <c r="L56" s="2148"/>
      <c r="M56" s="2127"/>
      <c r="N56" s="2127"/>
      <c r="O56" s="2141"/>
      <c r="P56" s="1551"/>
      <c r="Q56" s="2141"/>
      <c r="R56" s="2141"/>
      <c r="S56" s="2141"/>
      <c r="T56" s="2141"/>
      <c r="U56" s="2141"/>
      <c r="V56" s="2141"/>
      <c r="W56" s="2141"/>
      <c r="X56" s="2141"/>
      <c r="Y56" s="2141"/>
      <c r="Z56" s="2141"/>
      <c r="AA56" s="2141"/>
      <c r="AB56" s="2141"/>
      <c r="AC56" s="2141"/>
    </row>
    <row r="57" spans="1:29" ht="26.25" customHeight="1">
      <c r="A57" s="625" t="s">
        <v>561</v>
      </c>
      <c r="B57" s="626" t="s">
        <v>562</v>
      </c>
      <c r="C57" s="1554" t="s">
        <v>1726</v>
      </c>
      <c r="D57" s="2222" t="s">
        <v>2297</v>
      </c>
      <c r="E57" s="627" t="s">
        <v>563</v>
      </c>
      <c r="F57" s="628" t="s">
        <v>564</v>
      </c>
      <c r="G57" s="3727" t="s">
        <v>2285</v>
      </c>
      <c r="H57" s="3728"/>
      <c r="I57" s="1549" t="s">
        <v>1724</v>
      </c>
      <c r="J57" s="1549">
        <f>项目基本情况!F41</f>
        <v>0</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629" t="s">
        <v>565</v>
      </c>
      <c r="B58" s="630">
        <f>C50</f>
        <v>34393</v>
      </c>
      <c r="C58" s="631">
        <v>1</v>
      </c>
      <c r="D58" s="2223">
        <v>1</v>
      </c>
      <c r="E58" s="631">
        <f>'数据-汇总表'!E8+'数据-汇总表'!E9</f>
        <v>102416.5</v>
      </c>
      <c r="F58" s="632">
        <f t="shared" ref="F58:F67" si="15">ROUND(B58*E58/10000,0)</f>
        <v>352241</v>
      </c>
      <c r="G58" s="3729"/>
      <c r="H58" s="3730"/>
      <c r="I58" s="1550">
        <v>1</v>
      </c>
      <c r="J58" s="1550">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566</v>
      </c>
      <c r="B59" s="634">
        <f>ROUND($C$50*C59*D59,0)</f>
        <v>6019</v>
      </c>
      <c r="C59" s="374">
        <f t="shared" ref="C59:C67" si="16">IF($C$57="北京市系数",I59,J59)</f>
        <v>0.7</v>
      </c>
      <c r="D59" s="2224">
        <v>0.25</v>
      </c>
      <c r="E59" s="635">
        <v>0</v>
      </c>
      <c r="F59" s="632">
        <f t="shared" si="15"/>
        <v>0</v>
      </c>
      <c r="G59" s="3731" t="s">
        <v>2286</v>
      </c>
      <c r="H59" s="1943" t="str">
        <f>项目基本情况!B43</f>
        <v>六级</v>
      </c>
      <c r="I59" s="1550">
        <f>SUMIF(修正!$A$45:$A$56,H59,修正!B45:B56)</f>
        <v>0.7</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567</v>
      </c>
      <c r="B60" s="634">
        <f t="shared" ref="B60:B67" si="17">ROUND($C$50*C60*D60,0)</f>
        <v>3439</v>
      </c>
      <c r="C60" s="374">
        <f t="shared" si="16"/>
        <v>0.4</v>
      </c>
      <c r="D60" s="2224">
        <v>0.25</v>
      </c>
      <c r="E60" s="635">
        <v>0</v>
      </c>
      <c r="F60" s="632">
        <f t="shared" si="15"/>
        <v>0</v>
      </c>
      <c r="G60" s="3731"/>
      <c r="H60" s="1943" t="str">
        <f>项目基本情况!B43</f>
        <v>六级</v>
      </c>
      <c r="I60" s="1550">
        <f>SUMIF(修正!$A$45:$A$56,H60,修正!C45:C56)</f>
        <v>0.4</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568</v>
      </c>
      <c r="B61" s="634">
        <f t="shared" si="17"/>
        <v>2408</v>
      </c>
      <c r="C61" s="374">
        <f t="shared" si="16"/>
        <v>0.28000000000000003</v>
      </c>
      <c r="D61" s="2224">
        <v>0.25</v>
      </c>
      <c r="E61" s="635">
        <v>0</v>
      </c>
      <c r="F61" s="632">
        <f t="shared" si="15"/>
        <v>0</v>
      </c>
      <c r="G61" s="3731"/>
      <c r="H61" s="1943" t="str">
        <f>项目基本情况!B43</f>
        <v>六级</v>
      </c>
      <c r="I61" s="1550">
        <f>SUMIF(修正!$A$45:$A$56,H61,修正!D45:D56)</f>
        <v>0.28000000000000003</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2.75">
      <c r="A62" s="633" t="s">
        <v>569</v>
      </c>
      <c r="B62" s="634">
        <f t="shared" si="17"/>
        <v>2150</v>
      </c>
      <c r="C62" s="374">
        <f t="shared" si="16"/>
        <v>0.25</v>
      </c>
      <c r="D62" s="2224">
        <v>0.25</v>
      </c>
      <c r="E62" s="635">
        <v>0</v>
      </c>
      <c r="F62" s="632">
        <f t="shared" si="15"/>
        <v>0</v>
      </c>
      <c r="G62" s="3731"/>
      <c r="H62" s="1943" t="str">
        <f>项目基本情况!B43</f>
        <v>六级</v>
      </c>
      <c r="I62" s="1550">
        <f>SUMIF(修正!$A$45:$A$56,H62,修正!E45:E56)</f>
        <v>0.25</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2.75">
      <c r="A63" s="2326" t="s">
        <v>2332</v>
      </c>
      <c r="B63" s="634">
        <f t="shared" si="17"/>
        <v>2150</v>
      </c>
      <c r="C63" s="374">
        <f t="shared" si="16"/>
        <v>0.25</v>
      </c>
      <c r="D63" s="2224">
        <v>0.25</v>
      </c>
      <c r="E63" s="637">
        <f>'数据-汇总表'!E11</f>
        <v>50</v>
      </c>
      <c r="F63" s="632">
        <f t="shared" si="15"/>
        <v>11</v>
      </c>
      <c r="G63" s="1940" t="s">
        <v>2287</v>
      </c>
      <c r="H63" s="1943" t="str">
        <f>项目基本情况!C43</f>
        <v>六级</v>
      </c>
      <c r="I63" s="1550">
        <f>SUMIF(修正!$A$45:$A$56,H63,修正!F45:F56)</f>
        <v>0.25</v>
      </c>
      <c r="J63" s="1552"/>
      <c r="K63" s="2150"/>
      <c r="L63" s="2150"/>
      <c r="M63" s="2150"/>
      <c r="N63" s="2150"/>
      <c r="O63" s="2150"/>
      <c r="P63" s="2150"/>
      <c r="Q63" s="2150"/>
      <c r="R63" s="2150"/>
      <c r="S63" s="2150"/>
      <c r="T63" s="2150"/>
      <c r="U63" s="2150"/>
      <c r="V63" s="2150"/>
      <c r="W63" s="2150"/>
      <c r="X63" s="2150"/>
      <c r="Y63" s="2150"/>
      <c r="Z63" s="2150"/>
      <c r="AA63" s="2150"/>
      <c r="AB63" s="2150"/>
      <c r="AC63" s="2150"/>
    </row>
    <row r="64" spans="1:29" s="1342" customFormat="1" ht="12.75">
      <c r="A64" s="633" t="s">
        <v>570</v>
      </c>
      <c r="B64" s="634">
        <f t="shared" si="17"/>
        <v>2150</v>
      </c>
      <c r="C64" s="374">
        <f t="shared" si="16"/>
        <v>0.25</v>
      </c>
      <c r="D64" s="2224">
        <v>0.25</v>
      </c>
      <c r="E64" s="637">
        <f>'数据-汇总表'!E12</f>
        <v>6425.8</v>
      </c>
      <c r="F64" s="632">
        <f t="shared" si="15"/>
        <v>1382</v>
      </c>
      <c r="G64" s="3518" t="s">
        <v>1679</v>
      </c>
      <c r="H64" s="1939" t="str">
        <f>IF(G64="商业",项目基本情况!B43,IF(G64="办公",项目基本情况!C43,IF(G64="住宅",项目基本情况!D43,项目基本情况!E43)))</f>
        <v>六级</v>
      </c>
      <c r="I64" s="1550">
        <f>SUMIF(修正!$A$45:$A$56,H64,修正!G45:G56)</f>
        <v>0.25</v>
      </c>
      <c r="J64" s="1552"/>
      <c r="K64" s="2150"/>
      <c r="L64" s="2150"/>
      <c r="M64" s="2150"/>
      <c r="N64" s="2150"/>
      <c r="O64" s="2150"/>
      <c r="P64" s="2150"/>
      <c r="Q64" s="2150"/>
      <c r="R64" s="2150"/>
      <c r="S64" s="2150"/>
      <c r="T64" s="2150"/>
      <c r="U64" s="2150"/>
      <c r="V64" s="2150"/>
      <c r="W64" s="2150"/>
      <c r="X64" s="2150"/>
      <c r="Y64" s="2150"/>
      <c r="Z64" s="2150"/>
      <c r="AA64" s="2150"/>
      <c r="AB64" s="2150"/>
      <c r="AC64" s="2150"/>
    </row>
    <row r="65" spans="1:29" s="1342" customFormat="1" ht="12.75">
      <c r="A65" s="633" t="s">
        <v>571</v>
      </c>
      <c r="B65" s="634">
        <f t="shared" si="17"/>
        <v>1720</v>
      </c>
      <c r="C65" s="374">
        <f t="shared" si="16"/>
        <v>0.2</v>
      </c>
      <c r="D65" s="2224">
        <v>0.25</v>
      </c>
      <c r="E65" s="637">
        <f>'数据-汇总表'!E13</f>
        <v>38124.199999999997</v>
      </c>
      <c r="F65" s="632">
        <f t="shared" si="15"/>
        <v>6557</v>
      </c>
      <c r="G65" s="1941" t="s">
        <v>924</v>
      </c>
      <c r="H65" s="1939" t="str">
        <f>IF(G65="商业",项目基本情况!B43,IF(G65="办公",项目基本情况!C43,IF(G65="住宅",项目基本情况!D43,项目基本情况!E43)))</f>
        <v>六级</v>
      </c>
      <c r="I65" s="1550">
        <f>SUMIF(修正!$A$45:$A$56,H65,修正!H45:H56)</f>
        <v>0.2</v>
      </c>
      <c r="J65" s="1552"/>
      <c r="K65" s="2150"/>
      <c r="L65" s="2150"/>
      <c r="M65" s="2150"/>
      <c r="N65" s="2150"/>
      <c r="O65" s="2150"/>
      <c r="P65" s="2150"/>
      <c r="Q65" s="2150"/>
      <c r="R65" s="2150"/>
      <c r="S65" s="2150"/>
      <c r="T65" s="2150"/>
      <c r="U65" s="2150"/>
      <c r="V65" s="2150"/>
      <c r="W65" s="2150"/>
      <c r="X65" s="2150"/>
      <c r="Y65" s="2150"/>
      <c r="Z65" s="2150"/>
      <c r="AA65" s="2150"/>
      <c r="AB65" s="2150"/>
      <c r="AC65" s="2150"/>
    </row>
    <row r="66" spans="1:29" s="1342" customFormat="1" ht="12.75">
      <c r="A66" s="633" t="s">
        <v>572</v>
      </c>
      <c r="B66" s="634">
        <f t="shared" si="17"/>
        <v>1720</v>
      </c>
      <c r="C66" s="374">
        <f t="shared" si="16"/>
        <v>0.2</v>
      </c>
      <c r="D66" s="2224">
        <v>0.25</v>
      </c>
      <c r="E66" s="637">
        <f>'数据-汇总表'!E14</f>
        <v>0</v>
      </c>
      <c r="F66" s="632">
        <f t="shared" si="15"/>
        <v>0</v>
      </c>
      <c r="G66" s="1940" t="s">
        <v>2286</v>
      </c>
      <c r="H66" s="1943" t="str">
        <f>项目基本情况!B43</f>
        <v>六级</v>
      </c>
      <c r="I66" s="1550">
        <f>SUMIF(修正!$A$45:$A$56,H66,修正!H45:H56)</f>
        <v>0.2</v>
      </c>
      <c r="J66" s="1552"/>
      <c r="K66" s="2150"/>
      <c r="L66" s="2150"/>
      <c r="M66" s="2150"/>
      <c r="N66" s="2150"/>
      <c r="O66" s="2150"/>
      <c r="P66" s="2150"/>
      <c r="Q66" s="2150"/>
      <c r="R66" s="2150"/>
      <c r="S66" s="2150"/>
      <c r="T66" s="2150"/>
      <c r="U66" s="2150"/>
      <c r="V66" s="2150"/>
      <c r="W66" s="2150"/>
      <c r="X66" s="2150"/>
      <c r="Y66" s="2150"/>
      <c r="Z66" s="2150"/>
      <c r="AA66" s="2150"/>
      <c r="AB66" s="2150"/>
      <c r="AC66" s="2150"/>
    </row>
    <row r="67" spans="1:29" s="1342" customFormat="1" ht="13.5" thickBot="1">
      <c r="A67" s="633" t="s">
        <v>573</v>
      </c>
      <c r="B67" s="634">
        <f t="shared" si="17"/>
        <v>1720</v>
      </c>
      <c r="C67" s="374">
        <f t="shared" si="16"/>
        <v>0.2</v>
      </c>
      <c r="D67" s="2224">
        <v>0.25</v>
      </c>
      <c r="E67" s="637">
        <f>'数据-汇总表'!E15</f>
        <v>0</v>
      </c>
      <c r="F67" s="632">
        <f t="shared" si="15"/>
        <v>0</v>
      </c>
      <c r="G67" s="1942" t="s">
        <v>2287</v>
      </c>
      <c r="H67" s="1944" t="str">
        <f>项目基本情况!C43</f>
        <v>六级</v>
      </c>
      <c r="I67" s="1550">
        <f>SUMIF(修正!$A$45:$A$56,H67,修正!H45:H56)</f>
        <v>0.2</v>
      </c>
      <c r="J67" s="1552"/>
      <c r="K67" s="2150"/>
      <c r="L67" s="2150"/>
      <c r="M67" s="2150"/>
      <c r="N67" s="2150"/>
      <c r="O67" s="2150"/>
      <c r="P67" s="2150"/>
      <c r="Q67" s="2150"/>
      <c r="R67" s="2150"/>
      <c r="S67" s="2150"/>
      <c r="T67" s="2150"/>
      <c r="U67" s="2150"/>
      <c r="V67" s="2150"/>
      <c r="W67" s="2150"/>
      <c r="X67" s="2150"/>
      <c r="Y67" s="2150"/>
      <c r="Z67" s="2150"/>
      <c r="AA67" s="2150"/>
      <c r="AB67" s="2150"/>
      <c r="AC67" s="2150"/>
    </row>
    <row r="68" spans="1:29" s="1342" customFormat="1" ht="13.5" thickBot="1">
      <c r="A68" s="638" t="s">
        <v>574</v>
      </c>
      <c r="B68" s="639" t="s">
        <v>17</v>
      </c>
      <c r="C68" s="639" t="s">
        <v>18</v>
      </c>
      <c r="D68" s="639" t="s">
        <v>2298</v>
      </c>
      <c r="E68" s="639">
        <f>IF(B48="楼面地价",SUM(E58:E67),'数据-汇总表'!D3)</f>
        <v>147016.5</v>
      </c>
      <c r="F68" s="640">
        <f>IF(B48="楼面地价",SUM(F58:F67),ROUND(C50*E68/10000,0))</f>
        <v>360191</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2018-2-1</v>
      </c>
      <c r="D70" s="2819">
        <f>EDATE(C70,-3)</f>
        <v>43040</v>
      </c>
      <c r="E70" s="2819">
        <f t="shared" ref="E70:N70" si="18">EDATE(D70,-3)</f>
        <v>42948</v>
      </c>
      <c r="F70" s="2819">
        <f t="shared" si="18"/>
        <v>42856</v>
      </c>
      <c r="G70" s="2819">
        <f t="shared" si="18"/>
        <v>42767</v>
      </c>
      <c r="H70" s="2819">
        <f t="shared" si="18"/>
        <v>42675</v>
      </c>
      <c r="I70" s="2819">
        <f t="shared" si="18"/>
        <v>42583</v>
      </c>
      <c r="J70" s="2819">
        <f t="shared" si="18"/>
        <v>42491</v>
      </c>
      <c r="K70" s="2819">
        <f t="shared" si="18"/>
        <v>42401</v>
      </c>
      <c r="L70" s="2819">
        <f t="shared" si="18"/>
        <v>42309</v>
      </c>
      <c r="M70" s="2819">
        <f t="shared" si="18"/>
        <v>42217</v>
      </c>
      <c r="N70" s="2819">
        <f t="shared" si="18"/>
        <v>42125</v>
      </c>
      <c r="O70" s="2140"/>
      <c r="P70" s="2140"/>
      <c r="Q70" s="2140"/>
      <c r="R70" s="2140"/>
      <c r="S70" s="2140"/>
      <c r="T70" s="2140"/>
      <c r="U70" s="2140"/>
      <c r="V70" s="2140"/>
      <c r="W70" s="2140"/>
      <c r="X70" s="2140"/>
      <c r="Y70" s="2140"/>
      <c r="Z70" s="2140"/>
      <c r="AA70" s="2140"/>
      <c r="AB70" s="2140"/>
      <c r="AC70" s="2140"/>
    </row>
    <row r="71" spans="1:29" ht="21.75" thickBot="1">
      <c r="A71" s="1578" t="s">
        <v>575</v>
      </c>
      <c r="B71" s="1553"/>
      <c r="C71" s="1577"/>
      <c r="D71" s="1577"/>
      <c r="E71" s="1577"/>
      <c r="F71" s="1579"/>
      <c r="G71" s="1579"/>
      <c r="H71" s="1577"/>
      <c r="I71" s="1577"/>
      <c r="J71" s="1577"/>
      <c r="K71" s="1580"/>
      <c r="L71" s="1576"/>
      <c r="M71" s="1577"/>
      <c r="N71" s="1577"/>
      <c r="O71" s="2152"/>
      <c r="P71" s="2152"/>
      <c r="Q71" s="2153"/>
      <c r="R71" s="2140"/>
      <c r="S71" s="2140"/>
      <c r="T71" s="2140"/>
      <c r="U71" s="2140"/>
      <c r="V71" s="2140"/>
      <c r="W71" s="2140"/>
      <c r="X71" s="2140"/>
      <c r="Y71" s="2140"/>
      <c r="Z71" s="2140"/>
      <c r="AA71" s="2140"/>
      <c r="AB71" s="2140"/>
      <c r="AC71" s="2140"/>
    </row>
    <row r="72" spans="1:29" s="1343" customFormat="1" ht="15">
      <c r="A72" s="2587" t="s">
        <v>2539</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c r="P72" s="2155"/>
      <c r="Q72" s="2156"/>
      <c r="R72" s="2156"/>
      <c r="S72" s="2156"/>
      <c r="T72" s="2156"/>
      <c r="U72" s="2156"/>
      <c r="V72" s="2156"/>
      <c r="W72" s="2156"/>
      <c r="X72" s="2156"/>
      <c r="Y72" s="2156"/>
      <c r="Z72" s="2156"/>
      <c r="AA72" s="2156"/>
      <c r="AB72" s="2156"/>
      <c r="AC72" s="2156"/>
    </row>
    <row r="73" spans="1:29" s="1216" customFormat="1" ht="27" customHeight="1">
      <c r="A73" s="2826" t="s">
        <v>2654</v>
      </c>
      <c r="B73" s="475" t="str">
        <f>"北京市平均增长率"&amp;TEXT(SUMIF(基准地价!N21:N25,A73,基准地价!P21:P25),"0.00%")</f>
        <v>北京市平均增长率2.30%</v>
      </c>
      <c r="C73" s="890">
        <v>100</v>
      </c>
      <c r="D73" s="3510">
        <v>99</v>
      </c>
      <c r="E73" s="3510">
        <v>98</v>
      </c>
      <c r="F73" s="3510">
        <v>97</v>
      </c>
      <c r="G73" s="3510">
        <v>96</v>
      </c>
      <c r="H73" s="3510">
        <v>95</v>
      </c>
      <c r="I73" s="3510">
        <v>94</v>
      </c>
      <c r="J73" s="3510">
        <v>93</v>
      </c>
      <c r="K73" s="3510">
        <v>92</v>
      </c>
      <c r="L73" s="3510">
        <v>91</v>
      </c>
      <c r="M73" s="3511">
        <v>90</v>
      </c>
      <c r="N73" s="2813">
        <v>89</v>
      </c>
      <c r="O73" s="2157"/>
      <c r="P73" s="2153"/>
      <c r="Q73" s="1988"/>
      <c r="R73" s="1988"/>
      <c r="S73" s="1988"/>
      <c r="T73" s="1988"/>
      <c r="U73" s="1988"/>
      <c r="V73" s="1988"/>
      <c r="W73" s="1988"/>
      <c r="X73" s="1988"/>
      <c r="Y73" s="1988"/>
      <c r="Z73" s="1988"/>
      <c r="AA73" s="1988"/>
      <c r="AB73" s="1988"/>
      <c r="AC73" s="1988"/>
    </row>
    <row r="74" spans="1:29" s="1216" customFormat="1" ht="15" customHeight="1" thickBot="1">
      <c r="A74" s="2816" t="s">
        <v>2653</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6"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6"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497" t="s">
        <v>3311</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0">D82&amp;"（含）"&amp;"-"&amp;E82</f>
        <v>1（含）-2</v>
      </c>
      <c r="E81" s="678" t="str">
        <f t="shared" si="20"/>
        <v>2（含）-3</v>
      </c>
      <c r="F81" s="678" t="str">
        <f t="shared" si="20"/>
        <v>3（含）-4</v>
      </c>
      <c r="G81" s="678" t="str">
        <f t="shared" si="20"/>
        <v>4（含）-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3498">
        <v>0</v>
      </c>
      <c r="D82" s="3498">
        <v>1</v>
      </c>
      <c r="E82" s="3498">
        <v>2</v>
      </c>
      <c r="F82" s="3498">
        <v>3</v>
      </c>
      <c r="G82" s="3498">
        <v>4</v>
      </c>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5" customFormat="1" ht="17.25" customHeight="1" thickTop="1">
      <c r="A84" s="683"/>
      <c r="B84" s="669" t="str">
        <f>B14</f>
        <v>配建</v>
      </c>
      <c r="C84" s="3499" t="s">
        <v>3313</v>
      </c>
      <c r="D84" s="1370" t="s">
        <v>3314</v>
      </c>
      <c r="E84" s="3499" t="s">
        <v>3315</v>
      </c>
      <c r="F84" s="3499" t="s">
        <v>3316</v>
      </c>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v>100</v>
      </c>
      <c r="D85" s="667">
        <v>97</v>
      </c>
      <c r="E85" s="667">
        <v>94</v>
      </c>
      <c r="F85" s="667">
        <v>91</v>
      </c>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5"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5"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5"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5"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98</v>
      </c>
      <c r="E91" s="675">
        <f>D91-$K17</f>
        <v>96</v>
      </c>
      <c r="F91" s="675">
        <f>E91-$K17</f>
        <v>94</v>
      </c>
      <c r="G91" s="675">
        <f>F91-$K17</f>
        <v>92</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98</v>
      </c>
      <c r="E93" s="675">
        <f>D93-$K19</f>
        <v>96</v>
      </c>
      <c r="F93" s="675">
        <f>E93-$K19</f>
        <v>94</v>
      </c>
      <c r="G93" s="675">
        <f>F93-$K19</f>
        <v>92</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98</v>
      </c>
      <c r="E95" s="675">
        <f>D95-$K21</f>
        <v>96</v>
      </c>
      <c r="F95" s="675">
        <f>E95-$K21</f>
        <v>94</v>
      </c>
      <c r="G95" s="675">
        <f>F95-$K21</f>
        <v>92</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6"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6"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6"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6"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5" customFormat="1" ht="15.75" thickTop="1">
      <c r="A102" s="683"/>
      <c r="B102" s="1891" t="s">
        <v>2555</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5"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Top="1">
      <c r="A104" s="683"/>
      <c r="B104" s="2616" t="s">
        <v>2557</v>
      </c>
      <c r="C104" s="2617" t="s">
        <v>2558</v>
      </c>
      <c r="D104" s="2617" t="s">
        <v>2559</v>
      </c>
      <c r="E104" s="2617" t="s">
        <v>2560</v>
      </c>
      <c r="F104" s="2617" t="s">
        <v>2561</v>
      </c>
      <c r="G104" s="2617" t="s">
        <v>2562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99</v>
      </c>
      <c r="E107" s="675">
        <f t="shared" ref="E107:M107" si="22">D107-$K33</f>
        <v>98</v>
      </c>
      <c r="F107" s="675">
        <f t="shared" si="22"/>
        <v>97</v>
      </c>
      <c r="G107" s="675">
        <f t="shared" si="22"/>
        <v>96</v>
      </c>
      <c r="H107" s="675">
        <f t="shared" si="22"/>
        <v>95</v>
      </c>
      <c r="I107" s="675">
        <f t="shared" si="22"/>
        <v>94</v>
      </c>
      <c r="J107" s="675">
        <f t="shared" si="22"/>
        <v>93</v>
      </c>
      <c r="K107" s="675">
        <f t="shared" si="22"/>
        <v>92</v>
      </c>
      <c r="L107" s="675">
        <f t="shared" si="22"/>
        <v>91</v>
      </c>
      <c r="M107" s="675">
        <f t="shared" si="22"/>
        <v>90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3503" t="s">
        <v>3328</v>
      </c>
      <c r="D108" s="3503" t="s">
        <v>3329</v>
      </c>
      <c r="E108" s="3503" t="s">
        <v>3330</v>
      </c>
      <c r="F108" s="3503" t="s">
        <v>3331</v>
      </c>
      <c r="G108" s="3503" t="s">
        <v>3332</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5"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5"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5">C119&amp;"(含)"&amp;"-"&amp;D119</f>
        <v>0(含)-25000</v>
      </c>
      <c r="D118" s="700" t="str">
        <f t="shared" si="25"/>
        <v>25000(含)-40000</v>
      </c>
      <c r="E118" s="700" t="str">
        <f t="shared" si="25"/>
        <v>40000(含)-60000</v>
      </c>
      <c r="F118" s="700" t="str">
        <f t="shared" si="25"/>
        <v>60000(含)-160000</v>
      </c>
      <c r="G118" s="700" t="str">
        <f t="shared" si="25"/>
        <v>160000(含)-</v>
      </c>
      <c r="H118" s="700" t="str">
        <f t="shared" si="25"/>
        <v>(含)-</v>
      </c>
      <c r="I118" s="700" t="str">
        <f t="shared" si="25"/>
        <v>(含)-</v>
      </c>
      <c r="J118" s="3110" t="str">
        <f t="shared" si="25"/>
        <v>(含)-</v>
      </c>
      <c r="K118" s="3110" t="str">
        <f t="shared" si="25"/>
        <v>(含)-</v>
      </c>
      <c r="L118" s="3111" t="str">
        <f t="shared" si="25"/>
        <v>(含)-</v>
      </c>
      <c r="M118" s="3112"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3504">
        <v>0</v>
      </c>
      <c r="D119" s="3504">
        <v>25000</v>
      </c>
      <c r="E119" s="3504">
        <v>40000</v>
      </c>
      <c r="F119" s="3504">
        <v>60000</v>
      </c>
      <c r="G119" s="3504">
        <v>160000</v>
      </c>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104</v>
      </c>
      <c r="E120" s="722">
        <v>108</v>
      </c>
      <c r="F120" s="722">
        <v>112</v>
      </c>
      <c r="G120" s="722">
        <v>116</v>
      </c>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505" t="s">
        <v>3334</v>
      </c>
      <c r="D121" s="3505" t="s">
        <v>3335</v>
      </c>
      <c r="E121" s="3505" t="s">
        <v>3336</v>
      </c>
      <c r="F121" s="3505" t="s">
        <v>3337</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t="s">
        <v>3338</v>
      </c>
      <c r="D123" s="684" t="s">
        <v>3339</v>
      </c>
      <c r="E123" s="684" t="s">
        <v>3340</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61"/>
      <c r="O124" s="2161"/>
      <c r="P124" s="2160"/>
      <c r="Q124" s="2153"/>
      <c r="R124" s="2140"/>
      <c r="S124" s="2140"/>
      <c r="T124" s="2140"/>
      <c r="U124" s="2140"/>
      <c r="V124" s="2140"/>
      <c r="W124" s="2140"/>
      <c r="X124" s="2140"/>
      <c r="Y124" s="2140"/>
      <c r="Z124" s="2140"/>
      <c r="AA124" s="2140"/>
      <c r="AB124" s="2140"/>
      <c r="AC124" s="2140"/>
    </row>
    <row r="125" spans="1:29" s="1335" customFormat="1" ht="15" thickTop="1">
      <c r="A125" s="724"/>
      <c r="B125" s="1891" t="s">
        <v>2430</v>
      </c>
      <c r="C125" s="1370" t="s">
        <v>3341</v>
      </c>
      <c r="D125" s="1370" t="s">
        <v>3342</v>
      </c>
      <c r="E125" s="1370" t="s">
        <v>3343</v>
      </c>
      <c r="F125" s="1370" t="s">
        <v>3344</v>
      </c>
      <c r="G125" s="1370" t="s">
        <v>3345</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5"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684" t="s">
        <v>3346</v>
      </c>
      <c r="D127" s="684" t="s">
        <v>3347</v>
      </c>
      <c r="E127" s="714" t="s">
        <v>3348</v>
      </c>
      <c r="F127" s="714" t="s">
        <v>3349</v>
      </c>
      <c r="G127" s="714" t="s">
        <v>3350</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5"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5"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1"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1"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1"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1"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1"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1"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1"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1"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1"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1"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1"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1"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1"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1"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1"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1"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1"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1"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1"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1"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1"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1"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1"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1"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1"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1"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1"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1"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1"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1"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1"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1"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1"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1"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1"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1"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1"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1"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1"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1"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1"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1"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1"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1"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1"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1"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1"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1"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1"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1"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1"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1"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1"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1"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1"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1"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1"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1"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1"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1"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1"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1"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1"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1"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1"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1"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1"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1"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1"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1"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1"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1"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1"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1"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1"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1"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1"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1"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1"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1"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1"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1"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1"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1"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1"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1"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1"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1"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1"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1"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1"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1"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1"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1"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1"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1"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1"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1"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1"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1"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1"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1"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1"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1"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1"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1"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1"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1"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1"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1"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1"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1"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1"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1"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1"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1"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1"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1"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1"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1"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1"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9"/>
      <c r="C1" s="2099"/>
      <c r="D1" s="2099"/>
      <c r="E1" s="2099"/>
      <c r="F1" s="2099"/>
      <c r="G1" s="2099"/>
      <c r="H1" s="2099"/>
      <c r="I1" s="2099"/>
      <c r="J1" s="2099"/>
      <c r="K1" s="418">
        <f>MATCH(B1,'数据-取费表'!A6:A16,0)+5</f>
        <v>11</v>
      </c>
    </row>
    <row r="2" spans="1:31" s="2036" customFormat="1" ht="18" customHeight="1">
      <c r="A2" s="2096" t="s">
        <v>467</v>
      </c>
      <c r="B2" s="2100">
        <f ca="1">C36</f>
        <v>269519</v>
      </c>
      <c r="C2" s="2099"/>
      <c r="D2" s="2099"/>
      <c r="E2" s="2099"/>
      <c r="F2" s="2099"/>
      <c r="G2" s="2099"/>
      <c r="H2" s="2099"/>
      <c r="I2" s="2099"/>
      <c r="J2" s="2099"/>
      <c r="K2" s="2099"/>
    </row>
    <row r="3" spans="1:31" s="2036" customFormat="1" ht="18" customHeight="1">
      <c r="A3" s="2101" t="s">
        <v>1686</v>
      </c>
      <c r="B3" s="2102">
        <f ca="1">ROUND(B2*10000/IF(B1="",'数据-汇总表'!E3,INDIRECT("'数据-取费表'!K"&amp;$K$1)),0)</f>
        <v>15156</v>
      </c>
      <c r="C3" s="2099"/>
      <c r="D3" s="2099"/>
      <c r="E3" s="2099"/>
      <c r="F3" s="2099"/>
      <c r="G3" s="2099"/>
      <c r="H3" s="2099"/>
      <c r="I3" s="2099"/>
      <c r="J3" s="2099"/>
      <c r="K3" s="2099"/>
    </row>
    <row r="4" spans="1:31" s="2036" customFormat="1" ht="18" customHeight="1">
      <c r="A4" s="422" t="s">
        <v>468</v>
      </c>
      <c r="B4" s="423">
        <f ca="1">ROUND(B2*10000/IF(B1="",'数据-汇总表'!D3,INDIRECT("'数据-取费表'!R"&amp;$K$1)),0)</f>
        <v>47094</v>
      </c>
      <c r="C4" s="424"/>
      <c r="D4" s="418"/>
      <c r="E4" s="418"/>
      <c r="F4" s="418"/>
      <c r="G4" s="418"/>
      <c r="H4" s="418"/>
      <c r="I4" s="418"/>
      <c r="J4" s="418"/>
      <c r="K4" s="418"/>
    </row>
    <row r="5" spans="1:31" s="2036" customFormat="1" ht="18" customHeight="1" thickBot="1">
      <c r="A5" s="425"/>
      <c r="B5" s="426">
        <f ca="1">ROUND(B2/(IF(B1="",'数据-汇总表'!D3,INDIRECT("'数据-取费表'!R"&amp;$K$1))/666.67),0)</f>
        <v>3140</v>
      </c>
      <c r="C5" s="427" t="s">
        <v>469</v>
      </c>
      <c r="D5" s="418"/>
      <c r="E5" s="418"/>
      <c r="F5" s="418"/>
      <c r="G5" s="418"/>
      <c r="H5" s="418"/>
      <c r="I5" s="418"/>
      <c r="J5" s="418"/>
      <c r="K5" s="418"/>
    </row>
    <row r="6" spans="1:31" s="2106" customFormat="1" ht="16.5" customHeight="1">
      <c r="A6" s="2848" t="s">
        <v>1844</v>
      </c>
      <c r="B6" s="2849"/>
      <c r="C6" s="2850">
        <f ca="1">SUM(C10:K10)</f>
        <v>410678</v>
      </c>
      <c r="D6" s="2849"/>
      <c r="E6" s="2849"/>
      <c r="F6" s="2849"/>
      <c r="G6" s="2849"/>
      <c r="H6" s="2849"/>
      <c r="I6" s="2849"/>
      <c r="J6" s="2849"/>
      <c r="K6" s="2851"/>
    </row>
    <row r="7" spans="1:31" s="2108" customFormat="1" ht="15">
      <c r="A7" s="2852" t="s">
        <v>470</v>
      </c>
      <c r="B7" s="2853" t="s">
        <v>471</v>
      </c>
      <c r="C7" s="432" t="s">
        <v>3232</v>
      </c>
      <c r="D7" s="432" t="s">
        <v>3379</v>
      </c>
      <c r="E7" s="432" t="s">
        <v>3246</v>
      </c>
      <c r="F7" s="432" t="s">
        <v>35</v>
      </c>
      <c r="G7" s="432" t="s">
        <v>3235</v>
      </c>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4">
        <v>29000</v>
      </c>
      <c r="D8" s="2854"/>
      <c r="E8" s="2854"/>
      <c r="F8" s="2854">
        <v>20</v>
      </c>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71612.7</v>
      </c>
      <c r="D9" s="437">
        <f>SUMIF('数据-汇总表'!$C19:$C33,'剩余法-待开发'!D7,'数据-汇总表'!$E19:$E33)</f>
        <v>41</v>
      </c>
      <c r="E9" s="437">
        <f>SUMIF('数据-汇总表'!$C19:$C33,'剩余法-待开发'!E7,'数据-汇总表'!$E19:$E33)</f>
        <v>30762.799999999999</v>
      </c>
      <c r="F9" s="437">
        <f>SUMIF('数据-汇总表'!$C19:$C33,'剩余法-待开发'!F7,'数据-汇总表'!$E19:$E33)</f>
        <v>38124.199999999997</v>
      </c>
      <c r="G9" s="437">
        <f>SUMIF('数据-汇总表'!$C19:$C33,'剩余法-待开发'!G7,'数据-汇总表'!$E19:$E33)</f>
        <v>6425.8</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1849</v>
      </c>
      <c r="B10" s="2842" t="s">
        <v>474</v>
      </c>
      <c r="C10" s="3048">
        <f>ROUND(C8*C9/10000,0)</f>
        <v>207677</v>
      </c>
      <c r="D10" s="3048">
        <f ca="1">不动产收益法商!B2</f>
        <v>175</v>
      </c>
      <c r="E10" s="3048">
        <f ca="1">不动产收益法办!B2</f>
        <v>154344</v>
      </c>
      <c r="F10" s="3048">
        <f ca="1">不动产收益法车!B2</f>
        <v>40222</v>
      </c>
      <c r="G10" s="2857">
        <f ca="1">不动产收益法库!B2</f>
        <v>8260</v>
      </c>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1845</v>
      </c>
      <c r="B11" s="2849"/>
      <c r="C11" s="2849"/>
      <c r="D11" s="2849"/>
      <c r="E11" s="2849"/>
      <c r="F11" s="2849"/>
      <c r="G11" s="2849"/>
      <c r="H11" s="2849"/>
      <c r="I11" s="2849"/>
      <c r="J11" s="2849"/>
      <c r="K11" s="2851"/>
    </row>
    <row r="12" spans="1:31" s="2080" customFormat="1" ht="13.5" customHeight="1">
      <c r="A12" s="2860" t="s">
        <v>470</v>
      </c>
      <c r="B12" s="2832" t="s">
        <v>471</v>
      </c>
      <c r="C12" s="2861" t="s">
        <v>475</v>
      </c>
      <c r="D12" s="2828" t="s">
        <v>476</v>
      </c>
      <c r="E12" s="2828" t="s">
        <v>477</v>
      </c>
      <c r="F12" s="2828" t="s">
        <v>478</v>
      </c>
      <c r="G12" s="2832"/>
      <c r="H12" s="2833"/>
      <c r="I12" s="2833"/>
      <c r="J12" s="2833"/>
      <c r="K12" s="2834"/>
    </row>
    <row r="13" spans="1:31" s="2111" customFormat="1" ht="13.5" customHeight="1">
      <c r="A13" s="2862" t="s">
        <v>1850</v>
      </c>
      <c r="B13" s="2863" t="s">
        <v>479</v>
      </c>
      <c r="C13" s="446">
        <f ca="1">IF(B1="",'数据-取费表'!P16,INDIRECT("'数据-取费表'!p"&amp;$K$1)+INDIRECT("'数据-取费表'!t"&amp;$K$1))</f>
        <v>47076</v>
      </c>
      <c r="D13" s="2864"/>
      <c r="E13" s="2865"/>
      <c r="F13" s="2866"/>
      <c r="G13" s="2832"/>
      <c r="H13" s="2833"/>
      <c r="I13" s="2833"/>
      <c r="J13" s="2833"/>
      <c r="K13" s="2834"/>
    </row>
    <row r="14" spans="1:31" s="2111" customFormat="1" ht="13.5" customHeight="1">
      <c r="A14" s="2862" t="s">
        <v>1851</v>
      </c>
      <c r="B14" s="2863" t="s">
        <v>480</v>
      </c>
      <c r="C14" s="52">
        <f ca="1">ROUND(C13*F14,0)</f>
        <v>1412</v>
      </c>
      <c r="D14" s="2864"/>
      <c r="E14" s="2865"/>
      <c r="F14" s="2867">
        <f>'数据-取费表'!B33</f>
        <v>0.03</v>
      </c>
      <c r="G14" s="2832" t="s">
        <v>481</v>
      </c>
      <c r="H14" s="2833"/>
      <c r="I14" s="2833"/>
      <c r="J14" s="2833"/>
      <c r="K14" s="2834"/>
    </row>
    <row r="15" spans="1:31" s="2111" customFormat="1" ht="13.5" customHeight="1">
      <c r="A15" s="2862" t="s">
        <v>1852</v>
      </c>
      <c r="B15" s="2863" t="s">
        <v>482</v>
      </c>
      <c r="C15" s="52">
        <f ca="1">ROUND(IF(B1="",SUMIF('数据-取费表'!C:C,"住宅",'数据-取费表'!P:P)*F15,IF(INDIRECT("'数据-取费表'!c"&amp;$K$1)="住宅",INDIRECT("'数据-取费表'!P"&amp;$K$1)*F15,0)),0)</f>
        <v>0</v>
      </c>
      <c r="D15" s="2864"/>
      <c r="E15" s="2865"/>
      <c r="F15" s="2867">
        <f>'数据-取费表'!B34</f>
        <v>0</v>
      </c>
      <c r="G15" s="2832" t="s">
        <v>483</v>
      </c>
      <c r="H15" s="2833"/>
      <c r="I15" s="2833"/>
      <c r="J15" s="2833"/>
      <c r="K15" s="2834"/>
    </row>
    <row r="16" spans="1:31" s="2112" customFormat="1" ht="13.5" customHeight="1">
      <c r="A16" s="2862" t="s">
        <v>1853</v>
      </c>
      <c r="B16" s="2863" t="s">
        <v>484</v>
      </c>
      <c r="C16" s="52">
        <f ca="1">ROUND(D16*E16/10000,0)</f>
        <v>3557</v>
      </c>
      <c r="D16" s="2864">
        <f ca="1">IF(B1="",'数据-汇总表'!E3,INDIRECT("'数据-取费表'!K"&amp;$K$1)+INDIRECT("'数据-取费表'!S"&amp;$K$1))</f>
        <v>177832.7</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1854</v>
      </c>
      <c r="B17" s="2863" t="s">
        <v>485</v>
      </c>
      <c r="C17" s="2868">
        <f ca="1">ROUND(C13*F17,0)</f>
        <v>706</v>
      </c>
      <c r="D17" s="471"/>
      <c r="E17" s="2868"/>
      <c r="F17" s="2869">
        <f>'数据-取费表'!B36</f>
        <v>1.4999999999999999E-2</v>
      </c>
      <c r="G17" s="257" t="s">
        <v>486</v>
      </c>
      <c r="H17" s="2835"/>
      <c r="I17" s="2835"/>
      <c r="J17" s="2835"/>
      <c r="K17" s="275"/>
    </row>
    <row r="18" spans="1:14" s="2111" customFormat="1" ht="13.5" customHeight="1">
      <c r="A18" s="2870" t="s">
        <v>1855</v>
      </c>
      <c r="B18" s="2871" t="s">
        <v>487</v>
      </c>
      <c r="C18" s="2872">
        <f ca="1">SUM(C13:C17)</f>
        <v>52751</v>
      </c>
      <c r="D18" s="2873"/>
      <c r="E18" s="464"/>
      <c r="F18" s="464"/>
      <c r="G18" s="2836" t="s">
        <v>2435</v>
      </c>
      <c r="H18" s="2837"/>
      <c r="I18" s="2837"/>
      <c r="J18" s="2837"/>
      <c r="K18" s="2838"/>
    </row>
    <row r="19" spans="1:14" s="2111" customFormat="1" ht="13.5" customHeight="1">
      <c r="A19" s="2870" t="s">
        <v>1856</v>
      </c>
      <c r="B19" s="2871" t="s">
        <v>488</v>
      </c>
      <c r="C19" s="2828">
        <f ca="1">ROUND(D19*E19/10000,0)</f>
        <v>0</v>
      </c>
      <c r="D19" s="2874">
        <f ca="1">D16</f>
        <v>177832.7</v>
      </c>
      <c r="E19" s="2828">
        <f>'数据-取费表'!B32</f>
        <v>0</v>
      </c>
      <c r="F19" s="464"/>
      <c r="G19" s="2832" t="s">
        <v>489</v>
      </c>
      <c r="H19" s="2833"/>
      <c r="I19" s="2837"/>
      <c r="J19" s="2837"/>
      <c r="K19" s="2838"/>
    </row>
    <row r="20" spans="1:14" s="2111" customFormat="1" ht="13.5" customHeight="1">
      <c r="A20" s="2870" t="s">
        <v>1857</v>
      </c>
      <c r="B20" s="2871" t="s">
        <v>490</v>
      </c>
      <c r="C20" s="2828">
        <f ca="1">C21+C22-IF(B1="",'数据-取费表'!B29,IF(G20="已全部缴纳",C21+C22,H20))</f>
        <v>3270</v>
      </c>
      <c r="D20" s="2874"/>
      <c r="E20" s="2828"/>
      <c r="F20" s="2875"/>
      <c r="G20" s="3106"/>
      <c r="H20" s="2830"/>
      <c r="I20" s="2831" t="s">
        <v>2658</v>
      </c>
      <c r="J20" s="2837"/>
      <c r="K20" s="2838"/>
    </row>
    <row r="21" spans="1:14" s="2111" customFormat="1" ht="13.5" customHeight="1">
      <c r="A21" s="2862" t="s">
        <v>1858</v>
      </c>
      <c r="B21" s="2863" t="s">
        <v>491</v>
      </c>
      <c r="C21" s="52">
        <f ca="1">ROUND(D21*E21/10000,0)</f>
        <v>1146</v>
      </c>
      <c r="D21" s="2864">
        <f ca="1">IF(B1="",'数据-汇总表'!E5,IF(INDIRECT("'数据-取费表'!c"&amp;$K$1)="住宅",INDIRECT("'数据-取费表'!k"&amp;$K$1),0))</f>
        <v>71612.7</v>
      </c>
      <c r="E21" s="52">
        <f>'数据-取费表'!B27</f>
        <v>160</v>
      </c>
      <c r="F21" s="2867"/>
      <c r="G21" s="25"/>
      <c r="H21" s="50"/>
      <c r="I21" s="50"/>
      <c r="J21" s="50"/>
      <c r="K21" s="2839"/>
    </row>
    <row r="22" spans="1:14" s="2111" customFormat="1" ht="13.5" customHeight="1">
      <c r="A22" s="2862" t="s">
        <v>1859</v>
      </c>
      <c r="B22" s="2863" t="s">
        <v>492</v>
      </c>
      <c r="C22" s="52">
        <f ca="1">ROUND(D22*E22/10000,0)</f>
        <v>2124</v>
      </c>
      <c r="D22" s="2864">
        <f ca="1">IF(B1="",'数据-汇总表'!E6,IF(INDIRECT("'数据-取费表'!c"&amp;$K$1)="住宅",INDIRECT("'数据-取费表'!s"&amp;$K$1),INDIRECT("'数据-取费表'!k"&amp;$K$1)+INDIRECT("'数据-取费表'!s"&amp;$K$1)))</f>
        <v>106220.00000000001</v>
      </c>
      <c r="E22" s="52">
        <f>'数据-取费表'!B28</f>
        <v>200</v>
      </c>
      <c r="F22" s="2867"/>
      <c r="G22" s="25"/>
      <c r="H22" s="50"/>
      <c r="I22" s="50"/>
      <c r="J22" s="50"/>
      <c r="K22" s="2839"/>
    </row>
    <row r="23" spans="1:14" s="2111" customFormat="1" ht="13.5" customHeight="1">
      <c r="A23" s="2870" t="s">
        <v>1860</v>
      </c>
      <c r="B23" s="3054" t="s">
        <v>2841</v>
      </c>
      <c r="C23" s="2872">
        <f ca="1">ROUND((C18+C19+C20)*F23,0)</f>
        <v>1120</v>
      </c>
      <c r="D23" s="464"/>
      <c r="E23" s="464"/>
      <c r="F23" s="2876">
        <f>'数据-取费表'!B37</f>
        <v>0.02</v>
      </c>
      <c r="G23" s="2832" t="s">
        <v>2436</v>
      </c>
      <c r="H23" s="2833"/>
      <c r="I23" s="2833"/>
      <c r="J23" s="2833"/>
      <c r="K23" s="2834"/>
      <c r="L23" s="2113"/>
      <c r="M23" s="2113"/>
      <c r="N23" s="2113"/>
    </row>
    <row r="24" spans="1:14" s="2111" customFormat="1" ht="13.5" customHeight="1">
      <c r="A24" s="2870" t="s">
        <v>1861</v>
      </c>
      <c r="B24" s="3054" t="s">
        <v>2844</v>
      </c>
      <c r="C24" s="2872">
        <f ca="1">ROUND(C6*F24,0)</f>
        <v>4107</v>
      </c>
      <c r="D24" s="471"/>
      <c r="E24" s="469"/>
      <c r="F24" s="2876">
        <f>'数据-取费表'!B38</f>
        <v>0.01</v>
      </c>
      <c r="G24" s="2841" t="s">
        <v>499</v>
      </c>
      <c r="H24" s="2835"/>
      <c r="I24" s="2835"/>
      <c r="J24" s="2835"/>
      <c r="K24" s="275"/>
      <c r="L24" s="2113"/>
      <c r="M24" s="2113"/>
      <c r="N24" s="2113"/>
    </row>
    <row r="25" spans="1:14" s="2114" customFormat="1" ht="13.5" customHeight="1">
      <c r="A25" s="2870" t="s">
        <v>1862</v>
      </c>
      <c r="B25" s="3054" t="s">
        <v>2842</v>
      </c>
      <c r="C25" s="463">
        <f>ROUND(F25/(1+'数据-取费表'!C42),4)</f>
        <v>2.9000000000000001E-2</v>
      </c>
      <c r="D25" s="458" t="s">
        <v>2836</v>
      </c>
      <c r="E25" s="465"/>
      <c r="F25" s="2876">
        <f>'数据-取费表'!B48+'数据-取费表'!B49</f>
        <v>3.0499999999999999E-2</v>
      </c>
      <c r="G25" s="2840" t="s">
        <v>2293</v>
      </c>
      <c r="H25" s="2833"/>
      <c r="I25" s="2833"/>
      <c r="J25" s="2833"/>
      <c r="K25" s="2834"/>
    </row>
    <row r="26" spans="1:14" s="2113" customFormat="1" ht="13.5" customHeight="1">
      <c r="A26" s="2870" t="s">
        <v>1863</v>
      </c>
      <c r="B26" s="3055" t="s">
        <v>2843</v>
      </c>
      <c r="C26" s="2877">
        <f ca="1">C28</f>
        <v>2909</v>
      </c>
      <c r="D26" s="463">
        <f ca="1">C27</f>
        <v>0.10009999999999999</v>
      </c>
      <c r="E26" s="465" t="s">
        <v>495</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1858</v>
      </c>
      <c r="B27" s="2878" t="s">
        <v>496</v>
      </c>
      <c r="C27" s="2879">
        <f ca="1">ROUND(IF('数据-取费表'!B22&lt;=1,(1+C25)*F26*'数据-取费表'!B24,(1+C25)*(POWER((1+F26),'数据-取费表'!B24)-1)),4)</f>
        <v>0.10009999999999999</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1859</v>
      </c>
      <c r="B28" s="2878" t="s">
        <v>2845</v>
      </c>
      <c r="C28" s="2880">
        <f ca="1">ROUND(IF('数据-取费表'!B22&lt;=1,(C18+C19+C20+C23+C24)*F26*'数据-取费表'!B24/2,(C18+C19+C20+C23+C24)*(POWER((1+F26),'数据-取费表'!B24/2)-1)),0)</f>
        <v>2909</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1864</v>
      </c>
      <c r="B29" s="2871" t="s">
        <v>497</v>
      </c>
      <c r="C29" s="2872">
        <f ca="1">ROUND(C6*F29/(1+'数据-取费表'!C42),0)</f>
        <v>21903</v>
      </c>
      <c r="D29" s="464"/>
      <c r="E29" s="464"/>
      <c r="F29" s="3056">
        <f>'数据-取费表'!B41</f>
        <v>5.6000000000000001E-2</v>
      </c>
      <c r="G29" s="2841" t="s">
        <v>498</v>
      </c>
      <c r="H29" s="2833"/>
      <c r="I29" s="2833"/>
      <c r="J29" s="2833"/>
      <c r="K29" s="2834"/>
    </row>
    <row r="30" spans="1:14" s="2116" customFormat="1" ht="13.5" customHeight="1">
      <c r="A30" s="1629" t="s">
        <v>1865</v>
      </c>
      <c r="B30" s="2882" t="s">
        <v>500</v>
      </c>
      <c r="C30" s="2877">
        <f ca="1">C31</f>
        <v>86060</v>
      </c>
      <c r="D30" s="473">
        <f ca="1">C32</f>
        <v>0.12909999999999999</v>
      </c>
      <c r="E30" s="465" t="s">
        <v>495</v>
      </c>
      <c r="F30" s="467"/>
      <c r="G30" s="2832" t="s">
        <v>501</v>
      </c>
      <c r="H30" s="2833"/>
      <c r="I30" s="2833"/>
      <c r="J30" s="2833"/>
      <c r="K30" s="2834"/>
    </row>
    <row r="31" spans="1:14" s="2115" customFormat="1" ht="13.5" customHeight="1">
      <c r="A31" s="799" t="s">
        <v>1858</v>
      </c>
      <c r="B31" s="2878"/>
      <c r="C31" s="446">
        <f ca="1">C18+C19+C20+C23+C24+C26+C29</f>
        <v>86060</v>
      </c>
      <c r="D31" s="468"/>
      <c r="E31" s="469"/>
      <c r="F31" s="470"/>
      <c r="G31" s="257"/>
      <c r="H31" s="2835"/>
      <c r="I31" s="2835"/>
      <c r="J31" s="2835"/>
      <c r="K31" s="275"/>
    </row>
    <row r="32" spans="1:14" s="2115" customFormat="1" ht="13.5" customHeight="1">
      <c r="A32" s="799" t="s">
        <v>1859</v>
      </c>
      <c r="B32" s="2878"/>
      <c r="C32" s="52">
        <f ca="1">ROUND(C25+D26,4)</f>
        <v>0.12909999999999999</v>
      </c>
      <c r="D32" s="468"/>
      <c r="E32" s="469"/>
      <c r="F32" s="470"/>
      <c r="G32" s="257"/>
      <c r="H32" s="2835"/>
      <c r="I32" s="2835"/>
      <c r="J32" s="2835"/>
      <c r="K32" s="275"/>
    </row>
    <row r="33" spans="1:11" s="2117" customFormat="1" ht="13.5" customHeight="1">
      <c r="A33" s="3053" t="s">
        <v>2840</v>
      </c>
      <c r="B33" s="3051" t="s">
        <v>2838</v>
      </c>
      <c r="C33" s="474">
        <f ca="1">C35</f>
        <v>3675</v>
      </c>
      <c r="D33" s="463">
        <f ca="1">C34</f>
        <v>6.1699999999999998E-2</v>
      </c>
      <c r="E33" s="465" t="s">
        <v>495</v>
      </c>
      <c r="F33" s="475">
        <f ca="1">IF(B1="",'数据-取费表'!Q16,INDIRECT("'数据-取费表'!q"&amp;$K$1))</f>
        <v>0.06</v>
      </c>
      <c r="G33" s="2836"/>
      <c r="H33" s="2837"/>
      <c r="I33" s="2837"/>
      <c r="J33" s="2837"/>
      <c r="K33" s="2838"/>
    </row>
    <row r="34" spans="1:11" s="2118" customFormat="1" ht="13.5" customHeight="1">
      <c r="A34" s="371" t="s">
        <v>1858</v>
      </c>
      <c r="B34" s="2883" t="s">
        <v>502</v>
      </c>
      <c r="C34" s="468">
        <f ca="1">ROUND((1+C25)*F33,4)</f>
        <v>6.1699999999999998E-2</v>
      </c>
      <c r="D34" s="468"/>
      <c r="E34" s="469"/>
      <c r="F34" s="476"/>
      <c r="G34" s="257" t="s">
        <v>2294</v>
      </c>
      <c r="H34" s="2835"/>
      <c r="I34" s="2835"/>
      <c r="J34" s="2835"/>
      <c r="K34" s="275"/>
    </row>
    <row r="35" spans="1:11" s="2118" customFormat="1" ht="13.5" customHeight="1" thickBot="1">
      <c r="A35" s="1630" t="s">
        <v>1859</v>
      </c>
      <c r="B35" s="3052" t="s">
        <v>2846</v>
      </c>
      <c r="C35" s="1622">
        <f ca="1">ROUND((C18+C19+C20+C23+C24)*F33,0)</f>
        <v>3675</v>
      </c>
      <c r="D35" s="1623"/>
      <c r="E35" s="2884"/>
      <c r="F35" s="1624"/>
      <c r="G35" s="2842"/>
      <c r="H35" s="2843"/>
      <c r="I35" s="2843"/>
      <c r="J35" s="2843"/>
      <c r="K35" s="2844"/>
    </row>
    <row r="36" spans="1:11" s="2080" customFormat="1" ht="13.5" customHeight="1" thickBot="1">
      <c r="A36" s="280" t="s">
        <v>1846</v>
      </c>
      <c r="B36" s="2846"/>
      <c r="C36" s="2885">
        <f ca="1">ROUND((C6-C30-C33)/(1+D30+D33),0)</f>
        <v>269519</v>
      </c>
      <c r="D36" s="2846"/>
      <c r="E36" s="2846"/>
      <c r="F36" s="2846"/>
      <c r="G36" s="2845" t="s">
        <v>2847</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9"/>
      <c r="C1" s="2099"/>
      <c r="D1" s="2099"/>
      <c r="E1" s="2099"/>
      <c r="F1" s="2099"/>
      <c r="G1" s="2099"/>
      <c r="H1" s="2099"/>
      <c r="I1" s="2099"/>
      <c r="J1" s="2099"/>
      <c r="K1" s="418">
        <f>MATCH(B1,'数据-取费表'!A6:A16,0)+5</f>
        <v>11</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3"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2659</v>
      </c>
      <c r="B6" s="429"/>
      <c r="C6" s="1617">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5"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5"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6" t="s">
        <v>1849</v>
      </c>
      <c r="B10" s="1618" t="s">
        <v>474</v>
      </c>
      <c r="C10" s="1619"/>
      <c r="D10" s="1619"/>
      <c r="E10" s="1619"/>
      <c r="F10" s="1620"/>
      <c r="G10" s="1620"/>
      <c r="H10" s="1620"/>
      <c r="I10" s="1620"/>
      <c r="J10" s="1620"/>
      <c r="K10" s="1621"/>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4" t="s">
        <v>1866</v>
      </c>
      <c r="B11" s="1615"/>
      <c r="C11" s="1615"/>
      <c r="D11" s="1615"/>
      <c r="E11" s="1615"/>
      <c r="F11" s="1615"/>
      <c r="G11" s="1615"/>
      <c r="H11" s="1615"/>
      <c r="I11" s="1615"/>
      <c r="J11" s="1615"/>
      <c r="K11" s="1616"/>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7" t="s">
        <v>1850</v>
      </c>
      <c r="B13" s="445" t="s">
        <v>479</v>
      </c>
      <c r="C13" s="446">
        <f ca="1">IF(B1="",'数据-取费表'!M16,INDIRECT("'数据-取费表'!M"&amp;$K$1)+INDIRECT("'数据-取费表'!t"&amp;$K$1))</f>
        <v>47076</v>
      </c>
      <c r="D13" s="447"/>
      <c r="E13" s="361"/>
      <c r="F13" s="448"/>
      <c r="G13" s="440"/>
      <c r="H13" s="443"/>
      <c r="I13" s="443"/>
      <c r="J13" s="443"/>
      <c r="K13" s="444"/>
    </row>
    <row r="14" spans="1:41" s="2111" customFormat="1" ht="13.5" customHeight="1">
      <c r="A14" s="1627" t="s">
        <v>1851</v>
      </c>
      <c r="B14" s="445" t="s">
        <v>480</v>
      </c>
      <c r="C14" s="52">
        <f ca="1">ROUND(C13*F14,0)</f>
        <v>1412</v>
      </c>
      <c r="D14" s="447"/>
      <c r="E14" s="361"/>
      <c r="F14" s="449">
        <f>'数据-取费表'!B33</f>
        <v>0.03</v>
      </c>
      <c r="G14" s="440" t="s">
        <v>503</v>
      </c>
      <c r="H14" s="443"/>
      <c r="I14" s="443"/>
      <c r="J14" s="443"/>
      <c r="K14" s="444"/>
    </row>
    <row r="15" spans="1:41" s="2111" customFormat="1" ht="13.5" customHeight="1">
      <c r="A15" s="1627" t="s">
        <v>1852</v>
      </c>
      <c r="B15" s="445" t="s">
        <v>482</v>
      </c>
      <c r="C15" s="52">
        <f ca="1">ROUND(IF(B1="",SUMIF('数据-取费表'!C:C,"住宅",'数据-取费表'!M:M)*F15,IF(INDIRECT("'数据-取费表'!c"&amp;$K$1)="住宅",INDIRECT("'数据-取费表'!M"&amp;$K$1)*F15,0)),0)</f>
        <v>0</v>
      </c>
      <c r="D15" s="447"/>
      <c r="E15" s="361"/>
      <c r="F15" s="449">
        <f>'数据-取费表'!B34</f>
        <v>0</v>
      </c>
      <c r="G15" s="440" t="s">
        <v>503</v>
      </c>
      <c r="H15" s="443"/>
      <c r="I15" s="443"/>
      <c r="J15" s="443"/>
      <c r="K15" s="444"/>
    </row>
    <row r="16" spans="1:41" s="2112" customFormat="1" ht="13.5" customHeight="1">
      <c r="A16" s="1627" t="s">
        <v>1853</v>
      </c>
      <c r="B16" s="445" t="s">
        <v>484</v>
      </c>
      <c r="C16" s="52">
        <f ca="1">ROUND(D16*E16/10000,0)</f>
        <v>3557</v>
      </c>
      <c r="D16" s="447">
        <f ca="1">IF(B1="",'数据-汇总表'!E3,INDIRECT("'数据-取费表'!K"&amp;$K$1)+INDIRECT("'数据-取费表'!S"&amp;$K$1))</f>
        <v>177832.7</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7" t="s">
        <v>1854</v>
      </c>
      <c r="B17" s="445" t="s">
        <v>485</v>
      </c>
      <c r="C17" s="450">
        <f ca="1">ROUND(C13*F17,0)</f>
        <v>706</v>
      </c>
      <c r="D17" s="451"/>
      <c r="E17" s="450"/>
      <c r="F17" s="452">
        <f>'数据-取费表'!B36</f>
        <v>1.4999999999999999E-2</v>
      </c>
      <c r="G17" s="440" t="s">
        <v>503</v>
      </c>
      <c r="H17" s="453"/>
      <c r="I17" s="453"/>
      <c r="J17" s="453"/>
      <c r="K17" s="454"/>
    </row>
    <row r="18" spans="1:14" s="2114" customFormat="1" ht="13.5" customHeight="1">
      <c r="A18" s="1628" t="s">
        <v>1855</v>
      </c>
      <c r="B18" s="455" t="s">
        <v>487</v>
      </c>
      <c r="C18" s="456">
        <f ca="1">SUM(C13:C17)</f>
        <v>52751</v>
      </c>
      <c r="D18" s="457"/>
      <c r="E18" s="458"/>
      <c r="F18" s="458"/>
      <c r="G18" s="1323" t="s">
        <v>2437</v>
      </c>
      <c r="H18" s="443"/>
      <c r="I18" s="443"/>
      <c r="J18" s="443"/>
      <c r="K18" s="444"/>
    </row>
    <row r="19" spans="1:14" s="2114" customFormat="1" ht="13.5" customHeight="1">
      <c r="A19" s="1628" t="s">
        <v>1856</v>
      </c>
      <c r="B19" s="455" t="s">
        <v>493</v>
      </c>
      <c r="C19" s="456">
        <f ca="1">ROUND(C18*F19,0)</f>
        <v>1055</v>
      </c>
      <c r="D19" s="458"/>
      <c r="E19" s="458"/>
      <c r="F19" s="462">
        <f>'数据-取费表'!B37</f>
        <v>0.02</v>
      </c>
      <c r="G19" s="440" t="s">
        <v>504</v>
      </c>
      <c r="H19" s="443"/>
      <c r="I19" s="443"/>
      <c r="J19" s="443"/>
      <c r="K19" s="444"/>
      <c r="L19" s="2116"/>
      <c r="M19" s="2116"/>
      <c r="N19" s="2116"/>
    </row>
    <row r="20" spans="1:14" s="2114" customFormat="1" ht="13.5" customHeight="1">
      <c r="A20" s="1628" t="s">
        <v>1857</v>
      </c>
      <c r="B20" s="455" t="s">
        <v>505</v>
      </c>
      <c r="C20" s="3049">
        <f>F20</f>
        <v>0.01</v>
      </c>
      <c r="D20" s="465" t="s">
        <v>506</v>
      </c>
      <c r="E20" s="465"/>
      <c r="F20" s="482">
        <f>'数据-取费表'!B38</f>
        <v>0.01</v>
      </c>
      <c r="G20" s="1323" t="s">
        <v>507</v>
      </c>
      <c r="H20" s="443"/>
      <c r="I20" s="443"/>
      <c r="J20" s="443"/>
      <c r="K20" s="444"/>
      <c r="L20" s="2116"/>
      <c r="M20" s="2116"/>
      <c r="N20" s="2116"/>
    </row>
    <row r="21" spans="1:14" s="2116" customFormat="1" ht="13.5" customHeight="1">
      <c r="A21" s="1628" t="s">
        <v>1860</v>
      </c>
      <c r="B21" s="457" t="s">
        <v>494</v>
      </c>
      <c r="C21" s="466">
        <f ca="1">C22</f>
        <v>2556</v>
      </c>
      <c r="D21" s="463">
        <f ca="1">C23</f>
        <v>5.0000000000000001E-4</v>
      </c>
      <c r="E21" s="465" t="s">
        <v>508</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3" t="s">
        <v>2459</v>
      </c>
    </row>
    <row r="22" spans="1:14" s="2115" customFormat="1" ht="13.5" customHeight="1">
      <c r="A22" s="1627" t="s">
        <v>1850</v>
      </c>
      <c r="B22" s="1324" t="s">
        <v>2440</v>
      </c>
      <c r="C22" s="483">
        <f ca="1">ROUND(IF('数据-取费表'!B22&lt;=1,(C18+C19)*F21*'数据-取费表'!B20/2,(C18+C19)*(POWER((1+F21),'数据-取费表'!B20/2)-1)),0)</f>
        <v>2556</v>
      </c>
      <c r="D22" s="468"/>
      <c r="E22" s="469"/>
      <c r="F22" s="470"/>
      <c r="G22" s="2586" t="str">
        <f>IF('数据-取费表'!B22&lt;=1,"((1)+(2))×年利率×建设期÷2","((1)+(2))×((1+年利率)^(建设期÷2)-1)")</f>
        <v>((1)+(2))×((1+年利率)^(建设期÷2)-1)</v>
      </c>
      <c r="H22" s="453"/>
      <c r="I22" s="453"/>
      <c r="J22" s="453"/>
      <c r="K22" s="454"/>
    </row>
    <row r="23" spans="1:14" s="2115" customFormat="1" ht="13.5" customHeight="1">
      <c r="A23" s="1627" t="s">
        <v>1851</v>
      </c>
      <c r="B23" s="1324" t="s">
        <v>509</v>
      </c>
      <c r="C23" s="484">
        <f ca="1">ROUND(IF('数据-取费表'!B22&lt;=1,F20*F21*'数据-取费表'!B20/2,F20*(POWER((1+F21),'数据-取费表'!B20/2)-1)),4)</f>
        <v>5.0000000000000001E-4</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8" t="s">
        <v>1861</v>
      </c>
      <c r="B24" s="3051" t="s">
        <v>2839</v>
      </c>
      <c r="C24" s="474">
        <f ca="1">C25</f>
        <v>3228</v>
      </c>
      <c r="D24" s="485">
        <f ca="1">C26</f>
        <v>5.9999999999999995E-4</v>
      </c>
      <c r="E24" s="465" t="s">
        <v>508</v>
      </c>
      <c r="F24" s="475">
        <f ca="1">IF(B1="",'数据-取费表'!Q16,INDIRECT("'数据-取费表'!q"&amp;$K$1))</f>
        <v>0.06</v>
      </c>
      <c r="G24" s="440"/>
      <c r="H24" s="443"/>
      <c r="I24" s="443"/>
      <c r="J24" s="443"/>
      <c r="K24" s="444"/>
    </row>
    <row r="25" spans="1:14" s="2115" customFormat="1" ht="13.5" customHeight="1">
      <c r="A25" s="1627" t="s">
        <v>1850</v>
      </c>
      <c r="B25" s="1324" t="s">
        <v>2441</v>
      </c>
      <c r="C25" s="486">
        <f ca="1">ROUND((C18+C19)*F24,0)</f>
        <v>3228</v>
      </c>
      <c r="D25" s="468"/>
      <c r="E25" s="469"/>
      <c r="F25" s="476"/>
      <c r="G25" s="1322" t="s">
        <v>2438</v>
      </c>
      <c r="H25" s="453"/>
      <c r="I25" s="453"/>
      <c r="J25" s="453"/>
      <c r="K25" s="454"/>
    </row>
    <row r="26" spans="1:14" s="2115" customFormat="1" ht="13.5" customHeight="1">
      <c r="A26" s="1627" t="s">
        <v>1851</v>
      </c>
      <c r="B26" s="1324" t="s">
        <v>510</v>
      </c>
      <c r="C26" s="487">
        <f ca="1">ROUND(F20*F24,4)</f>
        <v>5.9999999999999995E-4</v>
      </c>
      <c r="D26" s="468"/>
      <c r="E26" s="477"/>
      <c r="F26" s="476"/>
      <c r="G26" s="1322" t="s">
        <v>511</v>
      </c>
      <c r="H26" s="453"/>
      <c r="I26" s="453"/>
      <c r="J26" s="453"/>
      <c r="K26" s="454"/>
    </row>
    <row r="27" spans="1:14" s="2115" customFormat="1" ht="13.5" customHeight="1">
      <c r="A27" s="1631" t="s">
        <v>1869</v>
      </c>
      <c r="B27" s="455" t="s">
        <v>512</v>
      </c>
      <c r="C27" s="3050">
        <f>ROUND(F27/(1+'数据-取费表'!C42),4)</f>
        <v>5.33E-2</v>
      </c>
      <c r="D27" s="458" t="s">
        <v>2837</v>
      </c>
      <c r="E27" s="458"/>
      <c r="F27" s="462">
        <f>'数据-取费表'!B41</f>
        <v>5.6000000000000001E-2</v>
      </c>
      <c r="G27" s="1955" t="s">
        <v>2295</v>
      </c>
      <c r="H27" s="443"/>
      <c r="I27" s="443"/>
      <c r="J27" s="443"/>
      <c r="K27" s="444"/>
    </row>
    <row r="28" spans="1:14" s="2116" customFormat="1" ht="13.5" customHeight="1">
      <c r="A28" s="1631" t="s">
        <v>1870</v>
      </c>
      <c r="B28" s="472" t="s">
        <v>513</v>
      </c>
      <c r="C28" s="466">
        <f ca="1">ROUND((C18+C19+C21+C24)/(1-C20-D21-D24-C27),0)</f>
        <v>63692</v>
      </c>
      <c r="D28" s="473"/>
      <c r="E28" s="465"/>
      <c r="F28" s="467"/>
      <c r="G28" s="1323" t="s">
        <v>2439</v>
      </c>
      <c r="H28" s="443"/>
      <c r="I28" s="443"/>
      <c r="J28" s="443"/>
      <c r="K28" s="444"/>
    </row>
    <row r="29" spans="1:14" s="2116" customFormat="1" ht="13.5" customHeight="1">
      <c r="A29" s="1631"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5" t="s">
        <v>516</v>
      </c>
      <c r="H30" s="492"/>
      <c r="I30" s="492"/>
      <c r="J30" s="443"/>
      <c r="K30" s="444"/>
    </row>
    <row r="31" spans="1:14" s="2121" customFormat="1" ht="13.5" customHeight="1">
      <c r="A31" s="2501" t="s">
        <v>1867</v>
      </c>
      <c r="B31" s="1326"/>
      <c r="C31" s="496">
        <f>ROUND(C6*F31/(1+'数据-取费表'!C42),0)</f>
        <v>0</v>
      </c>
      <c r="D31" s="1327"/>
      <c r="E31" s="1327"/>
      <c r="F31" s="497">
        <f>'数据-取费表'!B41</f>
        <v>5.6000000000000001E-2</v>
      </c>
      <c r="G31" s="1328"/>
      <c r="H31" s="1328"/>
      <c r="I31" s="1328"/>
      <c r="J31" s="1329"/>
      <c r="K31" s="1330"/>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502" t="s">
        <v>2460</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517</v>
      </c>
      <c r="B1" s="499"/>
      <c r="C1" s="500" t="s">
        <v>598</v>
      </c>
      <c r="D1" s="501" t="s">
        <v>519</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504" t="e">
        <f>F63</f>
        <v>#DIV/0!</v>
      </c>
      <c r="C2" s="2123"/>
      <c r="D2" s="2123"/>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c r="A3" s="1374" t="s">
        <v>1687</v>
      </c>
      <c r="B3" s="506" t="e">
        <f>ROUND(B2*10000/'数据-汇总表'!E3,0)</f>
        <v>#DIV/0!</v>
      </c>
      <c r="C3" s="2056"/>
      <c r="D3" s="2056"/>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424"/>
      <c r="AC3" s="424"/>
    </row>
    <row r="4" spans="1:29" s="1332"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29" s="1332"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60"/>
      <c r="AC5" s="424"/>
    </row>
    <row r="6" spans="1:29" ht="15">
      <c r="A6" s="508" t="s">
        <v>522</v>
      </c>
      <c r="B6" s="509"/>
      <c r="C6" s="3707" t="s">
        <v>523</v>
      </c>
      <c r="D6" s="3708"/>
      <c r="E6" s="3741" t="s">
        <v>524</v>
      </c>
      <c r="F6" s="3742"/>
      <c r="G6" s="3707" t="s">
        <v>525</v>
      </c>
      <c r="H6" s="3708"/>
      <c r="I6" s="3707" t="s">
        <v>526</v>
      </c>
      <c r="J6" s="3708"/>
      <c r="K6" s="510" t="s">
        <v>527</v>
      </c>
      <c r="L6" s="2128"/>
      <c r="M6" s="2129"/>
      <c r="N6" s="2129"/>
      <c r="O6" s="2129"/>
      <c r="P6" s="3709" t="s">
        <v>528</v>
      </c>
      <c r="Q6" s="3710"/>
      <c r="R6" s="3715" t="s">
        <v>524</v>
      </c>
      <c r="S6" s="3716"/>
      <c r="T6" s="3715" t="s">
        <v>525</v>
      </c>
      <c r="U6" s="3716"/>
      <c r="V6" s="3702" t="s">
        <v>526</v>
      </c>
      <c r="W6" s="3702"/>
      <c r="X6" s="1561"/>
      <c r="Y6" s="3715" t="s">
        <v>528</v>
      </c>
      <c r="Z6" s="3716"/>
      <c r="AA6" s="3704" t="s">
        <v>524</v>
      </c>
      <c r="AB6" s="3705" t="s">
        <v>525</v>
      </c>
      <c r="AC6" s="3704" t="s">
        <v>526</v>
      </c>
    </row>
    <row r="7" spans="1:29" ht="15">
      <c r="A7" s="511"/>
      <c r="B7" s="512"/>
      <c r="C7" s="3723" t="s">
        <v>2932</v>
      </c>
      <c r="D7" s="3724"/>
      <c r="E7" s="3743" t="s">
        <v>2933</v>
      </c>
      <c r="F7" s="3744"/>
      <c r="G7" s="3723" t="s">
        <v>2934</v>
      </c>
      <c r="H7" s="3724"/>
      <c r="I7" s="3723" t="s">
        <v>2935</v>
      </c>
      <c r="J7" s="3724"/>
      <c r="K7" s="510"/>
      <c r="L7" s="2128"/>
      <c r="M7" s="2129"/>
      <c r="N7" s="2129"/>
      <c r="O7" s="2129"/>
      <c r="P7" s="3711"/>
      <c r="Q7" s="3712"/>
      <c r="R7" s="3717"/>
      <c r="S7" s="3718"/>
      <c r="T7" s="3717"/>
      <c r="U7" s="3718"/>
      <c r="V7" s="3702"/>
      <c r="W7" s="3702"/>
      <c r="X7" s="1561"/>
      <c r="Y7" s="3717"/>
      <c r="Z7" s="3718"/>
      <c r="AA7" s="3705"/>
      <c r="AB7" s="3705"/>
      <c r="AC7" s="3705"/>
    </row>
    <row r="8" spans="1:29" ht="15.75" thickBot="1">
      <c r="A8" s="513"/>
      <c r="B8" s="514"/>
      <c r="C8" s="3721" t="s">
        <v>2936</v>
      </c>
      <c r="D8" s="3722"/>
      <c r="E8" s="3739" t="s">
        <v>2936</v>
      </c>
      <c r="F8" s="3740"/>
      <c r="G8" s="3721" t="s">
        <v>2936</v>
      </c>
      <c r="H8" s="3722"/>
      <c r="I8" s="3721" t="s">
        <v>2936</v>
      </c>
      <c r="J8" s="3722"/>
      <c r="K8" s="510" t="s">
        <v>529</v>
      </c>
      <c r="L8" s="2128"/>
      <c r="M8" s="2129"/>
      <c r="N8" s="2129"/>
      <c r="O8" s="2129"/>
      <c r="P8" s="3713"/>
      <c r="Q8" s="3714"/>
      <c r="R8" s="3717"/>
      <c r="S8" s="3718"/>
      <c r="T8" s="3719"/>
      <c r="U8" s="3720"/>
      <c r="V8" s="3702"/>
      <c r="W8" s="3702"/>
      <c r="X8" s="1561"/>
      <c r="Y8" s="3719"/>
      <c r="Z8" s="3720"/>
      <c r="AA8" s="3706"/>
      <c r="AB8" s="3706"/>
      <c r="AC8" s="3706"/>
    </row>
    <row r="9" spans="1:29" s="1216" customFormat="1" ht="15.75" thickBot="1">
      <c r="A9" s="2932"/>
      <c r="B9" s="2939" t="s">
        <v>530</v>
      </c>
      <c r="C9" s="515">
        <f>'数据-取费表'!B2</f>
        <v>43133</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732" t="s">
        <v>531</v>
      </c>
      <c r="Q9" s="3734"/>
      <c r="R9" s="1562" t="s">
        <v>8</v>
      </c>
      <c r="S9" s="1563">
        <f t="shared" ref="S9:S17" si="0">F9</f>
        <v>0</v>
      </c>
      <c r="T9" s="1562" t="s">
        <v>8</v>
      </c>
      <c r="U9" s="1563">
        <f t="shared" ref="U9:U17" si="1">H9</f>
        <v>0</v>
      </c>
      <c r="V9" s="1562" t="s">
        <v>8</v>
      </c>
      <c r="W9" s="1563">
        <f t="shared" ref="W9:W17" si="2">J9</f>
        <v>0</v>
      </c>
      <c r="X9" s="1564"/>
      <c r="Y9" s="3732" t="s">
        <v>531</v>
      </c>
      <c r="Z9" s="3733"/>
      <c r="AA9" s="1565" t="e">
        <f>D9/F9</f>
        <v>#DIV/0!</v>
      </c>
      <c r="AB9" s="1565" t="e">
        <f>D9/H9</f>
        <v>#DIV/0!</v>
      </c>
      <c r="AC9" s="1565" t="e">
        <f>D9/J9</f>
        <v>#DIV/0!</v>
      </c>
    </row>
    <row r="10" spans="1:29" s="1216" customFormat="1" ht="15.75" thickBot="1">
      <c r="A10" s="2933"/>
      <c r="B10" s="2940"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732" t="s">
        <v>534</v>
      </c>
      <c r="Q10" s="3733"/>
      <c r="R10" s="1562" t="s">
        <v>8</v>
      </c>
      <c r="S10" s="1563">
        <f t="shared" si="0"/>
        <v>0</v>
      </c>
      <c r="T10" s="1562" t="s">
        <v>8</v>
      </c>
      <c r="U10" s="1563">
        <f t="shared" si="1"/>
        <v>0</v>
      </c>
      <c r="V10" s="1562" t="s">
        <v>8</v>
      </c>
      <c r="W10" s="1563">
        <f t="shared" si="2"/>
        <v>0</v>
      </c>
      <c r="X10" s="1564"/>
      <c r="Y10" s="3732" t="s">
        <v>534</v>
      </c>
      <c r="Z10" s="3733"/>
      <c r="AA10" s="1565" t="e">
        <f t="shared" ref="AA10:AA42" si="3">D10/F10</f>
        <v>#DIV/0!</v>
      </c>
      <c r="AB10" s="1565" t="e">
        <f t="shared" ref="AB10:AB42" si="4">D10/H10</f>
        <v>#DIV/0!</v>
      </c>
      <c r="AC10" s="1565" t="e">
        <f t="shared" ref="AC10:AC42" si="5">D10/J10</f>
        <v>#DIV/0!</v>
      </c>
    </row>
    <row r="11" spans="1:29" s="1216" customFormat="1" ht="15">
      <c r="A11" s="2934"/>
      <c r="B11" s="2941" t="s">
        <v>2763</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701" t="s">
        <v>536</v>
      </c>
      <c r="Q11" s="1147" t="str">
        <f t="shared" ref="Q11:Q17" si="6">B11</f>
        <v>用途</v>
      </c>
      <c r="R11" s="1562" t="s">
        <v>8</v>
      </c>
      <c r="S11" s="1563">
        <f t="shared" si="0"/>
        <v>100</v>
      </c>
      <c r="T11" s="1562" t="s">
        <v>8</v>
      </c>
      <c r="U11" s="1563">
        <f t="shared" si="1"/>
        <v>100</v>
      </c>
      <c r="V11" s="1562" t="s">
        <v>8</v>
      </c>
      <c r="W11" s="1563">
        <f t="shared" si="2"/>
        <v>100</v>
      </c>
      <c r="X11" s="1564"/>
      <c r="Y11" s="3643" t="s">
        <v>537</v>
      </c>
      <c r="Z11" s="1146" t="str">
        <f t="shared" ref="Z11:Z17" si="7">Q11</f>
        <v>用途</v>
      </c>
      <c r="AA11" s="1565">
        <f t="shared" si="3"/>
        <v>1</v>
      </c>
      <c r="AB11" s="1565">
        <f t="shared" si="4"/>
        <v>1</v>
      </c>
      <c r="AC11" s="1565">
        <f t="shared" si="5"/>
        <v>1</v>
      </c>
    </row>
    <row r="12" spans="1:29" s="1334" customFormat="1" ht="27">
      <c r="A12" s="2935"/>
      <c r="B12" s="2940" t="s">
        <v>2764</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701"/>
      <c r="Q12" s="1147" t="str">
        <f t="shared" si="6"/>
        <v>土地使用年限（年）</v>
      </c>
      <c r="R12" s="1562" t="s">
        <v>8</v>
      </c>
      <c r="S12" s="1563">
        <f t="shared" si="0"/>
        <v>100</v>
      </c>
      <c r="T12" s="1562" t="s">
        <v>8</v>
      </c>
      <c r="U12" s="1563">
        <f t="shared" si="1"/>
        <v>100</v>
      </c>
      <c r="V12" s="1562" t="s">
        <v>8</v>
      </c>
      <c r="W12" s="1563">
        <f t="shared" si="2"/>
        <v>100</v>
      </c>
      <c r="X12" s="1564"/>
      <c r="Y12" s="3643"/>
      <c r="Z12" s="1146" t="str">
        <f t="shared" si="7"/>
        <v>土地使用年限（年）</v>
      </c>
      <c r="AA12" s="1565">
        <f t="shared" si="3"/>
        <v>1</v>
      </c>
      <c r="AB12" s="1565">
        <f t="shared" si="4"/>
        <v>1</v>
      </c>
      <c r="AC12" s="1565">
        <f t="shared" si="5"/>
        <v>1</v>
      </c>
    </row>
    <row r="13" spans="1:29" ht="15">
      <c r="A13" s="2936"/>
      <c r="B13" s="2940" t="s">
        <v>2765</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701"/>
      <c r="Q13" s="1147" t="str">
        <f t="shared" si="6"/>
        <v>容积率</v>
      </c>
      <c r="R13" s="1562" t="s">
        <v>8</v>
      </c>
      <c r="S13" s="1563" t="e">
        <f t="shared" si="0"/>
        <v>#N/A</v>
      </c>
      <c r="T13" s="1562" t="s">
        <v>8</v>
      </c>
      <c r="U13" s="1563" t="e">
        <f t="shared" si="1"/>
        <v>#N/A</v>
      </c>
      <c r="V13" s="1562" t="s">
        <v>8</v>
      </c>
      <c r="W13" s="1563" t="e">
        <f t="shared" si="2"/>
        <v>#N/A</v>
      </c>
      <c r="X13" s="1564"/>
      <c r="Y13" s="3643"/>
      <c r="Z13" s="1146" t="str">
        <f t="shared" si="7"/>
        <v>容积率</v>
      </c>
      <c r="AA13" s="1565" t="e">
        <f t="shared" si="3"/>
        <v>#N/A</v>
      </c>
      <c r="AB13" s="1565" t="e">
        <f t="shared" si="4"/>
        <v>#N/A</v>
      </c>
      <c r="AC13" s="1565" t="e">
        <f t="shared" si="5"/>
        <v>#N/A</v>
      </c>
    </row>
    <row r="14" spans="1:29" s="1216" customFormat="1" ht="15">
      <c r="A14" s="2937"/>
      <c r="B14" s="2943">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701"/>
      <c r="Q14" s="1147">
        <f t="shared" si="6"/>
        <v>111</v>
      </c>
      <c r="R14" s="1562" t="s">
        <v>8</v>
      </c>
      <c r="S14" s="1563">
        <f t="shared" si="0"/>
        <v>100</v>
      </c>
      <c r="T14" s="1562" t="s">
        <v>8</v>
      </c>
      <c r="U14" s="1563">
        <f t="shared" si="1"/>
        <v>100</v>
      </c>
      <c r="V14" s="1562" t="s">
        <v>8</v>
      </c>
      <c r="W14" s="1563">
        <f t="shared" si="2"/>
        <v>100</v>
      </c>
      <c r="X14" s="1564"/>
      <c r="Y14" s="3643"/>
      <c r="Z14" s="1146">
        <f t="shared" si="7"/>
        <v>111</v>
      </c>
      <c r="AA14" s="1565">
        <f>D14/F14</f>
        <v>1</v>
      </c>
      <c r="AB14" s="1565">
        <f>D14/H14</f>
        <v>1</v>
      </c>
      <c r="AC14" s="1565">
        <f>D14/J14</f>
        <v>1</v>
      </c>
    </row>
    <row r="15" spans="1:29" ht="15">
      <c r="A15" s="2937"/>
      <c r="B15" s="2943">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701"/>
      <c r="Q15" s="1147">
        <f t="shared" si="6"/>
        <v>111</v>
      </c>
      <c r="R15" s="1562" t="s">
        <v>8</v>
      </c>
      <c r="S15" s="1563">
        <f t="shared" si="0"/>
        <v>100</v>
      </c>
      <c r="T15" s="1562" t="s">
        <v>8</v>
      </c>
      <c r="U15" s="1563">
        <f t="shared" si="1"/>
        <v>100</v>
      </c>
      <c r="V15" s="1562" t="s">
        <v>8</v>
      </c>
      <c r="W15" s="1563">
        <f t="shared" si="2"/>
        <v>100</v>
      </c>
      <c r="X15" s="1564"/>
      <c r="Y15" s="3643"/>
      <c r="Z15" s="1146">
        <f t="shared" si="7"/>
        <v>111</v>
      </c>
      <c r="AA15" s="1565">
        <f t="shared" si="3"/>
        <v>1</v>
      </c>
      <c r="AB15" s="1565">
        <f t="shared" si="4"/>
        <v>1</v>
      </c>
      <c r="AC15" s="1565">
        <f t="shared" si="5"/>
        <v>1</v>
      </c>
    </row>
    <row r="16" spans="1:29" ht="15.75" thickBot="1">
      <c r="A16" s="2938"/>
      <c r="B16" s="2944">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701"/>
      <c r="Q16" s="1147">
        <f t="shared" si="6"/>
        <v>111</v>
      </c>
      <c r="R16" s="1562" t="s">
        <v>8</v>
      </c>
      <c r="S16" s="1563">
        <f t="shared" si="0"/>
        <v>100</v>
      </c>
      <c r="T16" s="1562" t="s">
        <v>8</v>
      </c>
      <c r="U16" s="1563">
        <f t="shared" si="1"/>
        <v>100</v>
      </c>
      <c r="V16" s="1562" t="s">
        <v>8</v>
      </c>
      <c r="W16" s="1563">
        <f t="shared" si="2"/>
        <v>100</v>
      </c>
      <c r="X16" s="1564"/>
      <c r="Y16" s="3643"/>
      <c r="Z16" s="1146">
        <f t="shared" si="7"/>
        <v>111</v>
      </c>
      <c r="AA16" s="1565">
        <f t="shared" si="3"/>
        <v>1</v>
      </c>
      <c r="AB16" s="1565">
        <f t="shared" si="4"/>
        <v>1</v>
      </c>
      <c r="AC16" s="1565">
        <f t="shared" si="5"/>
        <v>1</v>
      </c>
    </row>
    <row r="17" spans="1:29" ht="57">
      <c r="A17" s="2930" t="s">
        <v>2761</v>
      </c>
      <c r="B17" s="165" t="s">
        <v>599</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35" t="s">
        <v>541</v>
      </c>
      <c r="Q17" s="1566" t="str">
        <f t="shared" si="6"/>
        <v>产业集聚程度</v>
      </c>
      <c r="R17" s="1567" t="s">
        <v>8</v>
      </c>
      <c r="S17" s="1568">
        <f t="shared" si="0"/>
        <v>100</v>
      </c>
      <c r="T17" s="1567" t="s">
        <v>8</v>
      </c>
      <c r="U17" s="1568">
        <f t="shared" si="1"/>
        <v>100</v>
      </c>
      <c r="V17" s="1567" t="s">
        <v>8</v>
      </c>
      <c r="W17" s="1568">
        <f t="shared" si="2"/>
        <v>100</v>
      </c>
      <c r="X17" s="1561"/>
      <c r="Y17" s="3735" t="s">
        <v>541</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7"/>
      <c r="M18" s="2129"/>
      <c r="N18" s="2129"/>
      <c r="O18" s="2136"/>
      <c r="P18" s="3736"/>
      <c r="Q18" s="1566"/>
      <c r="R18" s="1567"/>
      <c r="S18" s="1568"/>
      <c r="T18" s="1567"/>
      <c r="U18" s="1568"/>
      <c r="V18" s="1567"/>
      <c r="W18" s="1568"/>
      <c r="X18" s="1561"/>
      <c r="Y18" s="3736"/>
      <c r="Z18" s="1569"/>
      <c r="AA18" s="1570">
        <v>1</v>
      </c>
      <c r="AB18" s="1570">
        <v>1</v>
      </c>
      <c r="AC18" s="1570">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36"/>
      <c r="Q19" s="1566" t="str">
        <f>B19</f>
        <v>交通便捷度</v>
      </c>
      <c r="R19" s="1567" t="s">
        <v>8</v>
      </c>
      <c r="S19" s="1568">
        <f>F19</f>
        <v>100</v>
      </c>
      <c r="T19" s="1567" t="s">
        <v>8</v>
      </c>
      <c r="U19" s="1568">
        <f>H19</f>
        <v>100</v>
      </c>
      <c r="V19" s="1567" t="s">
        <v>8</v>
      </c>
      <c r="W19" s="1568">
        <f>J19</f>
        <v>100</v>
      </c>
      <c r="X19" s="1561"/>
      <c r="Y19" s="3736"/>
      <c r="Z19" s="1569" t="str">
        <f>Q19</f>
        <v>交通便捷度</v>
      </c>
      <c r="AA19" s="1570">
        <f t="shared" si="3"/>
        <v>1</v>
      </c>
      <c r="AB19" s="1570">
        <f t="shared" si="4"/>
        <v>1</v>
      </c>
      <c r="AC19" s="1570">
        <f t="shared" si="5"/>
        <v>1</v>
      </c>
    </row>
    <row r="20" spans="1:29" ht="15">
      <c r="A20" s="528"/>
      <c r="B20" s="918"/>
      <c r="C20" s="572"/>
      <c r="D20" s="551"/>
      <c r="E20" s="552"/>
      <c r="F20" s="551"/>
      <c r="G20" s="552"/>
      <c r="H20" s="551"/>
      <c r="I20" s="554"/>
      <c r="J20" s="551"/>
      <c r="K20" s="527"/>
      <c r="L20" s="2137"/>
      <c r="M20" s="2129"/>
      <c r="N20" s="2129"/>
      <c r="O20" s="2136"/>
      <c r="P20" s="3736"/>
      <c r="Q20" s="1566"/>
      <c r="R20" s="1567"/>
      <c r="S20" s="1568"/>
      <c r="T20" s="1567"/>
      <c r="U20" s="1568"/>
      <c r="V20" s="1567"/>
      <c r="W20" s="1568"/>
      <c r="X20" s="1561"/>
      <c r="Y20" s="3736"/>
      <c r="Z20" s="1569"/>
      <c r="AA20" s="1570">
        <v>1</v>
      </c>
      <c r="AB20" s="1570">
        <v>1</v>
      </c>
      <c r="AC20" s="1570">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7"/>
      <c r="M21" s="2129"/>
      <c r="N21" s="2129"/>
      <c r="O21" s="2136"/>
      <c r="P21" s="3736"/>
      <c r="Q21" s="1566" t="str">
        <f t="shared" ref="Q21:Q35" si="8">B21</f>
        <v>区域土地利用方向</v>
      </c>
      <c r="R21" s="1567" t="s">
        <v>8</v>
      </c>
      <c r="S21" s="1568">
        <f>F21</f>
        <v>100</v>
      </c>
      <c r="T21" s="1567" t="s">
        <v>8</v>
      </c>
      <c r="U21" s="1568">
        <f>H21</f>
        <v>100</v>
      </c>
      <c r="V21" s="1567" t="s">
        <v>8</v>
      </c>
      <c r="W21" s="1568">
        <f>J21</f>
        <v>100</v>
      </c>
      <c r="X21" s="1561"/>
      <c r="Y21" s="3736"/>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4"/>
      <c r="L22" s="2137"/>
      <c r="M22" s="2129"/>
      <c r="N22" s="2129"/>
      <c r="O22" s="2136"/>
      <c r="P22" s="3736"/>
      <c r="Q22" s="1566"/>
      <c r="R22" s="1567"/>
      <c r="S22" s="1568"/>
      <c r="T22" s="1567"/>
      <c r="U22" s="1568"/>
      <c r="V22" s="1567"/>
      <c r="W22" s="1568"/>
      <c r="X22" s="1561"/>
      <c r="Y22" s="3736"/>
      <c r="Z22" s="1569"/>
      <c r="AA22" s="1570"/>
      <c r="AB22" s="1570"/>
      <c r="AC22" s="1570"/>
    </row>
    <row r="23" spans="1:29" ht="71.25">
      <c r="A23" s="511"/>
      <c r="B23" s="918"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36"/>
      <c r="Q23" s="1566" t="str">
        <f t="shared" si="8"/>
        <v>环境状况</v>
      </c>
      <c r="R23" s="1567" t="s">
        <v>8</v>
      </c>
      <c r="S23" s="1568">
        <f>F23</f>
        <v>100</v>
      </c>
      <c r="T23" s="1567" t="s">
        <v>8</v>
      </c>
      <c r="U23" s="1568">
        <f>H23</f>
        <v>100</v>
      </c>
      <c r="V23" s="1567" t="s">
        <v>8</v>
      </c>
      <c r="W23" s="1568">
        <f>J23</f>
        <v>100</v>
      </c>
      <c r="X23" s="1561"/>
      <c r="Y23" s="3736"/>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7"/>
      <c r="M24" s="2129"/>
      <c r="N24" s="2129"/>
      <c r="O24" s="2136"/>
      <c r="P24" s="3736"/>
      <c r="Q24" s="1566"/>
      <c r="R24" s="1567"/>
      <c r="S24" s="1568"/>
      <c r="T24" s="1567"/>
      <c r="U24" s="1568"/>
      <c r="V24" s="1567"/>
      <c r="W24" s="1568"/>
      <c r="X24" s="1561"/>
      <c r="Y24" s="3736"/>
      <c r="Z24" s="1569"/>
      <c r="AA24" s="1570">
        <v>1</v>
      </c>
      <c r="AB24" s="1570">
        <v>1</v>
      </c>
      <c r="AC24" s="1570">
        <v>1</v>
      </c>
    </row>
    <row r="25" spans="1:29" s="1216" customFormat="1" ht="42.75">
      <c r="A25" s="573"/>
      <c r="B25" s="2612" t="s">
        <v>2555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36"/>
      <c r="Q25" s="1147" t="str">
        <f t="shared" si="8"/>
        <v>公共配套设施</v>
      </c>
      <c r="R25" s="1562" t="s">
        <v>8</v>
      </c>
      <c r="S25" s="1563">
        <f>F25</f>
        <v>100</v>
      </c>
      <c r="T25" s="1562" t="s">
        <v>8</v>
      </c>
      <c r="U25" s="1563">
        <f>H25</f>
        <v>100</v>
      </c>
      <c r="V25" s="1562" t="s">
        <v>8</v>
      </c>
      <c r="W25" s="1563">
        <f>J25</f>
        <v>100</v>
      </c>
      <c r="X25" s="1564"/>
      <c r="Y25" s="3736"/>
      <c r="Z25" s="1146" t="str">
        <f>Q25</f>
        <v>公共配套设施</v>
      </c>
      <c r="AA25" s="1570">
        <f>D25/F25</f>
        <v>1</v>
      </c>
      <c r="AB25" s="1570">
        <f>D25/H25</f>
        <v>1</v>
      </c>
      <c r="AC25" s="1570">
        <f>D25/J25</f>
        <v>1</v>
      </c>
    </row>
    <row r="26" spans="1:29" s="1216" customFormat="1" ht="15">
      <c r="A26" s="573"/>
      <c r="B26" s="591"/>
      <c r="C26" s="2611"/>
      <c r="D26" s="551"/>
      <c r="E26" s="550"/>
      <c r="F26" s="551"/>
      <c r="G26" s="550"/>
      <c r="H26" s="551"/>
      <c r="I26" s="572"/>
      <c r="J26" s="551"/>
      <c r="K26" s="527"/>
      <c r="L26" s="2130"/>
      <c r="M26" s="2131"/>
      <c r="N26" s="2131"/>
      <c r="O26" s="2132"/>
      <c r="P26" s="3736"/>
      <c r="Q26" s="1147"/>
      <c r="R26" s="1562"/>
      <c r="S26" s="1563"/>
      <c r="T26" s="1562"/>
      <c r="U26" s="1563"/>
      <c r="V26" s="1562"/>
      <c r="W26" s="1563"/>
      <c r="X26" s="1564"/>
      <c r="Y26" s="3736"/>
      <c r="Z26" s="1146"/>
      <c r="AA26" s="1565">
        <v>1</v>
      </c>
      <c r="AB26" s="1565">
        <v>1</v>
      </c>
      <c r="AC26" s="1565">
        <v>1</v>
      </c>
    </row>
    <row r="27" spans="1:29" s="1216" customFormat="1" ht="28.5">
      <c r="A27" s="573"/>
      <c r="B27" s="2612" t="s">
        <v>2556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36"/>
      <c r="Q27" s="2597" t="str">
        <f t="shared" ref="Q27" si="9">B27</f>
        <v>基础设施水平</v>
      </c>
      <c r="R27" s="1562" t="s">
        <v>8</v>
      </c>
      <c r="S27" s="1563">
        <f>F27</f>
        <v>100</v>
      </c>
      <c r="T27" s="1562" t="s">
        <v>8</v>
      </c>
      <c r="U27" s="1563">
        <f>H27</f>
        <v>100</v>
      </c>
      <c r="V27" s="1562" t="s">
        <v>8</v>
      </c>
      <c r="W27" s="1563">
        <f>J27</f>
        <v>100</v>
      </c>
      <c r="X27" s="1564"/>
      <c r="Y27" s="3736"/>
      <c r="Z27" s="2594" t="str">
        <f>Q27</f>
        <v>基础设施水平</v>
      </c>
      <c r="AA27" s="1570">
        <f>D27/F27</f>
        <v>1</v>
      </c>
      <c r="AB27" s="1570">
        <f>D27/H27</f>
        <v>1</v>
      </c>
      <c r="AC27" s="1570">
        <f>D27/J27</f>
        <v>1</v>
      </c>
    </row>
    <row r="28" spans="1:29" s="1216" customFormat="1" ht="15">
      <c r="A28" s="573"/>
      <c r="B28" s="591"/>
      <c r="C28" s="2611"/>
      <c r="D28" s="551"/>
      <c r="E28" s="575"/>
      <c r="F28" s="551"/>
      <c r="G28" s="575"/>
      <c r="H28" s="551"/>
      <c r="I28" s="575"/>
      <c r="J28" s="551"/>
      <c r="K28" s="527"/>
      <c r="L28" s="2130"/>
      <c r="M28" s="2131"/>
      <c r="N28" s="2131"/>
      <c r="O28" s="2132"/>
      <c r="P28" s="3736"/>
      <c r="Q28" s="2597"/>
      <c r="R28" s="1562"/>
      <c r="S28" s="1563"/>
      <c r="T28" s="1562"/>
      <c r="U28" s="1563"/>
      <c r="V28" s="1562"/>
      <c r="W28" s="1563"/>
      <c r="X28" s="1564"/>
      <c r="Y28" s="3736"/>
      <c r="Z28" s="2594"/>
      <c r="AA28" s="1565">
        <v>1</v>
      </c>
      <c r="AB28" s="1565">
        <v>1</v>
      </c>
      <c r="AC28" s="1565">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36"/>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736"/>
      <c r="Z29" s="1569" t="str">
        <f t="shared" ref="Z29:Z42" si="13">Q29</f>
        <v>临街状况</v>
      </c>
      <c r="AA29" s="1570">
        <f t="shared" si="3"/>
        <v>1</v>
      </c>
      <c r="AB29" s="1570">
        <f t="shared" si="4"/>
        <v>1</v>
      </c>
      <c r="AC29" s="1570">
        <f t="shared" si="5"/>
        <v>1</v>
      </c>
    </row>
    <row r="30" spans="1:29" ht="27">
      <c r="A30" s="528"/>
      <c r="B30" s="918" t="s">
        <v>549</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36"/>
      <c r="Q30" s="1566" t="str">
        <f t="shared" si="8"/>
        <v>毗邻道路的类型与等级</v>
      </c>
      <c r="R30" s="1567" t="s">
        <v>8</v>
      </c>
      <c r="S30" s="1568">
        <f t="shared" si="10"/>
        <v>100</v>
      </c>
      <c r="T30" s="1567" t="s">
        <v>8</v>
      </c>
      <c r="U30" s="1568">
        <f t="shared" si="11"/>
        <v>100</v>
      </c>
      <c r="V30" s="1567" t="s">
        <v>8</v>
      </c>
      <c r="W30" s="1568">
        <f t="shared" si="12"/>
        <v>100</v>
      </c>
      <c r="X30" s="1561"/>
      <c r="Y30" s="3736"/>
      <c r="Z30" s="1569" t="str">
        <f t="shared" si="13"/>
        <v>毗邻道路的类型与等级</v>
      </c>
      <c r="AA30" s="1570">
        <f t="shared" si="3"/>
        <v>1</v>
      </c>
      <c r="AB30" s="1570">
        <f t="shared" si="4"/>
        <v>1</v>
      </c>
      <c r="AC30" s="1570">
        <f t="shared" si="5"/>
        <v>1</v>
      </c>
    </row>
    <row r="31" spans="1:29" ht="15">
      <c r="A31" s="528"/>
      <c r="B31" s="591"/>
      <c r="C31" s="572"/>
      <c r="D31" s="551"/>
      <c r="E31" s="550"/>
      <c r="F31" s="551"/>
      <c r="G31" s="550"/>
      <c r="H31" s="551"/>
      <c r="I31" s="572"/>
      <c r="J31" s="551"/>
      <c r="K31" s="577"/>
      <c r="L31" s="2137"/>
      <c r="M31" s="2129"/>
      <c r="N31" s="2129"/>
      <c r="O31" s="2136"/>
      <c r="P31" s="3736"/>
      <c r="Q31" s="1566"/>
      <c r="R31" s="1567"/>
      <c r="S31" s="1568"/>
      <c r="T31" s="1567"/>
      <c r="U31" s="1568"/>
      <c r="V31" s="1567"/>
      <c r="W31" s="1568"/>
      <c r="X31" s="1561"/>
      <c r="Y31" s="3736"/>
      <c r="Z31" s="1569"/>
      <c r="AA31" s="1570">
        <v>1</v>
      </c>
      <c r="AB31" s="1570">
        <v>1</v>
      </c>
      <c r="AC31" s="1570">
        <v>1</v>
      </c>
    </row>
    <row r="32" spans="1:29" ht="15">
      <c r="A32" s="528"/>
      <c r="B32" s="523" t="s">
        <v>550</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36"/>
      <c r="Q32" s="1566" t="str">
        <f t="shared" si="8"/>
        <v>土地级别</v>
      </c>
      <c r="R32" s="1567" t="s">
        <v>8</v>
      </c>
      <c r="S32" s="1568">
        <f t="shared" si="10"/>
        <v>100</v>
      </c>
      <c r="T32" s="1567" t="s">
        <v>8</v>
      </c>
      <c r="U32" s="1568">
        <f t="shared" si="11"/>
        <v>100</v>
      </c>
      <c r="V32" s="1567" t="s">
        <v>8</v>
      </c>
      <c r="W32" s="1568">
        <f t="shared" si="12"/>
        <v>100</v>
      </c>
      <c r="X32" s="1561"/>
      <c r="Y32" s="3736"/>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36"/>
      <c r="Q33" s="1566">
        <f t="shared" si="8"/>
        <v>111</v>
      </c>
      <c r="R33" s="1567" t="s">
        <v>8</v>
      </c>
      <c r="S33" s="1568">
        <f t="shared" si="10"/>
        <v>100</v>
      </c>
      <c r="T33" s="1567" t="s">
        <v>8</v>
      </c>
      <c r="U33" s="1568">
        <f t="shared" si="11"/>
        <v>100</v>
      </c>
      <c r="V33" s="1567" t="s">
        <v>8</v>
      </c>
      <c r="W33" s="1568">
        <f t="shared" si="12"/>
        <v>100</v>
      </c>
      <c r="X33" s="1561"/>
      <c r="Y33" s="3736"/>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37" t="s">
        <v>551</v>
      </c>
      <c r="Q34" s="1566">
        <f t="shared" si="8"/>
        <v>111</v>
      </c>
      <c r="R34" s="1567" t="s">
        <v>8</v>
      </c>
      <c r="S34" s="1568">
        <f t="shared" si="10"/>
        <v>100</v>
      </c>
      <c r="T34" s="1567" t="s">
        <v>8</v>
      </c>
      <c r="U34" s="1568">
        <f t="shared" si="11"/>
        <v>100</v>
      </c>
      <c r="V34" s="1567" t="s">
        <v>8</v>
      </c>
      <c r="W34" s="1568">
        <f t="shared" si="12"/>
        <v>100</v>
      </c>
      <c r="X34" s="1561"/>
      <c r="Y34" s="3738" t="s">
        <v>551</v>
      </c>
      <c r="Z34" s="1569">
        <f t="shared" si="13"/>
        <v>111</v>
      </c>
      <c r="AA34" s="1570">
        <f t="shared" si="3"/>
        <v>1</v>
      </c>
      <c r="AB34" s="1570">
        <f t="shared" si="4"/>
        <v>1</v>
      </c>
      <c r="AC34" s="1570">
        <f t="shared" si="5"/>
        <v>1</v>
      </c>
    </row>
    <row r="35" spans="1:29" s="1335"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38"/>
      <c r="Q35" s="1566">
        <f t="shared" si="8"/>
        <v>111</v>
      </c>
      <c r="R35" s="1571" t="s">
        <v>8</v>
      </c>
      <c r="S35" s="1572">
        <f t="shared" si="10"/>
        <v>100</v>
      </c>
      <c r="T35" s="1571" t="s">
        <v>8</v>
      </c>
      <c r="U35" s="1572">
        <f t="shared" si="11"/>
        <v>100</v>
      </c>
      <c r="V35" s="1571" t="s">
        <v>8</v>
      </c>
      <c r="W35" s="1572">
        <f t="shared" si="12"/>
        <v>100</v>
      </c>
      <c r="X35" s="1573"/>
      <c r="Y35" s="3738"/>
      <c r="Z35" s="1574">
        <f t="shared" si="13"/>
        <v>111</v>
      </c>
      <c r="AA35" s="1570">
        <f t="shared" si="3"/>
        <v>1</v>
      </c>
      <c r="AB35" s="1570">
        <f t="shared" si="4"/>
        <v>1</v>
      </c>
      <c r="AC35" s="1570">
        <f t="shared" si="5"/>
        <v>1</v>
      </c>
    </row>
    <row r="36" spans="1:29" ht="15">
      <c r="A36" s="2927" t="s">
        <v>2762</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38"/>
      <c r="Q36" s="1566" t="str">
        <f>B36</f>
        <v>宗地面积</v>
      </c>
      <c r="R36" s="1567" t="s">
        <v>8</v>
      </c>
      <c r="S36" s="1568" t="e">
        <f t="shared" si="10"/>
        <v>#N/A</v>
      </c>
      <c r="T36" s="1567" t="s">
        <v>8</v>
      </c>
      <c r="U36" s="1568" t="e">
        <f t="shared" si="11"/>
        <v>#N/A</v>
      </c>
      <c r="V36" s="1567" t="s">
        <v>8</v>
      </c>
      <c r="W36" s="1568" t="e">
        <f t="shared" si="12"/>
        <v>#N/A</v>
      </c>
      <c r="X36" s="1561"/>
      <c r="Y36" s="3738"/>
      <c r="Z36" s="1569" t="str">
        <f t="shared" si="13"/>
        <v>宗地面积</v>
      </c>
      <c r="AA36" s="1570" t="e">
        <f t="shared" si="3"/>
        <v>#N/A</v>
      </c>
      <c r="AB36" s="1570" t="e">
        <f t="shared" si="4"/>
        <v>#N/A</v>
      </c>
      <c r="AC36" s="1570"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38"/>
      <c r="Q37" s="1566" t="str">
        <f t="shared" ref="Q37:Q42" si="14">B37</f>
        <v>宗地形状</v>
      </c>
      <c r="R37" s="1567" t="s">
        <v>8</v>
      </c>
      <c r="S37" s="1568">
        <f t="shared" si="10"/>
        <v>100</v>
      </c>
      <c r="T37" s="1567" t="s">
        <v>8</v>
      </c>
      <c r="U37" s="1568">
        <f t="shared" si="11"/>
        <v>100</v>
      </c>
      <c r="V37" s="1567" t="s">
        <v>8</v>
      </c>
      <c r="W37" s="1568">
        <f t="shared" si="12"/>
        <v>100</v>
      </c>
      <c r="X37" s="1561"/>
      <c r="Y37" s="3738"/>
      <c r="Z37" s="1569" t="str">
        <f t="shared" si="13"/>
        <v>宗地形状</v>
      </c>
      <c r="AA37" s="1570">
        <f t="shared" si="3"/>
        <v>1</v>
      </c>
      <c r="AB37" s="1570">
        <f t="shared" si="4"/>
        <v>1</v>
      </c>
      <c r="AC37" s="1570">
        <f t="shared" si="5"/>
        <v>1</v>
      </c>
    </row>
    <row r="38" spans="1:29" s="1216" customFormat="1" ht="15">
      <c r="A38" s="596"/>
      <c r="B38" s="1890" t="s">
        <v>2429</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38"/>
      <c r="Q38" s="1566" t="str">
        <f t="shared" si="14"/>
        <v>宗地开发程度</v>
      </c>
      <c r="R38" s="1562" t="s">
        <v>8</v>
      </c>
      <c r="S38" s="1563">
        <f t="shared" si="10"/>
        <v>100</v>
      </c>
      <c r="T38" s="1562" t="s">
        <v>8</v>
      </c>
      <c r="U38" s="1563">
        <f t="shared" si="11"/>
        <v>100</v>
      </c>
      <c r="V38" s="1562" t="s">
        <v>8</v>
      </c>
      <c r="W38" s="1563">
        <f t="shared" si="12"/>
        <v>100</v>
      </c>
      <c r="X38" s="1564"/>
      <c r="Y38" s="3738"/>
      <c r="Z38" s="1146" t="str">
        <f t="shared" si="13"/>
        <v>宗地开发程度</v>
      </c>
      <c r="AA38" s="1565">
        <f t="shared" si="3"/>
        <v>1</v>
      </c>
      <c r="AB38" s="1565">
        <f t="shared" si="4"/>
        <v>1</v>
      </c>
      <c r="AC38" s="1565">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38" t="s">
        <v>602</v>
      </c>
      <c r="Q39" s="1566" t="str">
        <f t="shared" si="14"/>
        <v>工程地质条件</v>
      </c>
      <c r="R39" s="1567" t="s">
        <v>8</v>
      </c>
      <c r="S39" s="1568">
        <f t="shared" si="10"/>
        <v>100</v>
      </c>
      <c r="T39" s="1567" t="s">
        <v>8</v>
      </c>
      <c r="U39" s="1568">
        <f t="shared" si="11"/>
        <v>100</v>
      </c>
      <c r="V39" s="1567" t="s">
        <v>8</v>
      </c>
      <c r="W39" s="1568">
        <f t="shared" si="12"/>
        <v>100</v>
      </c>
      <c r="X39" s="1561"/>
      <c r="Y39" s="3738" t="s">
        <v>602</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38"/>
      <c r="Q40" s="1566">
        <f t="shared" si="14"/>
        <v>111</v>
      </c>
      <c r="R40" s="1567" t="s">
        <v>8</v>
      </c>
      <c r="S40" s="1568">
        <f t="shared" si="10"/>
        <v>100</v>
      </c>
      <c r="T40" s="1567" t="s">
        <v>8</v>
      </c>
      <c r="U40" s="1568">
        <f t="shared" si="11"/>
        <v>100</v>
      </c>
      <c r="V40" s="1567" t="s">
        <v>8</v>
      </c>
      <c r="W40" s="1568">
        <f t="shared" si="12"/>
        <v>100</v>
      </c>
      <c r="X40" s="1561"/>
      <c r="Y40" s="3738"/>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38"/>
      <c r="Q41" s="1566">
        <f t="shared" si="14"/>
        <v>111</v>
      </c>
      <c r="R41" s="1567" t="s">
        <v>8</v>
      </c>
      <c r="S41" s="1568">
        <f t="shared" si="10"/>
        <v>100</v>
      </c>
      <c r="T41" s="1567" t="s">
        <v>8</v>
      </c>
      <c r="U41" s="1568">
        <f t="shared" si="11"/>
        <v>100</v>
      </c>
      <c r="V41" s="1567" t="s">
        <v>8</v>
      </c>
      <c r="W41" s="1568">
        <f t="shared" si="12"/>
        <v>100</v>
      </c>
      <c r="X41" s="1561"/>
      <c r="Y41" s="3738"/>
      <c r="Z41" s="1569">
        <f t="shared" si="13"/>
        <v>111</v>
      </c>
      <c r="AA41" s="1570">
        <f t="shared" si="3"/>
        <v>1</v>
      </c>
      <c r="AB41" s="1570">
        <f t="shared" si="4"/>
        <v>1</v>
      </c>
      <c r="AC41" s="1570">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38"/>
      <c r="Q42" s="1566">
        <f t="shared" si="14"/>
        <v>111</v>
      </c>
      <c r="R42" s="1571" t="s">
        <v>8</v>
      </c>
      <c r="S42" s="1572">
        <f t="shared" si="10"/>
        <v>100</v>
      </c>
      <c r="T42" s="1571" t="s">
        <v>8</v>
      </c>
      <c r="U42" s="1572">
        <f t="shared" si="11"/>
        <v>100</v>
      </c>
      <c r="V42" s="1571" t="s">
        <v>8</v>
      </c>
      <c r="W42" s="1572">
        <f t="shared" si="12"/>
        <v>100</v>
      </c>
      <c r="X42" s="1573"/>
      <c r="Y42" s="3738"/>
      <c r="Z42" s="1574">
        <f t="shared" si="13"/>
        <v>111</v>
      </c>
      <c r="AA42" s="1570">
        <f t="shared" si="3"/>
        <v>1</v>
      </c>
      <c r="AB42" s="1570">
        <f t="shared" si="4"/>
        <v>1</v>
      </c>
      <c r="AC42" s="1570">
        <f t="shared" si="5"/>
        <v>1</v>
      </c>
    </row>
    <row r="43" spans="1:29" ht="15">
      <c r="A43" s="603" t="s">
        <v>557</v>
      </c>
      <c r="B43" s="604" t="s">
        <v>2937</v>
      </c>
      <c r="C43" s="605" t="s">
        <v>1</v>
      </c>
      <c r="D43" s="606"/>
      <c r="E43" s="607"/>
      <c r="F43" s="608"/>
      <c r="G43" s="609"/>
      <c r="H43" s="610"/>
      <c r="I43" s="607"/>
      <c r="J43" s="610"/>
      <c r="K43" s="1336"/>
      <c r="L43" s="2139"/>
      <c r="M43" s="2129"/>
      <c r="N43" s="2129"/>
      <c r="O43" s="2140"/>
      <c r="P43" s="3701" t="str">
        <f>A43</f>
        <v>成交单价</v>
      </c>
      <c r="Q43" s="3701"/>
      <c r="R43" s="3702">
        <f>E43</f>
        <v>0</v>
      </c>
      <c r="S43" s="3702"/>
      <c r="T43" s="3702">
        <f>G43</f>
        <v>0</v>
      </c>
      <c r="U43" s="3702"/>
      <c r="V43" s="3702">
        <f>I43</f>
        <v>0</v>
      </c>
      <c r="W43" s="3702"/>
      <c r="X43" s="1553"/>
      <c r="Y43" s="1575"/>
      <c r="Z43" s="1553"/>
      <c r="AA43" s="1553"/>
      <c r="AB43" s="1553"/>
      <c r="AC43" s="1553"/>
    </row>
    <row r="44" spans="1:29" ht="15.75" thickBot="1">
      <c r="A44" s="611" t="s">
        <v>2700</v>
      </c>
      <c r="B44" s="612"/>
      <c r="C44" s="613" t="e">
        <f>R45</f>
        <v>#DIV/0!</v>
      </c>
      <c r="D44" s="614"/>
      <c r="E44" s="613" t="e">
        <f>R44</f>
        <v>#DIV/0!</v>
      </c>
      <c r="F44" s="615"/>
      <c r="G44" s="616" t="e">
        <f>T44</f>
        <v>#DIV/0!</v>
      </c>
      <c r="H44" s="614"/>
      <c r="I44" s="613" t="e">
        <f>V44</f>
        <v>#DIV/0!</v>
      </c>
      <c r="J44" s="614"/>
      <c r="K44" s="1337"/>
      <c r="L44" s="2139"/>
      <c r="M44" s="2129"/>
      <c r="N44" s="2129"/>
      <c r="O44" s="2140"/>
      <c r="P44" s="3701" t="str">
        <f>A44</f>
        <v>比较价格（元/平方米）</v>
      </c>
      <c r="Q44" s="3701"/>
      <c r="R44" s="3703" t="e">
        <f>ROUND(PRODUCT(R43,AA9:AA42),0)</f>
        <v>#DIV/0!</v>
      </c>
      <c r="S44" s="3703"/>
      <c r="T44" s="3703" t="e">
        <f>ROUND(PRODUCT(T43,AB9:AB42),0)</f>
        <v>#DIV/0!</v>
      </c>
      <c r="U44" s="3703"/>
      <c r="V44" s="3703" t="e">
        <f>ROUND(PRODUCT(V43,AC9:AC42),0)</f>
        <v>#DIV/0!</v>
      </c>
      <c r="W44" s="3703"/>
      <c r="X44" s="1553"/>
      <c r="Y44" s="1553"/>
      <c r="Z44" s="1553"/>
      <c r="AA44" s="1553"/>
      <c r="AB44" s="1553"/>
      <c r="AC44" s="1553"/>
    </row>
    <row r="45" spans="1:29" ht="15.75" thickBot="1">
      <c r="A45" s="617" t="s">
        <v>2938</v>
      </c>
      <c r="B45" s="618"/>
      <c r="C45" s="619" t="e">
        <f>R45</f>
        <v>#DIV/0!</v>
      </c>
      <c r="D45" s="619"/>
      <c r="E45" s="619"/>
      <c r="F45" s="619"/>
      <c r="G45" s="619"/>
      <c r="H45" s="619"/>
      <c r="I45" s="619"/>
      <c r="J45" s="619"/>
      <c r="K45" s="1338"/>
      <c r="L45" s="2139"/>
      <c r="M45" s="2129"/>
      <c r="N45" s="2129"/>
      <c r="O45" s="2140"/>
      <c r="P45" s="3698" t="str">
        <f>A45</f>
        <v>估价对象XX用房的比较价格（楼面单价，元/平方米）</v>
      </c>
      <c r="Q45" s="3699"/>
      <c r="R45" s="3700" t="e">
        <f>ROUND(AVERAGE(R44:V44),0)</f>
        <v>#DIV/0!</v>
      </c>
      <c r="S45" s="3700"/>
      <c r="T45" s="3700"/>
      <c r="U45" s="3700"/>
      <c r="V45" s="3700"/>
      <c r="W45" s="3700"/>
      <c r="X45" s="1553"/>
      <c r="Y45" s="1553"/>
      <c r="Z45" s="1553"/>
      <c r="AA45" s="1553"/>
      <c r="AB45" s="1553"/>
      <c r="AC45" s="1553"/>
    </row>
    <row r="46" spans="1:29">
      <c r="A46" s="2140"/>
      <c r="B46" s="2140"/>
      <c r="C46" s="2140"/>
      <c r="D46" s="2140"/>
      <c r="E46" s="2140"/>
      <c r="F46" s="2140"/>
      <c r="G46" s="2143"/>
      <c r="H46" s="2140"/>
      <c r="I46" s="2140"/>
      <c r="J46" s="2140"/>
      <c r="K46" s="2144"/>
      <c r="L46" s="2145"/>
      <c r="M46" s="2129"/>
      <c r="N46" s="2129"/>
      <c r="O46" s="2140"/>
      <c r="P46" s="1553"/>
      <c r="Q46" s="1553"/>
      <c r="R46" s="1553"/>
      <c r="S46" s="1553"/>
      <c r="T46" s="1553"/>
      <c r="U46" s="1553"/>
      <c r="V46" s="1553"/>
      <c r="W46" s="1553"/>
      <c r="X46" s="1553"/>
      <c r="Y46" s="1553"/>
      <c r="Z46" s="1553"/>
      <c r="AA46" s="1553"/>
      <c r="AB46" s="1553"/>
      <c r="AC46" s="1553"/>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1"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1"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4" t="s">
        <v>1726</v>
      </c>
      <c r="D52" s="2222" t="s">
        <v>2297</v>
      </c>
      <c r="E52" s="627" t="s">
        <v>563</v>
      </c>
      <c r="F52" s="1946" t="s">
        <v>564</v>
      </c>
      <c r="G52" s="3745" t="s">
        <v>2288</v>
      </c>
      <c r="H52" s="3746"/>
      <c r="I52" s="1947" t="s">
        <v>1949</v>
      </c>
      <c r="J52" s="1549">
        <f>项目基本情况!F41</f>
        <v>0</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2" customFormat="1" ht="12.75">
      <c r="A53" s="629" t="s">
        <v>565</v>
      </c>
      <c r="B53" s="630" t="e">
        <f>C45</f>
        <v>#DIV/0!</v>
      </c>
      <c r="C53" s="631">
        <v>1</v>
      </c>
      <c r="D53" s="2223">
        <v>1</v>
      </c>
      <c r="E53" s="631">
        <f>'数据-汇总表'!E8+'数据-汇总表'!E9</f>
        <v>102416.5</v>
      </c>
      <c r="F53" s="1945" t="e">
        <f t="shared" ref="F53:F62" si="15">ROUND(B53*E53/10000,0)</f>
        <v>#DIV/0!</v>
      </c>
      <c r="G53" s="3747"/>
      <c r="H53" s="3748"/>
      <c r="I53" s="1948">
        <v>1</v>
      </c>
      <c r="J53" s="1550">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2" customFormat="1" ht="12.75">
      <c r="A54" s="633" t="s">
        <v>566</v>
      </c>
      <c r="B54" s="634" t="e">
        <f>ROUND($C$45*C54*D54,0)</f>
        <v>#DIV/0!</v>
      </c>
      <c r="C54" s="374">
        <f t="shared" ref="C54:C62" si="16">IF($C$52="北京市系数",I54,J54)</f>
        <v>0.7</v>
      </c>
      <c r="D54" s="2224">
        <v>0.25</v>
      </c>
      <c r="E54" s="635"/>
      <c r="F54" s="1945" t="e">
        <f t="shared" si="15"/>
        <v>#DIV/0!</v>
      </c>
      <c r="G54" s="3749" t="s">
        <v>2289</v>
      </c>
      <c r="H54" s="1949" t="str">
        <f>项目基本情况!B43</f>
        <v>六级</v>
      </c>
      <c r="I54" s="1948">
        <f>SUMIF(修正!$A$45:$A$56,H54,修正!B45:B56)</f>
        <v>0.7</v>
      </c>
      <c r="J54" s="1552"/>
      <c r="K54" s="2150"/>
      <c r="L54" s="2150"/>
      <c r="M54" s="2150"/>
      <c r="N54" s="2150"/>
      <c r="O54" s="2150"/>
      <c r="P54" s="2150"/>
      <c r="Q54" s="2150"/>
      <c r="R54" s="2150"/>
      <c r="S54" s="2150"/>
      <c r="T54" s="2150"/>
      <c r="U54" s="2150"/>
      <c r="V54" s="2150"/>
      <c r="W54" s="2150"/>
      <c r="X54" s="2150"/>
      <c r="Y54" s="2150"/>
      <c r="Z54" s="2150"/>
      <c r="AA54" s="2150"/>
      <c r="AB54" s="2150"/>
      <c r="AC54" s="2150"/>
    </row>
    <row r="55" spans="1:29" s="1342" customFormat="1" ht="12.75">
      <c r="A55" s="633" t="s">
        <v>567</v>
      </c>
      <c r="B55" s="634" t="e">
        <f t="shared" ref="B55:B62" si="17">ROUND($C$45*C55*D55,0)</f>
        <v>#DIV/0!</v>
      </c>
      <c r="C55" s="374">
        <f t="shared" si="16"/>
        <v>0.4</v>
      </c>
      <c r="D55" s="2224">
        <v>0.25</v>
      </c>
      <c r="E55" s="635"/>
      <c r="F55" s="1945" t="e">
        <f t="shared" si="15"/>
        <v>#DIV/0!</v>
      </c>
      <c r="G55" s="3749"/>
      <c r="H55" s="1950" t="str">
        <f>项目基本情况!B43</f>
        <v>六级</v>
      </c>
      <c r="I55" s="1948">
        <f>SUMIF(修正!$A$45:$A$56,H55,修正!C45:C56)</f>
        <v>0.4</v>
      </c>
      <c r="J55" s="1552"/>
      <c r="K55" s="2150"/>
      <c r="L55" s="2150"/>
      <c r="M55" s="2150"/>
      <c r="N55" s="2150"/>
      <c r="O55" s="2150"/>
      <c r="P55" s="2150"/>
      <c r="Q55" s="2150"/>
      <c r="R55" s="2150"/>
      <c r="S55" s="2150"/>
      <c r="T55" s="2150"/>
      <c r="U55" s="2150"/>
      <c r="V55" s="2150"/>
      <c r="W55" s="2150"/>
      <c r="X55" s="2150"/>
      <c r="Y55" s="2150"/>
      <c r="Z55" s="2150"/>
      <c r="AA55" s="2150"/>
      <c r="AB55" s="2150"/>
      <c r="AC55" s="2150"/>
    </row>
    <row r="56" spans="1:29" s="1342" customFormat="1" ht="12.75">
      <c r="A56" s="633" t="s">
        <v>568</v>
      </c>
      <c r="B56" s="634" t="e">
        <f t="shared" si="17"/>
        <v>#DIV/0!</v>
      </c>
      <c r="C56" s="374">
        <f t="shared" si="16"/>
        <v>0.28000000000000003</v>
      </c>
      <c r="D56" s="2224">
        <v>0.25</v>
      </c>
      <c r="E56" s="635"/>
      <c r="F56" s="1945" t="e">
        <f t="shared" si="15"/>
        <v>#DIV/0!</v>
      </c>
      <c r="G56" s="3749"/>
      <c r="H56" s="1950" t="str">
        <f>项目基本情况!B43</f>
        <v>六级</v>
      </c>
      <c r="I56" s="1948">
        <f>SUMIF(修正!$A$45:$A$56,H56,修正!D45:D56)</f>
        <v>0.28000000000000003</v>
      </c>
      <c r="J56" s="1552"/>
      <c r="K56" s="2150"/>
      <c r="L56" s="2150"/>
      <c r="M56" s="2150"/>
      <c r="N56" s="2150"/>
      <c r="O56" s="2150"/>
      <c r="P56" s="2150"/>
      <c r="Q56" s="2150"/>
      <c r="R56" s="2150"/>
      <c r="S56" s="2150"/>
      <c r="T56" s="2150"/>
      <c r="U56" s="2150"/>
      <c r="V56" s="2150"/>
      <c r="W56" s="2150"/>
      <c r="X56" s="2150"/>
      <c r="Y56" s="2150"/>
      <c r="Z56" s="2150"/>
      <c r="AA56" s="2150"/>
      <c r="AB56" s="2150"/>
      <c r="AC56" s="2150"/>
    </row>
    <row r="57" spans="1:29" s="1342" customFormat="1" ht="12.75">
      <c r="A57" s="633" t="s">
        <v>569</v>
      </c>
      <c r="B57" s="634" t="e">
        <f t="shared" si="17"/>
        <v>#DIV/0!</v>
      </c>
      <c r="C57" s="374">
        <f t="shared" si="16"/>
        <v>0.25</v>
      </c>
      <c r="D57" s="2224">
        <v>0.25</v>
      </c>
      <c r="E57" s="635"/>
      <c r="F57" s="1945" t="e">
        <f t="shared" si="15"/>
        <v>#DIV/0!</v>
      </c>
      <c r="G57" s="3749"/>
      <c r="H57" s="1950" t="str">
        <f>项目基本情况!B43</f>
        <v>六级</v>
      </c>
      <c r="I57" s="1948">
        <f>SUMIF(修正!$A$45:$A$56,H57,修正!E45:E56)</f>
        <v>0.25</v>
      </c>
      <c r="J57" s="1552"/>
      <c r="K57" s="2150"/>
      <c r="L57" s="2150"/>
      <c r="M57" s="2150"/>
      <c r="N57" s="2150"/>
      <c r="O57" s="2150"/>
      <c r="P57" s="2150"/>
      <c r="Q57" s="2150"/>
      <c r="R57" s="2150"/>
      <c r="S57" s="2150"/>
      <c r="T57" s="2150"/>
      <c r="U57" s="2150"/>
      <c r="V57" s="2150"/>
      <c r="W57" s="2150"/>
      <c r="X57" s="2150"/>
      <c r="Y57" s="2150"/>
      <c r="Z57" s="2150"/>
      <c r="AA57" s="2150"/>
      <c r="AB57" s="2150"/>
      <c r="AC57" s="2150"/>
    </row>
    <row r="58" spans="1:29" s="1342" customFormat="1" ht="12.75">
      <c r="A58" s="2326" t="s">
        <v>2332</v>
      </c>
      <c r="B58" s="634" t="e">
        <f t="shared" si="17"/>
        <v>#DIV/0!</v>
      </c>
      <c r="C58" s="374">
        <f t="shared" si="16"/>
        <v>0.25</v>
      </c>
      <c r="D58" s="2224">
        <v>0.25</v>
      </c>
      <c r="E58" s="637">
        <f>'数据-汇总表'!E11</f>
        <v>50</v>
      </c>
      <c r="F58" s="1945" t="e">
        <f t="shared" si="15"/>
        <v>#DIV/0!</v>
      </c>
      <c r="G58" s="1951" t="s">
        <v>2290</v>
      </c>
      <c r="H58" s="1950" t="str">
        <f>项目基本情况!C43</f>
        <v>六级</v>
      </c>
      <c r="I58" s="1948">
        <f>SUMIF(修正!$A$45:$A$56,H58,修正!F45:F56)</f>
        <v>0.25</v>
      </c>
      <c r="J58" s="1552"/>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570</v>
      </c>
      <c r="B59" s="634" t="e">
        <f t="shared" si="17"/>
        <v>#DIV/0!</v>
      </c>
      <c r="C59" s="374">
        <f t="shared" si="16"/>
        <v>0.25</v>
      </c>
      <c r="D59" s="2224">
        <v>0.25</v>
      </c>
      <c r="E59" s="637">
        <f>'数据-汇总表'!E12</f>
        <v>6425.8</v>
      </c>
      <c r="F59" s="1945" t="e">
        <f t="shared" si="15"/>
        <v>#DIV/0!</v>
      </c>
      <c r="G59" s="1941" t="s">
        <v>1679</v>
      </c>
      <c r="H59" s="1949" t="str">
        <f>IF(G59="商业",项目基本情况!B43,IF(G59="办公",项目基本情况!C43,IF(G59="住宅",项目基本情况!D43,项目基本情况!E43)))</f>
        <v>六级</v>
      </c>
      <c r="I59" s="1948">
        <f>SUMIF(修正!$A$45:$A$56,H59,修正!G45:G56)</f>
        <v>0.25</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571</v>
      </c>
      <c r="B60" s="634" t="e">
        <f t="shared" si="17"/>
        <v>#DIV/0!</v>
      </c>
      <c r="C60" s="374">
        <f t="shared" si="16"/>
        <v>0.2</v>
      </c>
      <c r="D60" s="2224">
        <v>0.25</v>
      </c>
      <c r="E60" s="637">
        <f>'数据-汇总表'!E13</f>
        <v>38124.199999999997</v>
      </c>
      <c r="F60" s="1945" t="e">
        <f t="shared" si="15"/>
        <v>#DIV/0!</v>
      </c>
      <c r="G60" s="1941" t="s">
        <v>924</v>
      </c>
      <c r="H60" s="1949" t="str">
        <f>IF(G60="商业",项目基本情况!B43,IF(G60="办公",项目基本情况!C43,IF(G60="住宅",项目基本情况!D43,项目基本情况!E43)))</f>
        <v>六级</v>
      </c>
      <c r="I60" s="1948">
        <f>SUMIF(修正!$A$45:$A$56,H60,修正!H45:H56)</f>
        <v>0.2</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572</v>
      </c>
      <c r="B61" s="634" t="e">
        <f t="shared" si="17"/>
        <v>#DIV/0!</v>
      </c>
      <c r="C61" s="374">
        <f t="shared" si="16"/>
        <v>0.2</v>
      </c>
      <c r="D61" s="2224">
        <v>0.25</v>
      </c>
      <c r="E61" s="637">
        <f>'数据-汇总表'!E14</f>
        <v>0</v>
      </c>
      <c r="F61" s="1945" t="e">
        <f t="shared" si="15"/>
        <v>#DIV/0!</v>
      </c>
      <c r="G61" s="1951" t="s">
        <v>2289</v>
      </c>
      <c r="H61" s="1950" t="str">
        <f>项目基本情况!B43</f>
        <v>六级</v>
      </c>
      <c r="I61" s="1948">
        <f>SUMIF(修正!$A$45:$A$56,H61,修正!H45:H56)</f>
        <v>0.2</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3.5" thickBot="1">
      <c r="A62" s="633" t="s">
        <v>573</v>
      </c>
      <c r="B62" s="634" t="e">
        <f t="shared" si="17"/>
        <v>#DIV/0!</v>
      </c>
      <c r="C62" s="374">
        <f t="shared" si="16"/>
        <v>0.2</v>
      </c>
      <c r="D62" s="2224">
        <v>0.25</v>
      </c>
      <c r="E62" s="637">
        <f>'数据-汇总表'!E15</f>
        <v>0</v>
      </c>
      <c r="F62" s="1945" t="e">
        <f t="shared" si="15"/>
        <v>#DIV/0!</v>
      </c>
      <c r="G62" s="1952" t="s">
        <v>2290</v>
      </c>
      <c r="H62" s="1953" t="str">
        <f>项目基本情况!C43</f>
        <v>六级</v>
      </c>
      <c r="I62" s="1948">
        <f>SUMIF(修正!$A$45:$A$56,H62,修正!H45:H56)</f>
        <v>0.2</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3.5" thickBot="1">
      <c r="A63" s="638" t="s">
        <v>574</v>
      </c>
      <c r="B63" s="639" t="s">
        <v>17</v>
      </c>
      <c r="C63" s="639" t="s">
        <v>18</v>
      </c>
      <c r="D63" s="639" t="s">
        <v>2298</v>
      </c>
      <c r="E63" s="639">
        <f>IF(B43="楼面地价",SUM(E53:E62),'数据-汇总表'!D3)</f>
        <v>57230.39</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2018-2-1</v>
      </c>
      <c r="D65" s="2819">
        <f>EDATE(C65,-3)</f>
        <v>43040</v>
      </c>
      <c r="E65" s="2819">
        <f t="shared" ref="E65:N65" si="18">EDATE(D65,-3)</f>
        <v>42948</v>
      </c>
      <c r="F65" s="2819">
        <f t="shared" si="18"/>
        <v>42856</v>
      </c>
      <c r="G65" s="2819">
        <f t="shared" si="18"/>
        <v>42767</v>
      </c>
      <c r="H65" s="2819">
        <f t="shared" si="18"/>
        <v>42675</v>
      </c>
      <c r="I65" s="2819">
        <f t="shared" si="18"/>
        <v>42583</v>
      </c>
      <c r="J65" s="2819">
        <f t="shared" si="18"/>
        <v>42491</v>
      </c>
      <c r="K65" s="2819">
        <f t="shared" si="18"/>
        <v>42401</v>
      </c>
      <c r="L65" s="2819">
        <f t="shared" si="18"/>
        <v>42309</v>
      </c>
      <c r="M65" s="2819">
        <f t="shared" si="18"/>
        <v>42217</v>
      </c>
      <c r="N65" s="2819">
        <f t="shared" si="18"/>
        <v>42125</v>
      </c>
      <c r="O65" s="2140"/>
      <c r="P65" s="2140"/>
      <c r="Q65" s="2140"/>
      <c r="R65" s="2140"/>
      <c r="S65" s="2140"/>
      <c r="T65" s="2140"/>
      <c r="U65" s="2140"/>
      <c r="V65" s="2140"/>
      <c r="W65" s="2140"/>
      <c r="X65" s="2140"/>
      <c r="Y65" s="2140"/>
      <c r="Z65" s="2140"/>
      <c r="AA65" s="2140"/>
      <c r="AB65" s="2140"/>
      <c r="AC65" s="2140"/>
    </row>
    <row r="66" spans="1:29" ht="21.75" thickBot="1">
      <c r="A66" s="1578" t="s">
        <v>575</v>
      </c>
      <c r="B66" s="1553"/>
      <c r="C66" s="1577"/>
      <c r="D66" s="1577"/>
      <c r="E66" s="1577"/>
      <c r="F66" s="1579"/>
      <c r="G66" s="1579"/>
      <c r="H66" s="1577"/>
      <c r="I66" s="1577"/>
      <c r="J66" s="1577"/>
      <c r="K66" s="1580"/>
      <c r="L66" s="1576"/>
      <c r="M66" s="1577"/>
      <c r="N66" s="1577"/>
      <c r="O66" s="2152"/>
      <c r="P66" s="2152"/>
      <c r="Q66" s="2153"/>
      <c r="R66" s="2140"/>
      <c r="S66" s="2140"/>
      <c r="T66" s="2140"/>
      <c r="U66" s="2140"/>
      <c r="V66" s="2140"/>
      <c r="W66" s="2140"/>
      <c r="X66" s="2140"/>
      <c r="Y66" s="2140"/>
      <c r="Z66" s="2140"/>
      <c r="AA66" s="2140"/>
      <c r="AB66" s="2140"/>
      <c r="AC66" s="2140"/>
    </row>
    <row r="67" spans="1:29" s="1343" customFormat="1" ht="15">
      <c r="A67" s="2587" t="s">
        <v>2540</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6" customFormat="1" ht="27.75" customHeight="1">
      <c r="A68" s="2818" t="s">
        <v>2656</v>
      </c>
      <c r="B68" s="475" t="str">
        <f>"北京市平均增长率"&amp;TEXT(基准地价!P24,"0.00%")</f>
        <v>北京市平均增长率1.31%</v>
      </c>
      <c r="C68" s="890">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6" customFormat="1" ht="15.75" thickBot="1">
      <c r="A69" s="649" t="s">
        <v>576</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6"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6"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5"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5"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5"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5"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5"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5"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6"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6"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5" customFormat="1" ht="15.75" thickTop="1">
      <c r="A93" s="683"/>
      <c r="B93" s="1891" t="s">
        <v>2555</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5" customFormat="1" ht="15.75" thickTop="1">
      <c r="A95" s="683"/>
      <c r="B95" s="2616" t="s">
        <v>2557</v>
      </c>
      <c r="C95" s="2617" t="s">
        <v>2558</v>
      </c>
      <c r="D95" s="2617" t="s">
        <v>2559</v>
      </c>
      <c r="E95" s="2617" t="s">
        <v>2560</v>
      </c>
      <c r="F95" s="2617" t="s">
        <v>2561</v>
      </c>
      <c r="G95" s="2617" t="s">
        <v>2562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5"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5"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0" t="str">
        <f t="shared" si="25"/>
        <v>(含)-</v>
      </c>
      <c r="L109" s="3111" t="str">
        <f t="shared" si="25"/>
        <v>(含)-</v>
      </c>
      <c r="M109" s="3112"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5" customFormat="1" ht="15" thickTop="1">
      <c r="A114" s="724"/>
      <c r="B114" s="1891" t="s">
        <v>2430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5"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5"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1696</v>
      </c>
      <c r="B1" s="1394"/>
      <c r="C1" s="1400" t="s">
        <v>2431</v>
      </c>
      <c r="D1" s="1515">
        <f>SUM(D29:D30,D33:D39)</f>
        <v>0</v>
      </c>
      <c r="E1" s="1400" t="s">
        <v>2432</v>
      </c>
      <c r="F1" s="2471"/>
      <c r="G1" s="1395"/>
      <c r="H1" s="1395"/>
      <c r="I1" s="1395"/>
      <c r="J1" s="1395"/>
      <c r="K1" s="1395"/>
      <c r="L1" s="1877" t="s">
        <v>2242</v>
      </c>
      <c r="M1" s="1878">
        <f>SUMPRODUCT((区片价!B5:B9=I2)*(区片价!C3:F3=E2)*(区片价!C5:F9))</f>
        <v>0</v>
      </c>
      <c r="N1" s="1879">
        <f>SUMPRODUCT((因素修正幅度!B5:B9=I2)*(因素修正幅度!C3:F3=E2)*(因素修正幅度!C5:F9))</f>
        <v>0</v>
      </c>
      <c r="O1" s="2184"/>
      <c r="P1" s="2184"/>
      <c r="Q1" s="2184"/>
      <c r="R1" s="2956" t="s">
        <v>2769</v>
      </c>
      <c r="S1" s="2956" t="s">
        <v>2770</v>
      </c>
      <c r="T1" s="2956" t="s">
        <v>2791</v>
      </c>
      <c r="U1" s="2956" t="s">
        <v>2792</v>
      </c>
      <c r="V1" s="2956" t="s">
        <v>2793</v>
      </c>
      <c r="W1" s="2184"/>
      <c r="X1" s="2184"/>
      <c r="Y1" s="2184"/>
      <c r="Z1" s="2184"/>
      <c r="AA1" s="2184"/>
      <c r="AB1" s="2184"/>
      <c r="AC1" s="2185"/>
    </row>
    <row r="2" spans="1:39" ht="15.75">
      <c r="A2" s="1400" t="s">
        <v>921</v>
      </c>
      <c r="B2" s="1034" t="e">
        <f>C26</f>
        <v>#DIV/0!</v>
      </c>
      <c r="C2" s="1401" t="s">
        <v>922</v>
      </c>
      <c r="D2" s="1402" t="s">
        <v>923</v>
      </c>
      <c r="E2" s="1403"/>
      <c r="F2" s="1402" t="s">
        <v>925</v>
      </c>
      <c r="G2" s="1646">
        <f>IF(E2="商业",项目基本情况!B43,IF(E2="办公",项目基本情况!C43,IF(E2="住宅",项目基本情况!D43,项目基本情况!E43)))</f>
        <v>0</v>
      </c>
      <c r="H2" s="1402" t="s">
        <v>927</v>
      </c>
      <c r="I2" s="1647">
        <f>IF(E2="商业",项目基本情况!B44,IF(E2="办公",项目基本情况!C44,IF(E2="住宅",项目基本情况!D44,项目基本情况!E44)))</f>
        <v>0</v>
      </c>
      <c r="J2" s="1404"/>
      <c r="K2" s="1395"/>
      <c r="L2" s="1880" t="s">
        <v>2243</v>
      </c>
      <c r="M2" s="1881">
        <f>SUMPRODUCT((区片价!B10:B28=I2)*(区片价!C3:F3=E2)*(区片价!C10:F28))</f>
        <v>0</v>
      </c>
      <c r="N2" s="1882">
        <f>SUMPRODUCT((因素修正幅度!B10:B28=I2)*(因素修正幅度!C3:F3=E2)*(因素修正幅度!C10:F28))</f>
        <v>0</v>
      </c>
      <c r="O2" s="2184"/>
      <c r="P2" s="2184"/>
      <c r="Q2" s="2184"/>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4"/>
      <c r="X2" s="2184"/>
      <c r="Y2" s="2184"/>
      <c r="Z2" s="2184"/>
      <c r="AA2" s="2184"/>
      <c r="AB2" s="2184"/>
      <c r="AC2" s="2185"/>
    </row>
    <row r="3" spans="1:39" ht="15.75">
      <c r="A3" s="1405" t="s">
        <v>1689</v>
      </c>
      <c r="B3" s="1034" t="e">
        <f>ROUND(B2*10000/D1,0)</f>
        <v>#DIV/0!</v>
      </c>
      <c r="C3" s="1401" t="s">
        <v>928</v>
      </c>
      <c r="D3" s="1402" t="s">
        <v>929</v>
      </c>
      <c r="E3" s="1406"/>
      <c r="F3" s="1407" t="s">
        <v>2939</v>
      </c>
      <c r="G3" s="1035">
        <f>IF(F3="宗地容积率",'数据-汇总表'!I4,IF(F3="估价对象容积率",'数据-汇总表'!I6,'数据-汇总表'!I7))</f>
        <v>1.7</v>
      </c>
      <c r="H3" s="1408" t="s">
        <v>930</v>
      </c>
      <c r="I3" s="1036">
        <v>8</v>
      </c>
      <c r="J3" s="1404" t="s">
        <v>931</v>
      </c>
      <c r="K3" s="1395"/>
      <c r="L3" s="1880" t="s">
        <v>2244</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4"/>
      <c r="X3" s="2184"/>
      <c r="Y3" s="2184"/>
      <c r="Z3" s="2184"/>
      <c r="AA3" s="2184"/>
      <c r="AB3" s="2184"/>
      <c r="AC3" s="2185"/>
    </row>
    <row r="4" spans="1:39" ht="28.5">
      <c r="A4" s="1886" t="s">
        <v>2284</v>
      </c>
      <c r="B4" s="2472" t="e">
        <f>ROUND(B2*10000/F1,0)</f>
        <v>#DIV/0!</v>
      </c>
      <c r="C4" s="1889" t="s">
        <v>2258</v>
      </c>
      <c r="D4" s="1889" t="e">
        <f>ROUND(B2/(F1/666.67),0)</f>
        <v>#DIV/0!</v>
      </c>
      <c r="E4" s="1889" t="s">
        <v>2259</v>
      </c>
      <c r="F4" s="1887"/>
      <c r="G4" s="1887"/>
      <c r="H4" s="1887"/>
      <c r="I4" s="1887"/>
      <c r="J4" s="1888"/>
      <c r="K4" s="1395"/>
      <c r="L4" s="1880" t="s">
        <v>2245</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0</v>
      </c>
      <c r="T4" s="2957" t="e">
        <f t="shared" si="0"/>
        <v>#DIV/0!</v>
      </c>
      <c r="U4" s="2946"/>
      <c r="V4" s="2957" t="e">
        <f t="shared" si="1"/>
        <v>#DIV/0!</v>
      </c>
      <c r="W4" s="2184"/>
      <c r="X4" s="2184"/>
      <c r="Y4" s="2184"/>
      <c r="Z4" s="2184"/>
      <c r="AA4" s="2184"/>
      <c r="AB4" s="2184"/>
      <c r="AC4" s="2185"/>
    </row>
    <row r="5" spans="1:39" s="1415" customFormat="1" ht="15.75" thickBot="1">
      <c r="A5" s="1632" t="s">
        <v>1825</v>
      </c>
      <c r="B5" s="1409" t="s">
        <v>932</v>
      </c>
      <c r="C5" s="1037" t="e">
        <f>ROUND(IF(E2="商业",IF(F16="增加",C6*C7+C16,C6*C7-C16),IF(E2="住宅",IF(F16="增加",C6*C12+C16,C6*C12-C16),IF(F16="增加",C6+C16,C6-C16))),0)</f>
        <v>#DIV/0!</v>
      </c>
      <c r="D5" s="3142">
        <f>ROUND(IF(E2="商业",IF(F16="增加",C6+C16,C6-C16)),0)</f>
        <v>0</v>
      </c>
      <c r="E5" s="1410"/>
      <c r="F5" s="1410"/>
      <c r="G5" s="1411"/>
      <c r="H5" s="1411"/>
      <c r="I5" s="1411"/>
      <c r="J5" s="1412"/>
      <c r="K5" s="1588"/>
      <c r="L5" s="1880" t="s">
        <v>2246</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v>
      </c>
      <c r="T5" s="2957" t="e">
        <f t="shared" si="0"/>
        <v>#DIV/0!</v>
      </c>
      <c r="U5" s="2946"/>
      <c r="V5" s="2957" t="e">
        <f t="shared" si="1"/>
        <v>#DIV/0!</v>
      </c>
      <c r="W5" s="2184"/>
      <c r="X5" s="2184"/>
      <c r="Y5" s="2184"/>
      <c r="Z5" s="2184"/>
      <c r="AA5" s="2184"/>
      <c r="AB5" s="2184"/>
      <c r="AC5" s="2186"/>
      <c r="AD5" s="1413"/>
      <c r="AE5" s="1413"/>
      <c r="AF5" s="1413"/>
      <c r="AG5" s="1413"/>
      <c r="AH5" s="1413"/>
      <c r="AI5" s="1413"/>
      <c r="AJ5" s="1414"/>
      <c r="AK5" s="1414"/>
      <c r="AL5" s="1414"/>
      <c r="AM5" s="1414"/>
    </row>
    <row r="6" spans="1:39" ht="15.75" thickBot="1">
      <c r="A6" s="1633" t="s">
        <v>1872</v>
      </c>
      <c r="B6" s="1416" t="s">
        <v>932</v>
      </c>
      <c r="C6" s="1038">
        <f>SUMIF(L1:L12,基准地价!G2,M1:M12)</f>
        <v>0</v>
      </c>
      <c r="D6" s="1417" t="s">
        <v>1697</v>
      </c>
      <c r="E6" s="1418"/>
      <c r="F6" s="1418"/>
      <c r="G6" s="1419"/>
      <c r="H6" s="1419"/>
      <c r="I6" s="1419"/>
      <c r="J6" s="1420"/>
      <c r="K6" s="1589"/>
      <c r="L6" s="1880" t="s">
        <v>2247</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v>
      </c>
      <c r="T6" s="2957" t="e">
        <f t="shared" si="0"/>
        <v>#DIV/0!</v>
      </c>
      <c r="U6" s="2946"/>
      <c r="V6" s="2957" t="e">
        <f t="shared" si="1"/>
        <v>#DIV/0!</v>
      </c>
      <c r="W6" s="2184"/>
      <c r="X6" s="2184"/>
      <c r="Y6" s="2184"/>
      <c r="Z6" s="2184"/>
      <c r="AA6" s="2184"/>
      <c r="AB6" s="2184"/>
      <c r="AC6" s="2186"/>
      <c r="AD6" s="1413"/>
      <c r="AE6" s="1413"/>
      <c r="AF6" s="1413"/>
      <c r="AG6" s="1413"/>
      <c r="AH6" s="1413"/>
      <c r="AI6" s="1413"/>
      <c r="AJ6" s="1414"/>
    </row>
    <row r="7" spans="1:39" ht="24">
      <c r="A7" s="3759" t="str">
        <f>IF(E2="商业",IF(C8="不临58条商业街","",2),"")</f>
        <v/>
      </c>
      <c r="B7" s="1421" t="s">
        <v>933</v>
      </c>
      <c r="C7" s="1039" t="e">
        <f>IF(C8="不临58条商业街",1,ROUND(1+(1.6*E8+1.2*E9+0.8*E10+0.4*E11)*C9,4))</f>
        <v>#DIV/0!</v>
      </c>
      <c r="D7" s="1422" t="s">
        <v>934</v>
      </c>
      <c r="E7" s="1040"/>
      <c r="F7" s="1423"/>
      <c r="G7" s="1424"/>
      <c r="H7" s="1424"/>
      <c r="I7" s="1424"/>
      <c r="J7" s="1425"/>
      <c r="K7" s="1589"/>
      <c r="L7" s="1880" t="s">
        <v>2248</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2772</v>
      </c>
      <c r="X7" s="2947">
        <f>G2</f>
        <v>0</v>
      </c>
      <c r="Y7" s="2947" t="s">
        <v>2773</v>
      </c>
      <c r="Z7" s="2948">
        <f>G3</f>
        <v>1.7</v>
      </c>
      <c r="AA7" s="2187"/>
      <c r="AB7" s="2187"/>
      <c r="AC7" s="2188"/>
      <c r="AD7" s="2949"/>
      <c r="AE7" s="2949"/>
      <c r="AF7" s="2949"/>
      <c r="AG7" s="2949"/>
      <c r="AH7" s="2949"/>
      <c r="AI7" s="2949"/>
      <c r="AJ7" s="2950"/>
    </row>
    <row r="8" spans="1:39" ht="15">
      <c r="A8" s="3760"/>
      <c r="B8" s="1408" t="s">
        <v>935</v>
      </c>
      <c r="C8" s="1523"/>
      <c r="D8" s="1041" t="s">
        <v>936</v>
      </c>
      <c r="E8" s="1042" t="e">
        <f>ROUND(C11/E7,4)</f>
        <v>#DIV/0!</v>
      </c>
      <c r="F8" s="1426" t="s">
        <v>937</v>
      </c>
      <c r="G8" s="1427"/>
      <c r="H8" s="1427"/>
      <c r="I8" s="1427"/>
      <c r="J8" s="1428"/>
      <c r="K8" s="1395"/>
      <c r="L8" s="1880" t="s">
        <v>2249</v>
      </c>
      <c r="M8" s="1881">
        <f>SUMPRODUCT((区片价!B206:B244=I2)*(区片价!C3:F3=E2)*(区片价!C206:F244))</f>
        <v>0</v>
      </c>
      <c r="N8" s="1882">
        <f>SUMPRODUCT((因素修正幅度!B206:B244=I2)*(因素修正幅度!C3:F3=E2)*(因素修正幅度!C206:F244))</f>
        <v>0</v>
      </c>
      <c r="O8" s="2184"/>
      <c r="P8" s="2184"/>
      <c r="Q8" s="2184"/>
      <c r="R8" s="2957">
        <v>7</v>
      </c>
      <c r="S8" s="2946"/>
      <c r="T8" s="2957" t="e">
        <f t="shared" si="0"/>
        <v>#DIV/0!</v>
      </c>
      <c r="U8" s="2946"/>
      <c r="V8" s="2957" t="e">
        <f t="shared" si="1"/>
        <v>#DIV/0!</v>
      </c>
      <c r="W8" s="3751" t="s">
        <v>2790</v>
      </c>
      <c r="X8" s="3752"/>
      <c r="Y8" s="1844" t="s">
        <v>2774</v>
      </c>
      <c r="Z8" s="1844" t="s">
        <v>2775</v>
      </c>
      <c r="AA8" s="1844" t="s">
        <v>2776</v>
      </c>
      <c r="AB8" s="1844" t="s">
        <v>2777</v>
      </c>
      <c r="AC8" s="1844" t="s">
        <v>2778</v>
      </c>
      <c r="AD8" s="1844" t="s">
        <v>2779</v>
      </c>
      <c r="AE8" s="1844" t="s">
        <v>2780</v>
      </c>
      <c r="AF8" s="1844" t="s">
        <v>2781</v>
      </c>
      <c r="AG8" s="1844" t="s">
        <v>2782</v>
      </c>
      <c r="AH8" s="1844" t="s">
        <v>2783</v>
      </c>
      <c r="AI8" s="1844" t="s">
        <v>2784</v>
      </c>
      <c r="AJ8" s="1844" t="s">
        <v>2785</v>
      </c>
    </row>
    <row r="9" spans="1:39" ht="15">
      <c r="A9" s="3760"/>
      <c r="B9" s="1408" t="s">
        <v>938</v>
      </c>
      <c r="C9" s="1043">
        <f>SUMIF(修正!C59:C119,C8,修正!E59:E119)</f>
        <v>0</v>
      </c>
      <c r="D9" s="1044" t="s">
        <v>939</v>
      </c>
      <c r="E9" s="1044" t="e">
        <f>ROUND(C11/E7,4)</f>
        <v>#DIV/0!</v>
      </c>
      <c r="F9" s="1426" t="s">
        <v>940</v>
      </c>
      <c r="G9" s="1427"/>
      <c r="H9" s="1427"/>
      <c r="I9" s="1427"/>
      <c r="J9" s="1428"/>
      <c r="K9" s="1395"/>
      <c r="L9" s="1880" t="s">
        <v>2250</v>
      </c>
      <c r="M9" s="1881">
        <f>SUMPRODUCT((区片价!B245:B289=I2)*(区片价!C3:F3=E2)*(区片价!C245:F289))</f>
        <v>0</v>
      </c>
      <c r="N9" s="1882">
        <f>SUMPRODUCT((因素修正幅度!B245:B289=I2)*(因素修正幅度!C3:F3=E2)*(因素修正幅度!C245:F289))</f>
        <v>0</v>
      </c>
      <c r="O9" s="2184"/>
      <c r="P9" s="2184"/>
      <c r="Q9" s="2184"/>
      <c r="R9" s="2957">
        <v>8</v>
      </c>
      <c r="S9" s="2946"/>
      <c r="T9" s="2957" t="e">
        <f t="shared" si="0"/>
        <v>#DIV/0!</v>
      </c>
      <c r="U9" s="2946"/>
      <c r="V9" s="2957" t="e">
        <f t="shared" si="1"/>
        <v>#DIV/0!</v>
      </c>
      <c r="W9" s="3750" t="s">
        <v>2786</v>
      </c>
      <c r="X9" s="2951" t="s">
        <v>2787</v>
      </c>
      <c r="Y9" s="3116"/>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60"/>
      <c r="B10" s="1408" t="s">
        <v>941</v>
      </c>
      <c r="C10" s="1044">
        <f>SUMIF(修正!C59:C119,C8,修正!F59:F119)</f>
        <v>0</v>
      </c>
      <c r="D10" s="1044" t="s">
        <v>942</v>
      </c>
      <c r="E10" s="1044" t="e">
        <f>ROUND(C11/E7,4)</f>
        <v>#DIV/0!</v>
      </c>
      <c r="F10" s="1426" t="s">
        <v>943</v>
      </c>
      <c r="G10" s="1427"/>
      <c r="H10" s="1427"/>
      <c r="I10" s="1427"/>
      <c r="J10" s="1428"/>
      <c r="K10" s="1395"/>
      <c r="L10" s="1880" t="s">
        <v>2251</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t="e">
        <f t="shared" si="0"/>
        <v>#DIV/0!</v>
      </c>
      <c r="U10" s="2946"/>
      <c r="V10" s="2957" t="e">
        <f t="shared" si="1"/>
        <v>#DIV/0!</v>
      </c>
      <c r="W10" s="37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60"/>
      <c r="B11" s="1429" t="s">
        <v>944</v>
      </c>
      <c r="C11" s="1045">
        <f>C10/4</f>
        <v>0</v>
      </c>
      <c r="D11" s="1045" t="s">
        <v>945</v>
      </c>
      <c r="E11" s="1045" t="e">
        <f>ROUND(C11/E7,4)</f>
        <v>#DIV/0!</v>
      </c>
      <c r="F11" s="1430" t="s">
        <v>946</v>
      </c>
      <c r="G11" s="1431"/>
      <c r="H11" s="1431"/>
      <c r="I11" s="1431"/>
      <c r="J11" s="1432"/>
      <c r="K11" s="1395"/>
      <c r="L11" s="1880" t="s">
        <v>2252</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t="e">
        <f t="shared" si="0"/>
        <v>#DIV/0!</v>
      </c>
      <c r="U11" s="2946"/>
      <c r="V11" s="2957" t="e">
        <f t="shared" si="1"/>
        <v>#DIV/0!</v>
      </c>
      <c r="W11" s="3750" t="s">
        <v>2788</v>
      </c>
      <c r="X11" s="1044" t="s">
        <v>2773</v>
      </c>
      <c r="Y11" s="1647">
        <f>$G$3</f>
        <v>1.7</v>
      </c>
      <c r="Z11" s="1647">
        <f t="shared" ref="Z11:AJ11" si="3">$G$3</f>
        <v>1.7</v>
      </c>
      <c r="AA11" s="1647">
        <f t="shared" si="3"/>
        <v>1.7</v>
      </c>
      <c r="AB11" s="1647">
        <f t="shared" si="3"/>
        <v>1.7</v>
      </c>
      <c r="AC11" s="1647">
        <f t="shared" si="3"/>
        <v>1.7</v>
      </c>
      <c r="AD11" s="1647">
        <f t="shared" si="3"/>
        <v>1.7</v>
      </c>
      <c r="AE11" s="1647">
        <f t="shared" si="3"/>
        <v>1.7</v>
      </c>
      <c r="AF11" s="1647">
        <f t="shared" si="3"/>
        <v>1.7</v>
      </c>
      <c r="AG11" s="1647">
        <f t="shared" si="3"/>
        <v>1.7</v>
      </c>
      <c r="AH11" s="1647">
        <f t="shared" si="3"/>
        <v>1.7</v>
      </c>
      <c r="AI11" s="1647">
        <f t="shared" si="3"/>
        <v>1.7</v>
      </c>
      <c r="AJ11" s="1647">
        <f t="shared" si="3"/>
        <v>1.7</v>
      </c>
    </row>
    <row r="12" spans="1:39" ht="25.5" thickBot="1">
      <c r="A12" s="3759" t="s">
        <v>1873</v>
      </c>
      <c r="B12" s="1433" t="s">
        <v>947</v>
      </c>
      <c r="C12" s="1039">
        <f>ROUND(C15*D15*E15*F15*G15*H15*I15*J15,4)</f>
        <v>1</v>
      </c>
      <c r="D12" s="1434" t="s">
        <v>948</v>
      </c>
      <c r="E12" s="1435"/>
      <c r="F12" s="1435"/>
      <c r="G12" s="1436"/>
      <c r="H12" s="1436"/>
      <c r="I12" s="1436"/>
      <c r="J12" s="1437"/>
      <c r="K12" s="1395"/>
      <c r="L12" s="1883" t="s">
        <v>2253</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t="e">
        <f t="shared" si="0"/>
        <v>#DIV/0!</v>
      </c>
      <c r="U12" s="2946"/>
      <c r="V12" s="2957" t="e">
        <f t="shared" si="1"/>
        <v>#DIV/0!</v>
      </c>
      <c r="W12" s="3750"/>
      <c r="X12" s="2954" t="s">
        <v>2789</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61"/>
      <c r="B13" s="1438" t="s">
        <v>1698</v>
      </c>
      <c r="C13" s="1439" t="s">
        <v>1699</v>
      </c>
      <c r="D13" s="1085" t="s">
        <v>1700</v>
      </c>
      <c r="E13" s="1085" t="s">
        <v>1701</v>
      </c>
      <c r="F13" s="1440" t="s">
        <v>949</v>
      </c>
      <c r="G13" s="1441" t="s">
        <v>1644</v>
      </c>
      <c r="H13" s="1442" t="s">
        <v>1644</v>
      </c>
      <c r="I13" s="1443" t="s">
        <v>1644</v>
      </c>
      <c r="J13" s="1444" t="s">
        <v>1644</v>
      </c>
      <c r="K13" s="1395"/>
      <c r="L13" s="2184"/>
      <c r="M13" s="2184"/>
      <c r="N13" s="2184"/>
      <c r="O13" s="2184"/>
      <c r="P13" s="2184"/>
      <c r="Q13" s="2184"/>
      <c r="R13" s="2957">
        <v>12</v>
      </c>
      <c r="S13" s="2946"/>
      <c r="T13" s="2957" t="e">
        <f t="shared" si="0"/>
        <v>#DIV/0!</v>
      </c>
      <c r="U13" s="2946"/>
      <c r="V13" s="2957" t="e">
        <f t="shared" si="1"/>
        <v>#DIV/0!</v>
      </c>
      <c r="W13" s="3750"/>
      <c r="X13" s="2954"/>
      <c r="Y13" s="2953">
        <f>(-0.163*(Y12^2)-0.59*Y12+7617)*(10^(-4))/Y11</f>
        <v>0.44805882352941179</v>
      </c>
      <c r="Z13" s="2953">
        <f t="shared" ref="Z13:AJ13" si="5">(-0.163*(Z12^2)-0.59*Z12+7617)*(10^(-4))/Z11</f>
        <v>0.44805882352941179</v>
      </c>
      <c r="AA13" s="2953">
        <f t="shared" si="5"/>
        <v>0.44805882352941179</v>
      </c>
      <c r="AB13" s="2953">
        <f t="shared" si="5"/>
        <v>0.44805882352941179</v>
      </c>
      <c r="AC13" s="2953">
        <f t="shared" si="5"/>
        <v>0.44805882352941179</v>
      </c>
      <c r="AD13" s="2953">
        <f t="shared" si="5"/>
        <v>0.44805882352941179</v>
      </c>
      <c r="AE13" s="2953">
        <f t="shared" si="5"/>
        <v>0.44805882352941179</v>
      </c>
      <c r="AF13" s="2953">
        <f t="shared" si="5"/>
        <v>0.44805882352941179</v>
      </c>
      <c r="AG13" s="2953">
        <f t="shared" si="5"/>
        <v>0.44805882352941179</v>
      </c>
      <c r="AH13" s="2953">
        <f t="shared" si="5"/>
        <v>0.44805882352941179</v>
      </c>
      <c r="AI13" s="2953">
        <f t="shared" si="5"/>
        <v>0.44805882352941179</v>
      </c>
      <c r="AJ13" s="2953">
        <f t="shared" si="5"/>
        <v>0.44805882352941179</v>
      </c>
    </row>
    <row r="14" spans="1:39" ht="12.75" customHeight="1" thickBot="1">
      <c r="A14" s="3761"/>
      <c r="B14" s="1445"/>
      <c r="C14" s="1446"/>
      <c r="D14" s="1447"/>
      <c r="E14" s="1447"/>
      <c r="F14" s="1448"/>
      <c r="G14" s="1449" t="s">
        <v>950</v>
      </c>
      <c r="H14" s="1450"/>
      <c r="I14" s="1451"/>
      <c r="J14" s="1452"/>
      <c r="K14" s="1395"/>
      <c r="L14" s="2184"/>
      <c r="M14" s="2184"/>
      <c r="N14" s="2184"/>
      <c r="O14" s="2184"/>
      <c r="P14" s="2184"/>
      <c r="Q14" s="2184"/>
      <c r="R14" s="2957">
        <v>13</v>
      </c>
      <c r="S14" s="2946"/>
      <c r="T14" s="2957" t="e">
        <f t="shared" si="0"/>
        <v>#DIV/0!</v>
      </c>
      <c r="U14" s="2946"/>
      <c r="V14" s="2957" t="e">
        <f t="shared" si="1"/>
        <v>#DIV/0!</v>
      </c>
      <c r="W14" s="2184"/>
      <c r="X14" s="2184"/>
      <c r="Y14" s="2184"/>
      <c r="Z14" s="2184"/>
      <c r="AA14" s="2184"/>
      <c r="AB14" s="2184"/>
      <c r="AC14" s="2185"/>
    </row>
    <row r="15" spans="1:39" ht="13.5" customHeight="1" thickBot="1">
      <c r="A15" s="3762"/>
      <c r="B15" s="1453" t="s">
        <v>1702</v>
      </c>
      <c r="C15" s="1047">
        <f>IF(C14="有",1.1,1)</f>
        <v>1</v>
      </c>
      <c r="D15" s="1047">
        <f>IF(D14="有",1.1,1)</f>
        <v>1</v>
      </c>
      <c r="E15" s="1047">
        <f>IF(E14="有",1.1,1)</f>
        <v>1</v>
      </c>
      <c r="F15" s="1047">
        <f>IF(F14="500米范围内",1.2,IF(F14="500-1000米",1.1,1))</f>
        <v>1</v>
      </c>
      <c r="G15" s="1048">
        <v>1</v>
      </c>
      <c r="H15" s="1048">
        <v>1</v>
      </c>
      <c r="I15" s="1048">
        <v>1</v>
      </c>
      <c r="J15" s="1049">
        <v>1</v>
      </c>
      <c r="K15" s="1395"/>
      <c r="L15" s="1592" t="s">
        <v>899</v>
      </c>
      <c r="M15" s="1422" t="s">
        <v>985</v>
      </c>
      <c r="N15" s="1422" t="s">
        <v>986</v>
      </c>
      <c r="O15" s="1422" t="s">
        <v>903</v>
      </c>
      <c r="P15" s="1470" t="s">
        <v>987</v>
      </c>
      <c r="Q15" s="2184"/>
      <c r="R15" s="2957">
        <v>14</v>
      </c>
      <c r="S15" s="2946"/>
      <c r="T15" s="2957" t="e">
        <f t="shared" si="0"/>
        <v>#DIV/0!</v>
      </c>
      <c r="U15" s="2946"/>
      <c r="V15" s="2957" t="e">
        <f t="shared" si="1"/>
        <v>#DIV/0!</v>
      </c>
      <c r="W15" s="2184"/>
      <c r="X15" s="2184"/>
      <c r="Y15" s="2184"/>
      <c r="Z15" s="2184"/>
      <c r="AA15" s="2184"/>
      <c r="AB15" s="2184"/>
      <c r="AC15" s="2185"/>
    </row>
    <row r="16" spans="1:39" ht="24">
      <c r="A16" s="3759" t="s">
        <v>1840</v>
      </c>
      <c r="B16" s="1421" t="s">
        <v>951</v>
      </c>
      <c r="C16" s="1050" t="e">
        <f>ROUND(SUM(G17:J17)/C17,0)</f>
        <v>#DIV/0!</v>
      </c>
      <c r="D16" s="1454" t="s">
        <v>952</v>
      </c>
      <c r="E16" s="1455"/>
      <c r="F16" s="1456"/>
      <c r="G16" s="1457"/>
      <c r="H16" s="1457"/>
      <c r="I16" s="1457"/>
      <c r="J16" s="1457"/>
      <c r="K16" s="1395"/>
      <c r="L16" s="1458" t="s">
        <v>989</v>
      </c>
      <c r="M16" s="1043">
        <v>0.25</v>
      </c>
      <c r="N16" s="1043">
        <v>0.2</v>
      </c>
      <c r="O16" s="1043">
        <v>0.15</v>
      </c>
      <c r="P16" s="1533">
        <v>0.1</v>
      </c>
      <c r="Q16" s="2187"/>
      <c r="R16" s="2957">
        <v>15</v>
      </c>
      <c r="S16" s="2946"/>
      <c r="T16" s="2957" t="e">
        <f t="shared" si="0"/>
        <v>#DIV/0!</v>
      </c>
      <c r="U16" s="2946"/>
      <c r="V16" s="2957" t="e">
        <f t="shared" si="1"/>
        <v>#DIV/0!</v>
      </c>
      <c r="W16" s="2187"/>
      <c r="X16" s="2187"/>
      <c r="Y16" s="2187"/>
      <c r="Z16" s="2187"/>
      <c r="AA16" s="2187"/>
      <c r="AB16" s="2187"/>
      <c r="AC16" s="2188"/>
    </row>
    <row r="17" spans="1:40" ht="13.5" thickBot="1">
      <c r="A17" s="3760"/>
      <c r="B17" s="1459" t="s">
        <v>954</v>
      </c>
      <c r="C17" s="1051">
        <f>SUMPRODUCT((修正!A2:A5=E2)*(修正!B1:M1=G2)*(修正!B2:M5))</f>
        <v>0</v>
      </c>
      <c r="D17" s="1461" t="s">
        <v>955</v>
      </c>
      <c r="E17" s="1462" t="str">
        <f>IF(OR(G2="八级",G2="九级",G2="十级",G2="十一级",G2="十二级"),"五通一平","七通一平")</f>
        <v>七通一平</v>
      </c>
      <c r="F17" s="1460"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975</v>
      </c>
      <c r="M17" s="1534">
        <f ca="1">ROUND($E$20*(1+M16),3)</f>
        <v>5.3999999999999999E-2</v>
      </c>
      <c r="N17" s="1534">
        <f ca="1">ROUND($E$20*(1+N16),3)</f>
        <v>5.1999999999999998E-2</v>
      </c>
      <c r="O17" s="1534">
        <f ca="1">ROUND($E$20*(1+O16),3)</f>
        <v>0.05</v>
      </c>
      <c r="P17" s="1535">
        <f ca="1">ROUND($E$20*(1+P16),3)</f>
        <v>4.8000000000000001E-2</v>
      </c>
      <c r="Q17" s="2187"/>
      <c r="R17" s="2188"/>
      <c r="S17" s="2188"/>
      <c r="T17" s="2188"/>
      <c r="U17" s="2188"/>
      <c r="V17" s="2188"/>
      <c r="W17" s="2187"/>
      <c r="X17" s="2187"/>
      <c r="Y17" s="2187"/>
      <c r="Z17" s="2187"/>
      <c r="AA17" s="2187"/>
      <c r="AB17" s="2187"/>
      <c r="AC17" s="2188"/>
      <c r="AH17" s="1396"/>
      <c r="AI17" s="1396"/>
      <c r="AJ17" s="1399"/>
      <c r="AK17" s="1399"/>
      <c r="AL17" s="1399"/>
      <c r="AM17" s="1399"/>
    </row>
    <row r="18" spans="1:40" s="1415" customFormat="1" ht="15.75" thickBot="1">
      <c r="A18" s="1635" t="s">
        <v>1831</v>
      </c>
      <c r="B18" s="2792" t="s">
        <v>957</v>
      </c>
      <c r="C18" s="2793">
        <f>SUMIF(修正!C18:C39,E3,修正!E18:E39)</f>
        <v>0</v>
      </c>
      <c r="D18" s="2794"/>
      <c r="E18" s="2795"/>
      <c r="F18" s="2796"/>
      <c r="G18" s="2790"/>
      <c r="H18" s="2790"/>
      <c r="I18" s="2790"/>
      <c r="J18" s="2797"/>
      <c r="K18" s="1475"/>
      <c r="L18" s="1475"/>
      <c r="M18" s="1475"/>
      <c r="N18" s="1475"/>
      <c r="O18" s="1591"/>
      <c r="P18" s="1591"/>
      <c r="Q18" s="2189"/>
      <c r="R18" s="2189"/>
      <c r="S18" s="2189"/>
      <c r="T18" s="2189"/>
      <c r="U18" s="2189"/>
      <c r="V18" s="2189"/>
      <c r="W18" s="2188"/>
      <c r="X18" s="2188"/>
      <c r="Y18" s="2188"/>
      <c r="Z18" s="2188"/>
      <c r="AA18" s="2187"/>
      <c r="AB18" s="2187"/>
      <c r="AC18" s="2190"/>
      <c r="AD18" s="1466"/>
      <c r="AE18" s="1466"/>
      <c r="AF18" s="1466"/>
      <c r="AG18" s="1466"/>
      <c r="AH18" s="1397"/>
      <c r="AI18" s="1397"/>
      <c r="AJ18" s="1398"/>
      <c r="AK18" s="1398"/>
      <c r="AL18" s="1398"/>
    </row>
    <row r="19" spans="1:40" s="1415" customFormat="1" ht="27.75" thickBot="1">
      <c r="A19" s="1634" t="s">
        <v>1837</v>
      </c>
      <c r="B19" s="1464" t="s">
        <v>958</v>
      </c>
      <c r="C19" s="1053" t="e">
        <f>ROUND(IF(H19="按公示增长率计算",SUMPRODUCT((地价!A3:A21=YEAR(G19)&amp;"-"&amp;ROUNDUP(MONTH(G19)/3,0))*(地价!X2:AB2=E2)*(地价!X3:AB21)),IF(H19="地价指数",M20/M19,(1+I19)^O19)),4)</f>
        <v>#DIV/0!</v>
      </c>
      <c r="D19" s="1468" t="s">
        <v>959</v>
      </c>
      <c r="E19" s="1054">
        <v>41640</v>
      </c>
      <c r="F19" s="1468" t="s">
        <v>960</v>
      </c>
      <c r="G19" s="1055">
        <f>'数据-取费表'!B2</f>
        <v>43133</v>
      </c>
      <c r="H19" s="1469" t="s">
        <v>2940</v>
      </c>
      <c r="I19" s="2804" t="str">
        <f>IF(H19="季度增幅（自定义）",SUMIF(N21:N24,E2,O21:O24),"")</f>
        <v/>
      </c>
      <c r="J19" s="1465"/>
      <c r="K19" s="1475"/>
      <c r="L19" s="3059" t="s">
        <v>2848</v>
      </c>
      <c r="M19" s="3060">
        <f>ROUND(SUMIF(地价!B2:F2,E2,地价!B21:F21),0)</f>
        <v>0</v>
      </c>
      <c r="N19" s="2806" t="s">
        <v>1678</v>
      </c>
      <c r="O19" s="2805">
        <f>ROUNDDOWN(DATEDIF(E19,G19,"M")/3,0)</f>
        <v>16</v>
      </c>
      <c r="P19" s="1590"/>
      <c r="R19" s="2945"/>
      <c r="S19" s="2945"/>
      <c r="T19" s="2945"/>
      <c r="U19" s="2945"/>
      <c r="V19" s="2945"/>
      <c r="W19" s="2190"/>
      <c r="X19" s="2190"/>
      <c r="Y19" s="2190"/>
      <c r="Z19" s="2190"/>
      <c r="AA19" s="2190"/>
      <c r="AB19" s="2190"/>
      <c r="AC19" s="2190"/>
      <c r="AD19" s="1397"/>
      <c r="AE19" s="1397"/>
      <c r="AF19" s="1397"/>
      <c r="AG19" s="1397"/>
      <c r="AH19" s="1466"/>
      <c r="AI19" s="1467"/>
      <c r="AJ19" s="1471"/>
      <c r="AK19" s="1398"/>
      <c r="AL19" s="1414"/>
      <c r="AM19" s="1414"/>
      <c r="AN19" s="1414"/>
    </row>
    <row r="20" spans="1:40" s="1415" customFormat="1" ht="27.75" thickBot="1">
      <c r="A20" s="2798" t="s">
        <v>1838</v>
      </c>
      <c r="B20" s="2799" t="s">
        <v>973</v>
      </c>
      <c r="C20" s="2800" t="e">
        <f>ROUND(POWER(1+G20,J20-I20)*(POWER(1+G20,I20)-1)/(POWER(1+G20,J20)-1),4)</f>
        <v>#DIV/0!</v>
      </c>
      <c r="D20" s="2801" t="s">
        <v>974</v>
      </c>
      <c r="E20" s="3113">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5"/>
      <c r="L20" s="3061" t="s">
        <v>2849</v>
      </c>
      <c r="M20" s="3062">
        <f>ROUND(SUMPRODUCT((地价!A4:A21=YEAR(G19)&amp;"-"&amp;ROUNDUP(MONTH(G19)/3,0))*(地价!B2:F2=E2)*(地价!B4:F21)),0)</f>
        <v>0</v>
      </c>
      <c r="N20" s="2809" t="s">
        <v>2652</v>
      </c>
      <c r="O20" s="2807" t="s">
        <v>2651</v>
      </c>
      <c r="P20" s="2808" t="s">
        <v>2657</v>
      </c>
      <c r="R20" s="2945"/>
      <c r="S20" s="2945"/>
      <c r="T20" s="2945"/>
      <c r="U20" s="2945"/>
      <c r="V20" s="2945"/>
      <c r="W20" s="2190"/>
      <c r="X20" s="2190"/>
      <c r="Y20" s="2190"/>
      <c r="Z20" s="2190"/>
      <c r="AA20" s="2190"/>
      <c r="AB20" s="2190"/>
      <c r="AC20" s="2190"/>
      <c r="AD20" s="1466"/>
      <c r="AE20" s="1466"/>
      <c r="AF20" s="1466"/>
      <c r="AG20" s="1466"/>
      <c r="AH20" s="1466"/>
      <c r="AI20" s="1466"/>
    </row>
    <row r="21" spans="1:40" s="1415" customFormat="1" ht="14.25">
      <c r="A21" s="1636" t="s">
        <v>1839</v>
      </c>
      <c r="B21" s="1474" t="s">
        <v>2768</v>
      </c>
      <c r="C21" s="1154">
        <f>IF(B21="容积率修正",IF(G3&lt;=10,D22,J22),C23)</f>
        <v>0</v>
      </c>
      <c r="D21" s="1475"/>
      <c r="E21" s="1475"/>
      <c r="F21" s="1475"/>
      <c r="G21" s="1475"/>
      <c r="H21" s="1475"/>
      <c r="I21" s="1475"/>
      <c r="J21" s="1476"/>
      <c r="K21" s="1475"/>
      <c r="L21" s="1475"/>
      <c r="M21" s="1475"/>
      <c r="N21" s="1472" t="s">
        <v>977</v>
      </c>
      <c r="O21" s="1536"/>
      <c r="P21" s="2789">
        <f>SUMPRODUCT((地价!A3:A21=YEAR(G19)&amp;"-"&amp;ROUNDUP(MONTH(G19)/3,0))*(地价!AD2:AH2=N21)*(地价!AD3:AH21))</f>
        <v>1.55E-2</v>
      </c>
      <c r="R21" s="2945"/>
      <c r="S21" s="2945"/>
      <c r="T21" s="2945"/>
      <c r="U21" s="2945"/>
      <c r="V21" s="2945"/>
      <c r="W21" s="2190"/>
      <c r="X21" s="2190"/>
      <c r="Y21" s="2190"/>
      <c r="Z21" s="2190"/>
      <c r="AA21" s="2190"/>
      <c r="AB21" s="2190"/>
      <c r="AC21" s="2190"/>
      <c r="AD21" s="1397"/>
      <c r="AE21" s="1397"/>
      <c r="AF21" s="1397"/>
      <c r="AG21" s="1397"/>
      <c r="AH21" s="1466"/>
      <c r="AI21" s="1466"/>
    </row>
    <row r="22" spans="1:40" s="1415" customFormat="1" ht="14.25">
      <c r="A22" s="1637" t="s">
        <v>1872</v>
      </c>
      <c r="B22" s="1477" t="s">
        <v>978</v>
      </c>
      <c r="C22" s="1056" t="s">
        <v>1704</v>
      </c>
      <c r="D22" s="1056" t="b">
        <f>IF(E22=G22,F22,IF(G3&lt;=10,ROUND(F22+(H22-F22)*(G3-E22)/(G22-E22),4),"——"))</f>
        <v>0</v>
      </c>
      <c r="E22" s="1035">
        <f>ROUNDDOWN(G3,1)</f>
        <v>1.7</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5"/>
      <c r="L22" s="1475"/>
      <c r="M22" s="1475"/>
      <c r="N22" s="1472" t="s">
        <v>980</v>
      </c>
      <c r="O22" s="1536"/>
      <c r="P22" s="2789">
        <f>SUMPRODUCT((地价!A3:A21=YEAR(G19)&amp;"-"&amp;ROUNDUP(MONTH(G19)/3,0))*(地价!AD2:AH2=N22)*(地价!AD3:AH21))</f>
        <v>1.55E-2</v>
      </c>
      <c r="R22" s="2945"/>
      <c r="S22" s="2945"/>
      <c r="T22" s="2945"/>
      <c r="U22" s="2945"/>
      <c r="V22" s="2945"/>
      <c r="W22" s="2190"/>
      <c r="X22" s="2190"/>
      <c r="Y22" s="2190"/>
      <c r="Z22" s="2190"/>
      <c r="AA22" s="2190"/>
      <c r="AB22" s="2190"/>
      <c r="AC22" s="2190"/>
      <c r="AD22" s="1466"/>
      <c r="AE22" s="1466"/>
      <c r="AF22" s="1466"/>
      <c r="AG22" s="1466"/>
      <c r="AH22" s="1466"/>
      <c r="AI22" s="1466"/>
    </row>
    <row r="23" spans="1:40" ht="27.75" thickBot="1">
      <c r="A23" s="1637" t="s">
        <v>1873</v>
      </c>
      <c r="B23" s="1477" t="s">
        <v>981</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924</v>
      </c>
      <c r="O23" s="1536"/>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8"/>
    </row>
    <row r="24" spans="1:40" s="1415" customFormat="1" ht="15.75" thickBot="1">
      <c r="A24" s="1635" t="s">
        <v>1874</v>
      </c>
      <c r="B24" s="1409" t="s">
        <v>982</v>
      </c>
      <c r="C24" s="1058">
        <f>SUMIF(A44:A87,E2,B44:B87)</f>
        <v>0</v>
      </c>
      <c r="D24" s="1529"/>
      <c r="E24" s="1530"/>
      <c r="F24" s="1530"/>
      <c r="G24" s="1530"/>
      <c r="H24" s="1530"/>
      <c r="I24" s="1530"/>
      <c r="J24" s="1530"/>
      <c r="K24" s="1475"/>
      <c r="L24" s="1475"/>
      <c r="M24" s="1475"/>
      <c r="N24" s="1478" t="s">
        <v>983</v>
      </c>
      <c r="O24" s="1537"/>
      <c r="P24" s="1535">
        <f>SUMPRODUCT((地价!A3:A21=YEAR(G19)&amp;"-"&amp;ROUNDUP(MONTH(G19)/3,0))*(地价!AD2:AH2=N24)*(地价!AD3:AH21))</f>
        <v>1.3100000000000001E-2</v>
      </c>
      <c r="R24" s="2945"/>
      <c r="S24" s="2945"/>
      <c r="T24" s="2945"/>
      <c r="U24" s="2945"/>
      <c r="V24" s="2945"/>
      <c r="W24" s="2190"/>
      <c r="X24" s="2190"/>
      <c r="Y24" s="2190"/>
      <c r="Z24" s="2190"/>
      <c r="AA24" s="2190"/>
      <c r="AB24" s="2190"/>
      <c r="AC24" s="2190"/>
      <c r="AD24" s="1466"/>
      <c r="AE24" s="1466"/>
      <c r="AF24" s="1466"/>
      <c r="AG24" s="1466"/>
      <c r="AH24" s="1466"/>
      <c r="AI24" s="1466"/>
    </row>
    <row r="25" spans="1:40" ht="15" thickBot="1">
      <c r="A25" s="1635" t="s">
        <v>1875</v>
      </c>
      <c r="B25" s="1480" t="s">
        <v>984</v>
      </c>
      <c r="C25" s="1481"/>
      <c r="D25" s="1424"/>
      <c r="E25" s="1424"/>
      <c r="F25" s="1482"/>
      <c r="G25" s="1424"/>
      <c r="H25" s="1424"/>
      <c r="I25" s="1424"/>
      <c r="J25" s="1425"/>
      <c r="K25" s="1395"/>
      <c r="L25" s="2190"/>
      <c r="M25" s="2190"/>
      <c r="N25" s="2817" t="s">
        <v>2655</v>
      </c>
      <c r="O25" s="2190"/>
      <c r="P25" s="1535">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3"/>
      <c r="B26" s="1477" t="s">
        <v>988</v>
      </c>
      <c r="C26" s="1059" t="e">
        <f>E29+SUM(E33:E39)</f>
        <v>#DIV/0!</v>
      </c>
      <c r="D26" s="1484"/>
      <c r="E26" s="1450"/>
      <c r="F26" s="1485"/>
      <c r="G26" s="1450"/>
      <c r="H26" s="1450"/>
      <c r="I26" s="1450"/>
      <c r="J26" s="1486"/>
      <c r="K26" s="1395"/>
      <c r="L26" s="2190"/>
      <c r="M26" s="2190"/>
      <c r="N26" s="2190"/>
      <c r="O26" s="2190"/>
      <c r="P26" s="2190"/>
      <c r="Q26" s="2190"/>
      <c r="R26" s="2945"/>
      <c r="S26" s="2945"/>
      <c r="T26" s="2945"/>
      <c r="U26" s="2945"/>
      <c r="V26" s="2945"/>
      <c r="W26" s="2190"/>
      <c r="X26" s="2190"/>
      <c r="Y26" s="2190"/>
      <c r="Z26" s="2190"/>
      <c r="AA26" s="2190"/>
      <c r="AB26" s="2190"/>
      <c r="AC26" s="2190"/>
      <c r="AD26" s="1466"/>
      <c r="AE26" s="1466"/>
      <c r="AF26" s="1466"/>
      <c r="AG26" s="1466"/>
    </row>
    <row r="27" spans="1:40" ht="15" thickBot="1">
      <c r="A27" s="1483"/>
      <c r="B27" s="1487" t="s">
        <v>990</v>
      </c>
      <c r="C27" s="1060" t="e">
        <f>E30+SUM(I33:I39)</f>
        <v>#DIV/0!</v>
      </c>
      <c r="D27" s="1488"/>
      <c r="E27" s="1489"/>
      <c r="F27" s="1490"/>
      <c r="G27" s="1489"/>
      <c r="H27" s="1489"/>
      <c r="I27" s="1489"/>
      <c r="J27" s="1491"/>
      <c r="K27" s="1395"/>
      <c r="L27" s="2190"/>
      <c r="M27" s="2190"/>
      <c r="N27" s="2190"/>
      <c r="O27" s="2190"/>
      <c r="P27" s="2190"/>
      <c r="Q27" s="2190"/>
      <c r="R27" s="2945"/>
      <c r="S27" s="2945"/>
      <c r="T27" s="2945"/>
      <c r="U27" s="2945"/>
      <c r="V27" s="2945"/>
      <c r="W27" s="2190"/>
      <c r="X27" s="2190"/>
      <c r="Y27" s="2190"/>
      <c r="Z27" s="2190"/>
      <c r="AA27" s="2190"/>
      <c r="AB27" s="2190"/>
      <c r="AC27" s="2190"/>
    </row>
    <row r="28" spans="1:40" ht="14.25">
      <c r="A28" s="1479"/>
      <c r="B28" s="1492" t="s">
        <v>991</v>
      </c>
      <c r="C28" s="1493" t="s">
        <v>992</v>
      </c>
      <c r="D28" s="1493" t="s">
        <v>993</v>
      </c>
      <c r="E28" s="1494" t="s">
        <v>994</v>
      </c>
      <c r="F28" s="1495"/>
      <c r="G28" s="1436"/>
      <c r="H28" s="1436"/>
      <c r="I28" s="1436"/>
      <c r="J28" s="1437"/>
      <c r="K28" s="1395"/>
      <c r="L28" s="2190"/>
      <c r="M28" s="2190"/>
      <c r="N28" s="2190"/>
      <c r="O28" s="2190"/>
      <c r="P28" s="2190"/>
      <c r="Q28" s="2190"/>
      <c r="R28" s="2945"/>
      <c r="S28" s="2945"/>
      <c r="T28" s="2945"/>
      <c r="U28" s="2945"/>
      <c r="V28" s="2945"/>
      <c r="W28" s="2190"/>
      <c r="X28" s="2190"/>
      <c r="Y28" s="2190"/>
      <c r="Z28" s="2190"/>
      <c r="AA28" s="2190"/>
      <c r="AB28" s="2190"/>
      <c r="AC28" s="2190"/>
      <c r="AD28" s="1466"/>
      <c r="AE28" s="1466"/>
      <c r="AF28" s="1466"/>
      <c r="AG28" s="1466"/>
    </row>
    <row r="29" spans="1:40" ht="24">
      <c r="A29" s="1496"/>
      <c r="B29" s="1497" t="s">
        <v>995</v>
      </c>
      <c r="C29" s="1059" t="e">
        <f>ROUND(C5*C18*C19*C20*C21*C24,0)</f>
        <v>#DIV/0!</v>
      </c>
      <c r="D29" s="1498"/>
      <c r="E29" s="1844" t="e">
        <f>ROUND(C29*D29/10000,0)</f>
        <v>#DIV/0!</v>
      </c>
      <c r="F29" s="1499" t="s">
        <v>1703</v>
      </c>
      <c r="G29" s="1500"/>
      <c r="H29" s="1500"/>
      <c r="I29" s="1500"/>
      <c r="J29" s="1501"/>
      <c r="K29" s="1395"/>
      <c r="L29" s="2190"/>
      <c r="M29" s="2190"/>
      <c r="N29" s="2190"/>
      <c r="O29" s="2190"/>
      <c r="P29" s="2190"/>
      <c r="Q29" s="2190"/>
      <c r="R29" s="2945"/>
      <c r="S29" s="2945"/>
      <c r="T29" s="2945"/>
      <c r="U29" s="2945"/>
      <c r="V29" s="2945"/>
      <c r="W29" s="2190"/>
      <c r="X29" s="2190"/>
      <c r="Y29" s="2190"/>
      <c r="Z29" s="2190"/>
      <c r="AA29" s="2190"/>
      <c r="AB29" s="2190"/>
      <c r="AC29" s="2190"/>
      <c r="AH29" s="1396"/>
      <c r="AI29" s="1396"/>
      <c r="AJ29" s="1399"/>
      <c r="AK29" s="1399"/>
      <c r="AL29" s="1399"/>
      <c r="AM29" s="1399"/>
    </row>
    <row r="30" spans="1:40" ht="24.75" thickBot="1">
      <c r="A30" s="1502"/>
      <c r="B30" s="1503" t="s">
        <v>996</v>
      </c>
      <c r="C30" s="1047" t="e">
        <f>ROUND(IF(E2="工业",C29*M39,C29*M38),0)</f>
        <v>#DIV/0!</v>
      </c>
      <c r="D30" s="1504"/>
      <c r="E30" s="1844" t="e">
        <f>ROUND(C30*D30/10000,0)</f>
        <v>#DIV/0!</v>
      </c>
      <c r="F30" s="1505" t="s">
        <v>997</v>
      </c>
      <c r="G30" s="1506"/>
      <c r="H30" s="1506"/>
      <c r="I30" s="1506"/>
      <c r="J30" s="1507"/>
      <c r="K30" s="1395"/>
      <c r="L30" s="2184"/>
      <c r="M30" s="2184"/>
      <c r="N30" s="2184"/>
      <c r="O30" s="2184"/>
      <c r="P30" s="2184"/>
      <c r="Q30" s="2184"/>
      <c r="R30" s="2185"/>
      <c r="S30" s="2185"/>
      <c r="T30" s="2185"/>
      <c r="U30" s="2185"/>
      <c r="V30" s="2185"/>
      <c r="W30" s="2184"/>
      <c r="X30" s="2184"/>
      <c r="Y30" s="2184"/>
      <c r="Z30" s="2184"/>
      <c r="AA30" s="2184"/>
      <c r="AB30" s="2184"/>
      <c r="AC30" s="2184"/>
      <c r="AD30" s="1466"/>
      <c r="AE30" s="1466"/>
      <c r="AF30" s="1466"/>
      <c r="AG30" s="1466"/>
      <c r="AH30" s="1396"/>
      <c r="AI30" s="1396"/>
      <c r="AJ30" s="1399"/>
      <c r="AK30" s="1399"/>
      <c r="AL30" s="1399"/>
      <c r="AM30" s="1399"/>
    </row>
    <row r="31" spans="1:40">
      <c r="A31" s="1508"/>
      <c r="B31" s="1509" t="s">
        <v>998</v>
      </c>
      <c r="C31" s="1510" t="s">
        <v>999</v>
      </c>
      <c r="D31" s="1436"/>
      <c r="E31" s="1510"/>
      <c r="F31" s="1510"/>
      <c r="G31" s="1434" t="s">
        <v>997</v>
      </c>
      <c r="H31" s="1436"/>
      <c r="I31" s="1511"/>
      <c r="J31" s="1437"/>
      <c r="K31" s="1395"/>
      <c r="L31" s="2184"/>
      <c r="M31" s="2184"/>
      <c r="N31" s="2184"/>
      <c r="O31" s="2184"/>
      <c r="P31" s="2184"/>
      <c r="Q31" s="2184"/>
      <c r="R31" s="2185"/>
      <c r="S31" s="2185"/>
      <c r="T31" s="2185"/>
      <c r="U31" s="2185"/>
      <c r="V31" s="2185"/>
      <c r="W31" s="2184"/>
      <c r="X31" s="2184"/>
      <c r="Y31" s="2184"/>
      <c r="Z31" s="2184"/>
      <c r="AA31" s="2184"/>
      <c r="AB31" s="2184"/>
      <c r="AC31" s="2184"/>
      <c r="AH31" s="1396"/>
      <c r="AI31" s="1396"/>
      <c r="AJ31" s="1399"/>
      <c r="AK31" s="1399"/>
      <c r="AL31" s="1399"/>
      <c r="AM31" s="1399"/>
    </row>
    <row r="32" spans="1:40" ht="24">
      <c r="A32" s="1496"/>
      <c r="B32" s="1512"/>
      <c r="C32" s="1513" t="s">
        <v>992</v>
      </c>
      <c r="D32" s="1514" t="s">
        <v>993</v>
      </c>
      <c r="E32" s="1514" t="s">
        <v>994</v>
      </c>
      <c r="F32" s="1515" t="s">
        <v>1000</v>
      </c>
      <c r="G32" s="1473" t="s">
        <v>992</v>
      </c>
      <c r="H32" s="1473" t="s">
        <v>993</v>
      </c>
      <c r="I32" s="1473" t="s">
        <v>994</v>
      </c>
      <c r="J32" s="1516"/>
      <c r="K32" s="1395"/>
      <c r="L32" s="2184"/>
      <c r="M32" s="2184"/>
      <c r="N32" s="2184"/>
      <c r="O32" s="2184"/>
      <c r="P32" s="2184"/>
      <c r="Q32" s="2184"/>
      <c r="R32" s="2185"/>
      <c r="S32" s="2185"/>
      <c r="T32" s="2185"/>
      <c r="U32" s="2185"/>
      <c r="V32" s="2185"/>
      <c r="W32" s="2184"/>
      <c r="X32" s="2184"/>
      <c r="Y32" s="2184"/>
      <c r="Z32" s="2184"/>
      <c r="AA32" s="2184"/>
      <c r="AB32" s="2184"/>
      <c r="AC32" s="2184"/>
      <c r="AD32" s="1396"/>
      <c r="AE32" s="1396"/>
      <c r="AF32" s="1396"/>
      <c r="AG32" s="1396"/>
      <c r="AH32" s="1396"/>
      <c r="AI32" s="1396"/>
      <c r="AJ32" s="1399"/>
      <c r="AK32" s="1399"/>
      <c r="AL32" s="1399"/>
      <c r="AM32" s="1399"/>
    </row>
    <row r="33" spans="1:40" ht="12.75">
      <c r="A33" s="3765" t="s">
        <v>2967</v>
      </c>
      <c r="B33" s="1518" t="s">
        <v>1001</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184"/>
      <c r="M33" s="2184"/>
      <c r="N33" s="2184"/>
      <c r="O33" s="2184"/>
      <c r="P33" s="2184"/>
      <c r="Q33" s="2184"/>
      <c r="R33" s="2185"/>
      <c r="S33" s="2185"/>
      <c r="T33" s="2185"/>
      <c r="U33" s="2185"/>
      <c r="V33" s="2185"/>
      <c r="W33" s="2184"/>
      <c r="X33" s="2184"/>
      <c r="Y33" s="2184"/>
      <c r="Z33" s="2184"/>
      <c r="AA33" s="2184"/>
      <c r="AB33" s="2184"/>
      <c r="AC33" s="2185"/>
    </row>
    <row r="34" spans="1:40" ht="12.75">
      <c r="A34" s="3766"/>
      <c r="B34" s="1439" t="s">
        <v>1002</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184"/>
      <c r="M34" s="2184"/>
      <c r="N34" s="2184"/>
      <c r="O34" s="2184"/>
      <c r="P34" s="2184"/>
      <c r="Q34" s="2184"/>
      <c r="R34" s="2185"/>
      <c r="S34" s="2185"/>
      <c r="T34" s="2185"/>
      <c r="U34" s="2185"/>
      <c r="V34" s="2185"/>
      <c r="W34" s="2184"/>
      <c r="X34" s="2184"/>
      <c r="Y34" s="2184"/>
      <c r="Z34" s="2184"/>
      <c r="AA34" s="2184"/>
      <c r="AB34" s="2184"/>
      <c r="AC34" s="2185"/>
    </row>
    <row r="35" spans="1:40" ht="12.75">
      <c r="A35" s="3766"/>
      <c r="B35" s="1439" t="s">
        <v>1003</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767"/>
      <c r="B36" s="1439" t="s">
        <v>1004</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184"/>
      <c r="M36" s="2184"/>
      <c r="N36" s="2184"/>
      <c r="O36" s="2184"/>
      <c r="P36" s="2184"/>
      <c r="Q36" s="2184"/>
      <c r="R36" s="2185"/>
      <c r="S36" s="2185"/>
      <c r="T36" s="2185"/>
      <c r="U36" s="2185"/>
      <c r="V36" s="2185"/>
      <c r="W36" s="2184"/>
      <c r="X36" s="2184"/>
      <c r="Y36" s="2184"/>
      <c r="Z36" s="2184"/>
      <c r="AA36" s="2184"/>
      <c r="AB36" s="2184"/>
      <c r="AC36" s="2185"/>
    </row>
    <row r="37" spans="1:40" ht="12.75">
      <c r="A37" s="1517"/>
      <c r="B37" s="1439" t="s">
        <v>1005</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1705</v>
      </c>
      <c r="M37" s="1539"/>
      <c r="N37" s="2184"/>
      <c r="O37" s="2184"/>
      <c r="P37" s="2184"/>
      <c r="Q37" s="2184"/>
      <c r="R37" s="2185"/>
      <c r="S37" s="2185"/>
      <c r="T37" s="2185"/>
      <c r="U37" s="2185"/>
      <c r="V37" s="2185"/>
      <c r="W37" s="2184"/>
      <c r="X37" s="2184"/>
      <c r="Y37" s="2184"/>
      <c r="Z37" s="2184"/>
      <c r="AA37" s="2184"/>
      <c r="AB37" s="2184"/>
      <c r="AC37" s="2185"/>
    </row>
    <row r="38" spans="1:40" ht="12.75">
      <c r="A38" s="1517"/>
      <c r="B38" s="1439" t="s">
        <v>1006</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1707</v>
      </c>
      <c r="M38" s="1541">
        <v>0.25</v>
      </c>
      <c r="N38" s="2184"/>
      <c r="O38" s="2184"/>
      <c r="P38" s="2184"/>
      <c r="Q38" s="2184"/>
      <c r="R38" s="2185"/>
      <c r="S38" s="2185"/>
      <c r="T38" s="2185"/>
      <c r="U38" s="2185"/>
      <c r="V38" s="2185"/>
      <c r="W38" s="2184"/>
      <c r="X38" s="2184"/>
      <c r="Y38" s="2184"/>
      <c r="Z38" s="2184"/>
      <c r="AA38" s="2184"/>
      <c r="AB38" s="2184"/>
      <c r="AC38" s="2185"/>
    </row>
    <row r="39" spans="1:40" ht="13.5" thickBot="1">
      <c r="A39" s="1502"/>
      <c r="B39" s="1520" t="s">
        <v>1007</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1706</v>
      </c>
      <c r="M39" s="1543">
        <v>0.15</v>
      </c>
      <c r="N39" s="2184"/>
      <c r="O39" s="2184"/>
      <c r="P39" s="2184"/>
      <c r="Q39" s="2184"/>
      <c r="R39" s="2185"/>
      <c r="S39" s="2185"/>
      <c r="T39" s="2185"/>
      <c r="U39" s="2185"/>
      <c r="V39" s="2185"/>
      <c r="W39" s="2184"/>
      <c r="X39" s="2184"/>
      <c r="Y39" s="2184"/>
      <c r="Z39" s="2184"/>
      <c r="AA39" s="2184"/>
      <c r="AB39" s="2184"/>
      <c r="AC39" s="2185"/>
    </row>
    <row r="40" spans="1:40" s="1396"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7"/>
      <c r="AE40" s="1397"/>
      <c r="AF40" s="1397"/>
      <c r="AG40" s="1397"/>
      <c r="AH40" s="1397"/>
      <c r="AI40" s="1397"/>
      <c r="AJ40" s="1397"/>
      <c r="AK40" s="1397"/>
      <c r="AL40" s="1397"/>
      <c r="AM40" s="1397"/>
    </row>
    <row r="41" spans="1:40" s="1396" customFormat="1">
      <c r="A41" s="1397"/>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7"/>
      <c r="AE41" s="1397"/>
      <c r="AF41" s="1397"/>
      <c r="AG41" s="1397"/>
      <c r="AH41" s="1397"/>
      <c r="AI41" s="1397"/>
      <c r="AJ41" s="1397"/>
      <c r="AK41" s="1397"/>
      <c r="AL41" s="1397"/>
      <c r="AM41" s="1397"/>
    </row>
    <row r="42" spans="1:40" s="1396" customFormat="1">
      <c r="A42" s="1397"/>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7"/>
      <c r="AE42" s="1397"/>
      <c r="AF42" s="1397"/>
      <c r="AG42" s="1397"/>
      <c r="AH42" s="1397"/>
      <c r="AI42" s="1397"/>
      <c r="AJ42" s="1397"/>
      <c r="AK42" s="1397"/>
      <c r="AL42" s="1397"/>
      <c r="AM42" s="1397"/>
    </row>
    <row r="43" spans="1:40" s="1396" customFormat="1">
      <c r="A43" s="1397"/>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7"/>
      <c r="AE43" s="1397"/>
      <c r="AF43" s="1397"/>
      <c r="AG43" s="1397"/>
      <c r="AH43" s="1397"/>
      <c r="AI43" s="1397"/>
      <c r="AJ43" s="1397"/>
      <c r="AK43" s="1397"/>
      <c r="AL43" s="1397"/>
      <c r="AM43" s="1397"/>
    </row>
    <row r="44" spans="1:40" s="1396" customFormat="1" ht="15" thickBot="1">
      <c r="A44" s="2438" t="s">
        <v>1008</v>
      </c>
      <c r="B44" s="2439"/>
      <c r="C44" s="2440"/>
      <c r="D44" s="2441"/>
      <c r="E44" s="2441"/>
      <c r="F44" s="2442"/>
      <c r="G44" s="1062"/>
      <c r="H44" s="2442"/>
      <c r="I44" s="1062"/>
      <c r="J44" s="1062"/>
      <c r="K44" s="1062"/>
      <c r="L44" s="1062"/>
      <c r="M44" s="1062"/>
      <c r="O44" s="2191"/>
      <c r="P44" s="2191"/>
      <c r="Q44" s="2191"/>
      <c r="R44" s="2192"/>
      <c r="S44" s="2192"/>
      <c r="T44" s="2192"/>
      <c r="U44" s="2192"/>
      <c r="V44" s="2192"/>
      <c r="W44" s="2191"/>
      <c r="X44" s="2191"/>
      <c r="Y44" s="2191"/>
      <c r="Z44" s="2191"/>
      <c r="AA44" s="2191"/>
      <c r="AB44" s="2191"/>
      <c r="AC44" s="2192"/>
      <c r="AD44" s="1397"/>
      <c r="AE44" s="1397"/>
      <c r="AF44" s="1397"/>
      <c r="AG44" s="1397"/>
      <c r="AH44" s="1397"/>
      <c r="AI44" s="1397"/>
      <c r="AJ44" s="1397"/>
      <c r="AK44" s="1397"/>
      <c r="AL44" s="1397"/>
      <c r="AM44" s="1397"/>
    </row>
    <row r="45" spans="1:40" s="1396" customFormat="1" ht="15">
      <c r="A45" s="2443" t="s">
        <v>1009</v>
      </c>
      <c r="B45" s="2444">
        <f>1+E47</f>
        <v>1</v>
      </c>
      <c r="C45" s="2445"/>
      <c r="D45" s="2446"/>
      <c r="E45" s="2447"/>
      <c r="F45" s="2448"/>
      <c r="G45" s="2442"/>
      <c r="H45" s="2442"/>
      <c r="I45" s="1062"/>
      <c r="J45" s="1062"/>
      <c r="K45" s="1062"/>
      <c r="L45" s="1062"/>
      <c r="M45" s="1062"/>
      <c r="O45" s="2191"/>
      <c r="P45" s="2191"/>
      <c r="Q45" s="2191"/>
      <c r="R45" s="2192"/>
      <c r="S45" s="2192"/>
      <c r="T45" s="2192"/>
      <c r="U45" s="2192"/>
      <c r="V45" s="2192"/>
      <c r="W45" s="2191"/>
      <c r="X45" s="2191"/>
      <c r="Y45" s="2191"/>
      <c r="Z45" s="2191"/>
      <c r="AA45" s="2191"/>
      <c r="AB45" s="2191"/>
      <c r="AC45" s="2192"/>
      <c r="AD45" s="1397"/>
      <c r="AE45" s="1397"/>
      <c r="AF45" s="1397"/>
      <c r="AG45" s="1397"/>
      <c r="AH45" s="1397"/>
      <c r="AI45" s="1397"/>
      <c r="AJ45" s="1397"/>
      <c r="AK45" s="1397"/>
      <c r="AL45" s="1397"/>
      <c r="AM45" s="1397"/>
    </row>
    <row r="46" spans="1:40" s="1396" customFormat="1" ht="24">
      <c r="A46" s="1063" t="s">
        <v>1010</v>
      </c>
      <c r="B46" s="2427" t="s">
        <v>1011</v>
      </c>
      <c r="C46" s="2449" t="s">
        <v>1012</v>
      </c>
      <c r="D46" s="2450" t="s">
        <v>1013</v>
      </c>
      <c r="E46" s="2451" t="s">
        <v>1015</v>
      </c>
      <c r="F46" s="2452" t="s">
        <v>2254</v>
      </c>
      <c r="G46" s="2450" t="s">
        <v>1016</v>
      </c>
      <c r="H46" s="2433" t="s">
        <v>2423</v>
      </c>
      <c r="I46" s="2450" t="s">
        <v>1014</v>
      </c>
      <c r="J46" s="2453" t="s">
        <v>1017</v>
      </c>
      <c r="K46" s="2453" t="s">
        <v>1018</v>
      </c>
      <c r="L46" s="2453" t="s">
        <v>1019</v>
      </c>
      <c r="M46" s="2453" t="s">
        <v>1020</v>
      </c>
      <c r="N46" s="2453" t="s">
        <v>1021</v>
      </c>
      <c r="P46" s="2191"/>
      <c r="Q46" s="2191"/>
      <c r="R46" s="2192"/>
      <c r="S46" s="2192"/>
      <c r="T46" s="2192"/>
      <c r="U46" s="2192"/>
      <c r="V46" s="2192"/>
      <c r="W46" s="2191"/>
      <c r="X46" s="2191"/>
      <c r="Y46" s="2191"/>
      <c r="Z46" s="2191"/>
      <c r="AA46" s="2191"/>
      <c r="AB46" s="2191"/>
      <c r="AC46" s="2191"/>
      <c r="AD46" s="2192"/>
      <c r="AE46" s="1397"/>
      <c r="AF46" s="1397"/>
      <c r="AG46" s="1397"/>
      <c r="AH46" s="1397"/>
      <c r="AI46" s="1397"/>
      <c r="AJ46" s="1397"/>
      <c r="AK46" s="1397"/>
      <c r="AL46" s="1397"/>
      <c r="AM46" s="1397"/>
      <c r="AN46" s="1397"/>
    </row>
    <row r="47" spans="1:40" s="1396" customFormat="1" ht="72">
      <c r="A47" s="1063" t="s">
        <v>1022</v>
      </c>
      <c r="B47" s="2430" t="str">
        <f>估价对象房地状况!C16</f>
        <v>估价对象位于管庄商圈，周边商业氛围成熟较好，人流量较大，周边2公里有万豪购物广场、国泰百货等多个商业项目，商业繁华度较好</v>
      </c>
      <c r="C47" s="1046"/>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7"/>
      <c r="AF47" s="1397"/>
      <c r="AG47" s="1397"/>
      <c r="AH47" s="1397"/>
      <c r="AI47" s="1397"/>
      <c r="AJ47" s="1397"/>
      <c r="AK47" s="1397"/>
      <c r="AL47" s="1397"/>
      <c r="AM47" s="1397"/>
      <c r="AN47" s="1397"/>
    </row>
    <row r="48" spans="1:40" s="1396" customFormat="1" ht="72">
      <c r="A48" s="1063" t="s">
        <v>1023</v>
      </c>
      <c r="B48" s="2427" t="str">
        <f>估价对象房地状况!C18</f>
        <v>估价对象周边道路状况较好、公共交通通达情况一般、停车便捷程度较好，有364、532、690路等公交线路及地铁八通线，综合评价交通便捷度一般</v>
      </c>
      <c r="C48" s="1046"/>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7"/>
      <c r="AF48" s="1397"/>
      <c r="AG48" s="1397"/>
      <c r="AH48" s="1397"/>
      <c r="AI48" s="1397"/>
      <c r="AJ48" s="1397"/>
      <c r="AK48" s="1397"/>
      <c r="AL48" s="1397"/>
      <c r="AM48" s="1397"/>
      <c r="AN48" s="1397"/>
    </row>
    <row r="49" spans="1:40" s="1396" customFormat="1" ht="24">
      <c r="A49" s="1063" t="s">
        <v>1024</v>
      </c>
      <c r="B49" s="2427">
        <f>估价对象房地状况!C19</f>
        <v>0</v>
      </c>
      <c r="C49" s="1046"/>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7"/>
      <c r="AF49" s="1397"/>
      <c r="AG49" s="1397"/>
      <c r="AH49" s="1397"/>
      <c r="AI49" s="1397"/>
      <c r="AJ49" s="1397"/>
      <c r="AK49" s="1397"/>
      <c r="AL49" s="1397"/>
      <c r="AM49" s="1397"/>
      <c r="AN49" s="1397"/>
    </row>
    <row r="50" spans="1:40" s="1396" customFormat="1" ht="36">
      <c r="A50" s="1063" t="s">
        <v>1025</v>
      </c>
      <c r="B50" s="3115" t="s">
        <v>2942</v>
      </c>
      <c r="C50" s="1046"/>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7"/>
      <c r="AF50" s="1397"/>
      <c r="AG50" s="1397"/>
      <c r="AH50" s="1397"/>
      <c r="AI50" s="1397"/>
      <c r="AJ50" s="1397"/>
      <c r="AK50" s="1397"/>
      <c r="AL50" s="1397"/>
      <c r="AM50" s="1397"/>
      <c r="AN50" s="1397"/>
    </row>
    <row r="51" spans="1:40" s="1396" customFormat="1" ht="24">
      <c r="A51" s="1063" t="s">
        <v>1026</v>
      </c>
      <c r="B51" s="2427" t="str">
        <f>估价对象房地状况!C24</f>
        <v>支路-塔营街</v>
      </c>
      <c r="C51" s="1046"/>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7"/>
      <c r="AF51" s="1397"/>
      <c r="AG51" s="1397"/>
      <c r="AH51" s="1397"/>
      <c r="AI51" s="1397"/>
      <c r="AJ51" s="1397"/>
      <c r="AK51" s="1397"/>
      <c r="AL51" s="1397"/>
      <c r="AM51" s="1397"/>
      <c r="AN51" s="1397"/>
    </row>
    <row r="52" spans="1:40" s="1396" customFormat="1" ht="24">
      <c r="A52" s="1063" t="s">
        <v>1027</v>
      </c>
      <c r="B52" s="3114" t="s">
        <v>2941</v>
      </c>
      <c r="C52" s="1046"/>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7"/>
      <c r="AF52" s="1397"/>
      <c r="AG52" s="1397"/>
      <c r="AH52" s="1397"/>
      <c r="AI52" s="1397"/>
      <c r="AJ52" s="1397"/>
      <c r="AK52" s="1397"/>
      <c r="AL52" s="1397"/>
      <c r="AM52" s="1397"/>
      <c r="AN52" s="1397"/>
    </row>
    <row r="53" spans="1:40" s="1396" customFormat="1" ht="24">
      <c r="A53" s="2459" t="s">
        <v>1028</v>
      </c>
      <c r="B53" s="2428" t="str">
        <f>估价对象房地状况!C21</f>
        <v>估价对象所在区域公共配套设施齐备情况较好</v>
      </c>
      <c r="C53" s="1046"/>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7"/>
      <c r="AF53" s="1397"/>
      <c r="AG53" s="1397"/>
      <c r="AH53" s="1397"/>
      <c r="AI53" s="1397"/>
      <c r="AJ53" s="1397"/>
      <c r="AK53" s="1397"/>
      <c r="AL53" s="1397"/>
      <c r="AM53" s="1397"/>
      <c r="AN53" s="1397"/>
    </row>
    <row r="54" spans="1:40" s="1396" customFormat="1" ht="24">
      <c r="A54" s="2459" t="s">
        <v>1029</v>
      </c>
      <c r="B54" s="2427" t="str">
        <f>估价对象房地状况!C22</f>
        <v>七通</v>
      </c>
      <c r="C54" s="1046"/>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7"/>
      <c r="AF54" s="1397"/>
      <c r="AG54" s="1397"/>
      <c r="AH54" s="1397"/>
      <c r="AI54" s="1397"/>
      <c r="AJ54" s="1397"/>
      <c r="AK54" s="1397"/>
      <c r="AL54" s="1397"/>
      <c r="AM54" s="1397"/>
      <c r="AN54" s="1397"/>
    </row>
    <row r="55" spans="1:40" s="1396" customFormat="1" ht="48.75" thickBot="1">
      <c r="A55" s="2460" t="s">
        <v>1030</v>
      </c>
      <c r="B55" s="2431" t="str">
        <f>估价对象房地状况!C20</f>
        <v>区域自然环境：八里桥音乐主题公园、西汇公园、金田公园等；人文环境；综合评价环境状况较好</v>
      </c>
      <c r="C55" s="1046"/>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7"/>
      <c r="AF55" s="1397"/>
      <c r="AG55" s="1397"/>
      <c r="AH55" s="1397"/>
      <c r="AI55" s="1397"/>
      <c r="AJ55" s="1397"/>
      <c r="AK55" s="1397"/>
      <c r="AL55" s="1397"/>
      <c r="AM55" s="1397"/>
      <c r="AN55" s="1397"/>
    </row>
    <row r="56" spans="1:40" s="1396" customFormat="1" ht="15">
      <c r="A56" s="2443" t="s">
        <v>1031</v>
      </c>
      <c r="B56" s="2444">
        <f>1+E58</f>
        <v>1</v>
      </c>
      <c r="C56" s="2463"/>
      <c r="D56" s="2446"/>
      <c r="E56" s="2447"/>
      <c r="F56" s="2448"/>
      <c r="G56" s="2442"/>
      <c r="H56" s="2442"/>
      <c r="I56" s="2442"/>
      <c r="J56" s="1062"/>
      <c r="K56" s="1062"/>
      <c r="L56" s="1062"/>
      <c r="M56" s="1062"/>
      <c r="N56" s="1062"/>
      <c r="P56" s="2191"/>
      <c r="Q56" s="2191"/>
      <c r="R56" s="2192"/>
      <c r="S56" s="2192"/>
      <c r="T56" s="2192"/>
      <c r="U56" s="2192"/>
      <c r="V56" s="2192"/>
      <c r="W56" s="2191"/>
      <c r="X56" s="2191"/>
      <c r="Y56" s="2191"/>
      <c r="Z56" s="2191"/>
      <c r="AA56" s="2191"/>
      <c r="AB56" s="2191"/>
      <c r="AC56" s="2191"/>
      <c r="AD56" s="2192"/>
      <c r="AE56" s="1397"/>
      <c r="AF56" s="1397"/>
      <c r="AG56" s="1397"/>
      <c r="AH56" s="1397"/>
      <c r="AI56" s="1397"/>
      <c r="AJ56" s="1397"/>
      <c r="AK56" s="1397"/>
      <c r="AL56" s="1397"/>
      <c r="AM56" s="1397"/>
      <c r="AN56" s="1397"/>
    </row>
    <row r="57" spans="1:40" s="1396" customFormat="1" ht="24">
      <c r="A57" s="1063" t="s">
        <v>1010</v>
      </c>
      <c r="B57" s="2427"/>
      <c r="C57" s="2449" t="s">
        <v>1012</v>
      </c>
      <c r="D57" s="2450" t="s">
        <v>1013</v>
      </c>
      <c r="E57" s="2451" t="s">
        <v>1015</v>
      </c>
      <c r="F57" s="2452" t="s">
        <v>2255</v>
      </c>
      <c r="G57" s="2450" t="s">
        <v>1016</v>
      </c>
      <c r="H57" s="2433" t="s">
        <v>2423</v>
      </c>
      <c r="I57" s="2450" t="s">
        <v>1014</v>
      </c>
      <c r="J57" s="2453" t="s">
        <v>1017</v>
      </c>
      <c r="K57" s="2453" t="s">
        <v>1018</v>
      </c>
      <c r="L57" s="2453" t="s">
        <v>1019</v>
      </c>
      <c r="M57" s="2453" t="s">
        <v>1020</v>
      </c>
      <c r="N57" s="2453" t="s">
        <v>1021</v>
      </c>
      <c r="P57" s="2191"/>
      <c r="Q57" s="2191"/>
      <c r="R57" s="2192"/>
      <c r="S57" s="2192"/>
      <c r="T57" s="2192"/>
      <c r="U57" s="2192"/>
      <c r="V57" s="2192"/>
      <c r="W57" s="2191"/>
      <c r="X57" s="2191"/>
      <c r="Y57" s="2191"/>
      <c r="Z57" s="2191"/>
      <c r="AA57" s="2191"/>
      <c r="AB57" s="2191"/>
      <c r="AC57" s="2191"/>
      <c r="AD57" s="2192"/>
      <c r="AE57" s="1397"/>
      <c r="AF57" s="1397"/>
      <c r="AG57" s="1397"/>
      <c r="AH57" s="1397"/>
      <c r="AI57" s="1397"/>
      <c r="AJ57" s="1397"/>
      <c r="AK57" s="1397"/>
      <c r="AL57" s="1397"/>
      <c r="AM57" s="1397"/>
      <c r="AN57" s="1397"/>
    </row>
    <row r="58" spans="1:40" s="1396" customFormat="1" ht="72">
      <c r="A58" s="1063" t="s">
        <v>1032</v>
      </c>
      <c r="B58" s="2430" t="str">
        <f>估价对象房地状况!C17</f>
        <v>估价对象位于管庄商圈，周边办公楼项目较多，入驻率较高，周边2公里有世通国际大厦、意菲克大厦等多个项目，办公集聚程度较好</v>
      </c>
      <c r="C58" s="1046"/>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7"/>
      <c r="AF58" s="1397"/>
      <c r="AG58" s="1397"/>
      <c r="AH58" s="1397"/>
      <c r="AI58" s="1397"/>
      <c r="AJ58" s="1397"/>
      <c r="AK58" s="1397"/>
      <c r="AL58" s="1397"/>
      <c r="AM58" s="1397"/>
      <c r="AN58" s="1397"/>
    </row>
    <row r="59" spans="1:40" s="1396" customFormat="1" ht="72">
      <c r="A59" s="1063" t="s">
        <v>1023</v>
      </c>
      <c r="B59" s="2427" t="str">
        <f>估价对象房地状况!C18</f>
        <v>估价对象周边道路状况较好、公共交通通达情况一般、停车便捷程度较好，有364、532、690路等公交线路及地铁八通线，综合评价交通便捷度一般</v>
      </c>
      <c r="C59" s="1046"/>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7"/>
      <c r="AF59" s="1397"/>
      <c r="AG59" s="1397"/>
      <c r="AH59" s="1397"/>
      <c r="AI59" s="1397"/>
      <c r="AJ59" s="1397"/>
      <c r="AK59" s="1397"/>
      <c r="AL59" s="1397"/>
      <c r="AM59" s="1397"/>
      <c r="AN59" s="1397"/>
    </row>
    <row r="60" spans="1:40" s="1396" customFormat="1" ht="24">
      <c r="A60" s="1063" t="s">
        <v>1024</v>
      </c>
      <c r="B60" s="2427">
        <f>估价对象房地状况!C19</f>
        <v>0</v>
      </c>
      <c r="C60" s="1046"/>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7"/>
      <c r="AF60" s="1397"/>
      <c r="AG60" s="1397"/>
      <c r="AH60" s="1397"/>
      <c r="AI60" s="1397"/>
      <c r="AJ60" s="1397"/>
      <c r="AK60" s="1397"/>
      <c r="AL60" s="1397"/>
      <c r="AM60" s="1397"/>
      <c r="AN60" s="1397"/>
    </row>
    <row r="61" spans="1:40" s="1396" customFormat="1" ht="36">
      <c r="A61" s="1063" t="s">
        <v>1025</v>
      </c>
      <c r="B61" s="3115" t="s">
        <v>2943</v>
      </c>
      <c r="C61" s="1046"/>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7"/>
      <c r="AF61" s="1397"/>
      <c r="AG61" s="1397"/>
      <c r="AH61" s="1397"/>
      <c r="AI61" s="1397"/>
      <c r="AJ61" s="1397"/>
      <c r="AK61" s="1397"/>
      <c r="AL61" s="1397"/>
      <c r="AM61" s="1397"/>
      <c r="AN61" s="1397"/>
    </row>
    <row r="62" spans="1:40" s="1396" customFormat="1" ht="24">
      <c r="A62" s="1063" t="s">
        <v>1026</v>
      </c>
      <c r="B62" s="2427" t="str">
        <f>估价对象房地状况!C24</f>
        <v>支路-塔营街</v>
      </c>
      <c r="C62" s="1046"/>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7"/>
      <c r="AF62" s="1397"/>
      <c r="AG62" s="1397"/>
      <c r="AH62" s="1397"/>
      <c r="AI62" s="1397"/>
      <c r="AJ62" s="1397"/>
      <c r="AK62" s="1397"/>
      <c r="AL62" s="1397"/>
      <c r="AM62" s="1397"/>
      <c r="AN62" s="1397"/>
    </row>
    <row r="63" spans="1:40" s="1396" customFormat="1" ht="24">
      <c r="A63" s="1063" t="s">
        <v>1027</v>
      </c>
      <c r="B63" s="3114" t="s">
        <v>2941</v>
      </c>
      <c r="C63" s="1046"/>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7"/>
      <c r="AF63" s="1397"/>
      <c r="AG63" s="1397"/>
      <c r="AH63" s="1397"/>
      <c r="AI63" s="1397"/>
      <c r="AJ63" s="1397"/>
      <c r="AK63" s="1397"/>
      <c r="AL63" s="1397"/>
      <c r="AM63" s="1397"/>
      <c r="AN63" s="1397"/>
    </row>
    <row r="64" spans="1:40" s="1396" customFormat="1" ht="24">
      <c r="A64" s="1063" t="s">
        <v>1028</v>
      </c>
      <c r="B64" s="2428" t="str">
        <f>估价对象房地状况!C21</f>
        <v>估价对象所在区域公共配套设施齐备情况较好</v>
      </c>
      <c r="C64" s="1046"/>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7"/>
      <c r="AF64" s="1397"/>
      <c r="AG64" s="1397"/>
      <c r="AH64" s="1397"/>
      <c r="AI64" s="1397"/>
      <c r="AJ64" s="1397"/>
      <c r="AK64" s="1397"/>
      <c r="AL64" s="1397"/>
      <c r="AM64" s="1397"/>
      <c r="AN64" s="1397"/>
    </row>
    <row r="65" spans="1:40" s="1396" customFormat="1" ht="24">
      <c r="A65" s="1063" t="s">
        <v>1029</v>
      </c>
      <c r="B65" s="2428" t="str">
        <f>估价对象房地状况!C22</f>
        <v>七通</v>
      </c>
      <c r="C65" s="1046"/>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7"/>
      <c r="AF65" s="1397"/>
      <c r="AG65" s="1397"/>
      <c r="AH65" s="1397"/>
      <c r="AI65" s="1397"/>
      <c r="AJ65" s="1397"/>
      <c r="AK65" s="1397"/>
      <c r="AL65" s="1397"/>
      <c r="AM65" s="1397"/>
      <c r="AN65" s="1397"/>
    </row>
    <row r="66" spans="1:40" s="1396" customFormat="1" ht="48.75" thickBot="1">
      <c r="A66" s="2460" t="s">
        <v>1030</v>
      </c>
      <c r="B66" s="2432" t="str">
        <f>估价对象房地状况!C20</f>
        <v>区域自然环境：八里桥音乐主题公园、西汇公园、金田公园等；人文环境；综合评价环境状况较好</v>
      </c>
      <c r="C66" s="1046"/>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7"/>
      <c r="AF66" s="1397"/>
      <c r="AG66" s="1397"/>
      <c r="AH66" s="1397"/>
      <c r="AI66" s="1397"/>
      <c r="AJ66" s="1397"/>
      <c r="AK66" s="1397"/>
      <c r="AL66" s="1397"/>
      <c r="AM66" s="1397"/>
      <c r="AN66" s="1397"/>
    </row>
    <row r="67" spans="1:40" s="1396" customFormat="1" ht="15">
      <c r="A67" s="2443" t="s">
        <v>1033</v>
      </c>
      <c r="B67" s="2444">
        <f>1+E69</f>
        <v>1</v>
      </c>
      <c r="C67" s="2463"/>
      <c r="D67" s="2446"/>
      <c r="E67" s="2447"/>
      <c r="F67" s="2448"/>
      <c r="G67" s="2442"/>
      <c r="H67" s="2442"/>
      <c r="I67" s="2442"/>
      <c r="J67" s="1062"/>
      <c r="K67" s="1062"/>
      <c r="L67" s="1062"/>
      <c r="M67" s="1062"/>
      <c r="N67" s="1062"/>
      <c r="P67" s="2191"/>
      <c r="Q67" s="2191"/>
      <c r="R67" s="2192"/>
      <c r="S67" s="2192"/>
      <c r="T67" s="2192"/>
      <c r="U67" s="2192"/>
      <c r="V67" s="2192"/>
      <c r="W67" s="2191"/>
      <c r="X67" s="2191"/>
      <c r="Y67" s="2191"/>
      <c r="Z67" s="2191"/>
      <c r="AA67" s="2191"/>
      <c r="AB67" s="2191"/>
      <c r="AC67" s="2191"/>
      <c r="AD67" s="2192"/>
      <c r="AE67" s="1397"/>
      <c r="AF67" s="1397"/>
      <c r="AG67" s="1397"/>
      <c r="AH67" s="1397"/>
      <c r="AI67" s="1397"/>
      <c r="AJ67" s="1397"/>
      <c r="AK67" s="1397"/>
      <c r="AL67" s="1397"/>
      <c r="AM67" s="1397"/>
      <c r="AN67" s="1397"/>
    </row>
    <row r="68" spans="1:40" s="1396" customFormat="1" ht="24">
      <c r="A68" s="1063" t="s">
        <v>1010</v>
      </c>
      <c r="B68" s="2427"/>
      <c r="C68" s="2449" t="s">
        <v>1012</v>
      </c>
      <c r="D68" s="2450" t="s">
        <v>1013</v>
      </c>
      <c r="E68" s="2451" t="s">
        <v>1015</v>
      </c>
      <c r="F68" s="2452" t="s">
        <v>2256</v>
      </c>
      <c r="G68" s="2450" t="s">
        <v>1016</v>
      </c>
      <c r="H68" s="2433" t="s">
        <v>2423</v>
      </c>
      <c r="I68" s="2450" t="s">
        <v>1014</v>
      </c>
      <c r="J68" s="2453" t="s">
        <v>1017</v>
      </c>
      <c r="K68" s="2453" t="s">
        <v>1018</v>
      </c>
      <c r="L68" s="2453" t="s">
        <v>1019</v>
      </c>
      <c r="M68" s="2453" t="s">
        <v>1020</v>
      </c>
      <c r="N68" s="2453" t="s">
        <v>1021</v>
      </c>
      <c r="P68" s="2191"/>
      <c r="Q68" s="2191"/>
      <c r="R68" s="2192"/>
      <c r="S68" s="2192"/>
      <c r="T68" s="2192"/>
      <c r="U68" s="2192"/>
      <c r="V68" s="2192"/>
      <c r="W68" s="2191"/>
      <c r="X68" s="2191"/>
      <c r="Y68" s="2191"/>
      <c r="Z68" s="2191"/>
      <c r="AA68" s="2191"/>
      <c r="AB68" s="2191"/>
      <c r="AC68" s="2191"/>
      <c r="AD68" s="2192"/>
      <c r="AE68" s="1397"/>
      <c r="AF68" s="1397"/>
      <c r="AG68" s="1397"/>
      <c r="AH68" s="1397"/>
      <c r="AI68" s="1397"/>
      <c r="AJ68" s="1397"/>
      <c r="AK68" s="1397"/>
      <c r="AL68" s="1397"/>
      <c r="AM68" s="1397"/>
      <c r="AN68" s="1397"/>
    </row>
    <row r="69" spans="1:40" s="1396" customFormat="1" ht="72">
      <c r="A69" s="1063" t="s">
        <v>1034</v>
      </c>
      <c r="B69" s="2430" t="str">
        <f>估价对象房地状况!C15</f>
        <v>估价对象周边居住用地比例较高、居住小区规模和社区发展完善程度较好，有远洋一方、管庄新村等多个项目、综合评价居住社区成熟度较好</v>
      </c>
      <c r="C69" s="1155"/>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7"/>
      <c r="AF69" s="1397"/>
      <c r="AG69" s="1397"/>
      <c r="AH69" s="1397"/>
      <c r="AI69" s="1397"/>
      <c r="AJ69" s="1397"/>
      <c r="AK69" s="1397"/>
      <c r="AL69" s="1397"/>
      <c r="AM69" s="1397"/>
      <c r="AN69" s="1397"/>
    </row>
    <row r="70" spans="1:40" s="1396" customFormat="1" ht="72">
      <c r="A70" s="1063" t="s">
        <v>1035</v>
      </c>
      <c r="B70" s="2427" t="str">
        <f>估价对象房地状况!C18</f>
        <v>估价对象周边道路状况较好、公共交通通达情况一般、停车便捷程度较好，有364、532、690路等公交线路及地铁八通线，综合评价交通便捷度一般</v>
      </c>
      <c r="C70" s="1155"/>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7"/>
      <c r="AF70" s="1397"/>
      <c r="AG70" s="1397"/>
      <c r="AH70" s="1397"/>
      <c r="AI70" s="1397"/>
      <c r="AJ70" s="1397"/>
      <c r="AK70" s="1397"/>
      <c r="AL70" s="1397"/>
      <c r="AM70" s="1397"/>
      <c r="AN70" s="1397"/>
    </row>
    <row r="71" spans="1:40" s="1396" customFormat="1" ht="24">
      <c r="A71" s="1063" t="s">
        <v>1024</v>
      </c>
      <c r="B71" s="2427">
        <f>估价对象房地状况!C19</f>
        <v>0</v>
      </c>
      <c r="C71" s="1155"/>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7"/>
      <c r="AF71" s="1397"/>
      <c r="AG71" s="1397"/>
      <c r="AH71" s="1397"/>
      <c r="AI71" s="1397"/>
      <c r="AJ71" s="1397"/>
      <c r="AK71" s="1397"/>
      <c r="AL71" s="1397"/>
      <c r="AM71" s="1397"/>
      <c r="AN71" s="1397"/>
    </row>
    <row r="72" spans="1:40" s="1396" customFormat="1" ht="14.25">
      <c r="A72" s="1063" t="s">
        <v>1036</v>
      </c>
      <c r="B72" s="2427" t="str">
        <f>估价对象房地状况!C24</f>
        <v>支路-塔营街</v>
      </c>
      <c r="C72" s="1155"/>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7"/>
      <c r="AF72" s="1397"/>
      <c r="AG72" s="1397"/>
      <c r="AH72" s="1397"/>
      <c r="AI72" s="1397"/>
      <c r="AJ72" s="1397"/>
      <c r="AK72" s="1397"/>
      <c r="AL72" s="1397"/>
      <c r="AM72" s="1397"/>
      <c r="AN72" s="1397"/>
    </row>
    <row r="73" spans="1:40" s="1396" customFormat="1" ht="24">
      <c r="A73" s="1063" t="s">
        <v>1028</v>
      </c>
      <c r="B73" s="2428" t="str">
        <f>估价对象房地状况!C21</f>
        <v>估价对象所在区域公共配套设施齐备情况较好</v>
      </c>
      <c r="C73" s="1155"/>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7"/>
      <c r="AF73" s="1397"/>
      <c r="AG73" s="1397"/>
      <c r="AH73" s="1397"/>
      <c r="AI73" s="1397"/>
      <c r="AJ73" s="1397"/>
      <c r="AK73" s="1397"/>
      <c r="AL73" s="1397"/>
      <c r="AM73" s="1397"/>
      <c r="AN73" s="1397"/>
    </row>
    <row r="74" spans="1:40" s="1396" customFormat="1" ht="24">
      <c r="A74" s="1063" t="s">
        <v>1029</v>
      </c>
      <c r="B74" s="2428" t="str">
        <f>估价对象房地状况!C22</f>
        <v>七通</v>
      </c>
      <c r="C74" s="1155"/>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7"/>
      <c r="AF74" s="1397"/>
      <c r="AG74" s="1397"/>
      <c r="AH74" s="1397"/>
      <c r="AI74" s="1397"/>
      <c r="AJ74" s="1397"/>
      <c r="AK74" s="1397"/>
      <c r="AL74" s="1397"/>
      <c r="AM74" s="1397"/>
      <c r="AN74" s="1397"/>
    </row>
    <row r="75" spans="1:40" s="1396" customFormat="1" ht="24">
      <c r="A75" s="1063" t="s">
        <v>1027</v>
      </c>
      <c r="B75" s="3114" t="s">
        <v>2941</v>
      </c>
      <c r="C75" s="1155"/>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7"/>
      <c r="AF75" s="1397"/>
      <c r="AG75" s="1397"/>
      <c r="AH75" s="1397"/>
      <c r="AI75" s="1397"/>
      <c r="AJ75" s="1397"/>
      <c r="AK75" s="1397"/>
      <c r="AL75" s="1397"/>
      <c r="AM75" s="1397"/>
      <c r="AN75" s="1397"/>
    </row>
    <row r="76" spans="1:40" ht="48">
      <c r="A76" s="1063" t="s">
        <v>1030</v>
      </c>
      <c r="B76" s="2430" t="str">
        <f>估价对象房地状况!C20</f>
        <v>区域自然环境：八里桥音乐主题公园、西汇公园、金田公园等；人文环境；综合评价环境状况较好</v>
      </c>
      <c r="C76" s="1155"/>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7"/>
      <c r="AN76" s="1398"/>
    </row>
    <row r="77" spans="1:40" ht="24.75" thickBot="1">
      <c r="A77" s="2460" t="s">
        <v>1037</v>
      </c>
      <c r="B77" s="1845"/>
      <c r="C77" s="1155"/>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399"/>
      <c r="AD77" s="1398"/>
      <c r="AJ77" s="1397"/>
      <c r="AN77" s="1398"/>
    </row>
    <row r="78" spans="1:40" ht="15">
      <c r="A78" s="2443" t="s">
        <v>1038</v>
      </c>
      <c r="B78" s="2444">
        <f>1+E80</f>
        <v>1</v>
      </c>
      <c r="C78" s="2463"/>
      <c r="D78" s="2446"/>
      <c r="E78" s="2447"/>
      <c r="F78" s="2448"/>
      <c r="G78" s="2442"/>
      <c r="H78" s="2442"/>
      <c r="I78" s="2442"/>
      <c r="J78" s="1062"/>
      <c r="K78" s="1062"/>
      <c r="L78" s="1062"/>
      <c r="M78" s="1062"/>
      <c r="N78" s="1062"/>
      <c r="AC78" s="1399"/>
      <c r="AD78" s="1398"/>
      <c r="AJ78" s="1397"/>
      <c r="AN78" s="1398"/>
    </row>
    <row r="79" spans="1:40" ht="24">
      <c r="A79" s="1063" t="s">
        <v>1010</v>
      </c>
      <c r="B79" s="2427"/>
      <c r="C79" s="2449" t="s">
        <v>1012</v>
      </c>
      <c r="D79" s="2450" t="s">
        <v>1013</v>
      </c>
      <c r="E79" s="2451" t="s">
        <v>1015</v>
      </c>
      <c r="F79" s="2452" t="s">
        <v>2257</v>
      </c>
      <c r="G79" s="2450" t="s">
        <v>1016</v>
      </c>
      <c r="H79" s="2433" t="s">
        <v>2423</v>
      </c>
      <c r="I79" s="2450" t="s">
        <v>1014</v>
      </c>
      <c r="J79" s="2453" t="s">
        <v>1017</v>
      </c>
      <c r="K79" s="2453" t="s">
        <v>1018</v>
      </c>
      <c r="L79" s="2453" t="s">
        <v>1019</v>
      </c>
      <c r="M79" s="2453" t="s">
        <v>1020</v>
      </c>
      <c r="N79" s="2453" t="s">
        <v>1021</v>
      </c>
      <c r="AC79" s="1399"/>
      <c r="AD79" s="1398"/>
      <c r="AJ79" s="1397"/>
      <c r="AN79" s="1398"/>
    </row>
    <row r="80" spans="1:40" ht="36">
      <c r="A80" s="1063" t="s">
        <v>1039</v>
      </c>
      <c r="B80" s="2427" t="str">
        <f>估价对象房地状况!G15</f>
        <v>估价对象位于XX开发区，园区建设成熟度XX，产业集聚程度XX</v>
      </c>
      <c r="C80" s="1046"/>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399"/>
      <c r="AD80" s="1398"/>
      <c r="AJ80" s="1397"/>
      <c r="AN80" s="1398"/>
    </row>
    <row r="81" spans="1:40" ht="48">
      <c r="A81" s="1063" t="s">
        <v>1035</v>
      </c>
      <c r="B81" s="2427" t="str">
        <f>估价对象房地状况!G16</f>
        <v>估价对象周边道路状况、公共交通通达情况、停车便捷程度，综合评价交通便捷度较好</v>
      </c>
      <c r="C81" s="1046"/>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399"/>
      <c r="AD81" s="1398"/>
      <c r="AJ81" s="1397"/>
      <c r="AN81" s="1398"/>
    </row>
    <row r="82" spans="1:40" ht="24">
      <c r="A82" s="1063" t="s">
        <v>1024</v>
      </c>
      <c r="B82" s="2427">
        <f>估价对象房地状况!G17</f>
        <v>0</v>
      </c>
      <c r="C82" s="1046"/>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399"/>
      <c r="AD82" s="1398"/>
      <c r="AJ82" s="1397"/>
      <c r="AN82" s="1398"/>
    </row>
    <row r="83" spans="1:40" ht="14.25">
      <c r="A83" s="1063" t="s">
        <v>1036</v>
      </c>
      <c r="B83" s="2427">
        <f>估价对象房地状况!G22</f>
        <v>0</v>
      </c>
      <c r="C83" s="1046"/>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399"/>
      <c r="AD83" s="1398"/>
      <c r="AJ83" s="1397"/>
      <c r="AN83" s="1398"/>
    </row>
    <row r="84" spans="1:40" ht="24">
      <c r="A84" s="1063" t="s">
        <v>1028</v>
      </c>
      <c r="B84" s="2428" t="str">
        <f>估价对象房地状况!G19</f>
        <v>估价对象所在区域公共配套设施齐备情况</v>
      </c>
      <c r="C84" s="1046"/>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399"/>
      <c r="AD84" s="1398"/>
      <c r="AJ84" s="1397"/>
      <c r="AN84" s="1398"/>
    </row>
    <row r="85" spans="1:40" ht="24">
      <c r="A85" s="1063" t="s">
        <v>1029</v>
      </c>
      <c r="B85" s="2428" t="str">
        <f>估价对象房地状况!G20</f>
        <v>估价对象所在区域基础设施水平</v>
      </c>
      <c r="C85" s="1046"/>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399"/>
      <c r="AD85" s="1398"/>
      <c r="AJ85" s="1397"/>
      <c r="AN85" s="1398"/>
    </row>
    <row r="86" spans="1:40" ht="24">
      <c r="A86" s="1063" t="s">
        <v>1027</v>
      </c>
      <c r="B86" s="3114" t="s">
        <v>2941</v>
      </c>
      <c r="C86" s="1046"/>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399"/>
      <c r="AD86" s="1398"/>
      <c r="AJ86" s="1397"/>
      <c r="AN86" s="1398"/>
    </row>
    <row r="87" spans="1:40" ht="36.75" thickBot="1">
      <c r="A87" s="2460" t="s">
        <v>1040</v>
      </c>
      <c r="B87" s="2429" t="str">
        <f>估价对象房地状况!G18</f>
        <v>该园区内是否有污染型企业，绿化情况，卫生条件，整体环境状况判断</v>
      </c>
      <c r="C87" s="1046"/>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399"/>
      <c r="AD87" s="1398"/>
      <c r="AJ87" s="1397"/>
      <c r="AN87" s="1398"/>
    </row>
    <row r="90" spans="1:40">
      <c r="A90" s="3763" t="s">
        <v>1635</v>
      </c>
      <c r="B90" s="3763"/>
      <c r="C90" s="3763"/>
      <c r="D90" s="3763"/>
      <c r="E90" s="3763"/>
      <c r="F90" s="3763"/>
      <c r="G90" s="3763"/>
      <c r="H90" s="3763"/>
      <c r="I90" s="3763"/>
      <c r="J90" s="3763"/>
      <c r="K90" s="2469"/>
      <c r="L90" s="2469"/>
      <c r="M90" s="2469"/>
      <c r="N90" s="2469"/>
    </row>
    <row r="91" spans="1:40">
      <c r="A91" s="3764" t="s">
        <v>1445</v>
      </c>
      <c r="B91" s="3764" t="s">
        <v>1636</v>
      </c>
      <c r="C91" s="1136" t="s">
        <v>1637</v>
      </c>
      <c r="D91" s="1137"/>
      <c r="E91" s="1137"/>
      <c r="F91" s="1137"/>
      <c r="G91" s="1137"/>
      <c r="H91" s="1137"/>
      <c r="I91" s="1137"/>
      <c r="J91" s="1138"/>
      <c r="K91" s="1130"/>
      <c r="L91" s="1130"/>
      <c r="M91" s="1130"/>
      <c r="N91" s="1130"/>
    </row>
    <row r="92" spans="1:40">
      <c r="A92" s="3764"/>
      <c r="B92" s="3764"/>
      <c r="C92" s="2468" t="s">
        <v>908</v>
      </c>
      <c r="D92" s="2468" t="s">
        <v>886</v>
      </c>
      <c r="E92" s="2468" t="s">
        <v>887</v>
      </c>
      <c r="F92" s="2468" t="s">
        <v>911</v>
      </c>
      <c r="G92" s="2468" t="s">
        <v>889</v>
      </c>
      <c r="H92" s="2468" t="s">
        <v>890</v>
      </c>
      <c r="I92" s="2468" t="s">
        <v>891</v>
      </c>
      <c r="J92" s="2468" t="s">
        <v>892</v>
      </c>
      <c r="K92" s="2468" t="s">
        <v>916</v>
      </c>
      <c r="L92" s="2468" t="s">
        <v>894</v>
      </c>
      <c r="M92" s="2468" t="s">
        <v>895</v>
      </c>
      <c r="N92" s="2468" t="s">
        <v>919</v>
      </c>
    </row>
    <row r="93" spans="1:40">
      <c r="A93" s="3753" t="s">
        <v>2771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54"/>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53" t="s">
        <v>1639</v>
      </c>
      <c r="B101" s="1143" t="s">
        <v>907</v>
      </c>
      <c r="C101" s="1144">
        <f>$G$3</f>
        <v>1.7</v>
      </c>
      <c r="D101" s="1144">
        <f t="shared" ref="D101:N101" si="31">$G$3</f>
        <v>1.7</v>
      </c>
      <c r="E101" s="1144">
        <f t="shared" si="31"/>
        <v>1.7</v>
      </c>
      <c r="F101" s="1144">
        <f t="shared" si="31"/>
        <v>1.7</v>
      </c>
      <c r="G101" s="1144">
        <f t="shared" si="31"/>
        <v>1.7</v>
      </c>
      <c r="H101" s="1144">
        <f t="shared" si="31"/>
        <v>1.7</v>
      </c>
      <c r="I101" s="1144">
        <f t="shared" si="31"/>
        <v>1.7</v>
      </c>
      <c r="J101" s="1144">
        <f t="shared" si="31"/>
        <v>1.7</v>
      </c>
      <c r="K101" s="1144">
        <f t="shared" si="31"/>
        <v>1.7</v>
      </c>
      <c r="L101" s="1144">
        <f t="shared" si="31"/>
        <v>1.7</v>
      </c>
      <c r="M101" s="1144">
        <f t="shared" si="31"/>
        <v>1.7</v>
      </c>
      <c r="N101" s="1144">
        <f t="shared" si="31"/>
        <v>1.7</v>
      </c>
    </row>
    <row r="102" spans="1:14">
      <c r="A102" s="3754"/>
      <c r="B102" s="1139">
        <v>1</v>
      </c>
      <c r="C102" s="1140">
        <f>1.9362/C101</f>
        <v>1.1389411764705881</v>
      </c>
      <c r="D102" s="1140">
        <f>1.9362/D101</f>
        <v>1.1389411764705881</v>
      </c>
      <c r="E102" s="1140">
        <f>1.8629/E101</f>
        <v>1.0958235294117646</v>
      </c>
      <c r="F102" s="1140">
        <f>1.8629/F101</f>
        <v>1.0958235294117646</v>
      </c>
      <c r="G102" s="1140">
        <f>1.8629/G101</f>
        <v>1.0958235294117646</v>
      </c>
      <c r="H102" s="1140">
        <f>1.8629/H101</f>
        <v>1.0958235294117646</v>
      </c>
      <c r="I102" s="1140">
        <f>1.8629/I101</f>
        <v>1.0958235294117646</v>
      </c>
      <c r="J102" s="1140">
        <f>1.942/J101</f>
        <v>1.1423529411764706</v>
      </c>
      <c r="K102" s="1140">
        <f>1.942/K101</f>
        <v>1.1423529411764706</v>
      </c>
      <c r="L102" s="1140">
        <f>1.942/L101</f>
        <v>1.1423529411764706</v>
      </c>
      <c r="M102" s="1140">
        <f>1.942/M101</f>
        <v>1.1423529411764706</v>
      </c>
      <c r="N102" s="1140">
        <f>1.942/N101</f>
        <v>1.1423529411764706</v>
      </c>
    </row>
    <row r="103" spans="1:14">
      <c r="A103" s="3754"/>
      <c r="B103" s="1139">
        <v>2</v>
      </c>
      <c r="C103" s="1140">
        <f>1.4198/C101</f>
        <v>0.8351764705882353</v>
      </c>
      <c r="D103" s="1140">
        <f>1.4198/D101</f>
        <v>0.8351764705882353</v>
      </c>
      <c r="E103" s="1140">
        <f>1.3372/E101</f>
        <v>0.78658823529411759</v>
      </c>
      <c r="F103" s="1140">
        <f>1.3372/F101</f>
        <v>0.78658823529411759</v>
      </c>
      <c r="G103" s="1140">
        <f>1.3372/G101</f>
        <v>0.78658823529411759</v>
      </c>
      <c r="H103" s="1140">
        <f>1.3372/H101</f>
        <v>0.78658823529411759</v>
      </c>
      <c r="I103" s="1140">
        <f>1.3372/I101</f>
        <v>0.78658823529411759</v>
      </c>
      <c r="J103" s="1140">
        <f>1.2799/J101</f>
        <v>0.75288235294117656</v>
      </c>
      <c r="K103" s="1140">
        <f>1.2799/K101</f>
        <v>0.75288235294117656</v>
      </c>
      <c r="L103" s="1140">
        <f>1.2799/L101</f>
        <v>0.75288235294117656</v>
      </c>
      <c r="M103" s="1140">
        <f>1.2799/M101</f>
        <v>0.75288235294117656</v>
      </c>
      <c r="N103" s="1140">
        <f>1.2799/N101</f>
        <v>0.75288235294117656</v>
      </c>
    </row>
    <row r="104" spans="1:14">
      <c r="A104" s="3754"/>
      <c r="B104" s="1139">
        <v>3</v>
      </c>
      <c r="C104" s="1140">
        <f>1.1594/C101</f>
        <v>0.68200000000000005</v>
      </c>
      <c r="D104" s="1140">
        <f>1.1594/D101</f>
        <v>0.68200000000000005</v>
      </c>
      <c r="E104" s="1140">
        <f>1.0788/E101</f>
        <v>0.63458823529411768</v>
      </c>
      <c r="F104" s="1140">
        <f>1.0788/F101</f>
        <v>0.63458823529411768</v>
      </c>
      <c r="G104" s="1140">
        <f>1.0788/G101</f>
        <v>0.63458823529411768</v>
      </c>
      <c r="H104" s="1140">
        <f>1.0788/H101</f>
        <v>0.63458823529411768</v>
      </c>
      <c r="I104" s="1140">
        <f>1.0788/I101</f>
        <v>0.63458823529411768</v>
      </c>
      <c r="J104" s="1140">
        <f>1.0072/J101</f>
        <v>0.59247058823529419</v>
      </c>
      <c r="K104" s="1140">
        <f>1.0072/K101</f>
        <v>0.59247058823529419</v>
      </c>
      <c r="L104" s="1140">
        <f>1.0072/L101</f>
        <v>0.59247058823529419</v>
      </c>
      <c r="M104" s="1140">
        <f>1.0072/M101</f>
        <v>0.59247058823529419</v>
      </c>
      <c r="N104" s="1140">
        <f>1.0072/N101</f>
        <v>0.59247058823529419</v>
      </c>
    </row>
    <row r="105" spans="1:14">
      <c r="A105" s="3754"/>
      <c r="B105" s="1139">
        <v>4</v>
      </c>
      <c r="C105" s="1140">
        <f>0.9622/C101</f>
        <v>0.56600000000000006</v>
      </c>
      <c r="D105" s="1140">
        <f>0.9622/D101</f>
        <v>0.56600000000000006</v>
      </c>
      <c r="E105" s="1140">
        <f>0.8656/E101</f>
        <v>0.50917647058823534</v>
      </c>
      <c r="F105" s="1140">
        <f>0.8656/F101</f>
        <v>0.50917647058823534</v>
      </c>
      <c r="G105" s="1140">
        <f>0.8656/G101</f>
        <v>0.50917647058823534</v>
      </c>
      <c r="H105" s="1140">
        <f>0.8656/H101</f>
        <v>0.50917647058823534</v>
      </c>
      <c r="I105" s="1140">
        <f>0.8656/I101</f>
        <v>0.50917647058823534</v>
      </c>
      <c r="J105" s="1140">
        <f>0.7525/J101</f>
        <v>0.44264705882352939</v>
      </c>
      <c r="K105" s="1140">
        <f>0.7525/K101</f>
        <v>0.44264705882352939</v>
      </c>
      <c r="L105" s="1140">
        <f>0.7525/L101</f>
        <v>0.44264705882352939</v>
      </c>
      <c r="M105" s="1140">
        <f>0.7525/M101</f>
        <v>0.44264705882352939</v>
      </c>
      <c r="N105" s="1140">
        <f>0.7525/N101</f>
        <v>0.44264705882352939</v>
      </c>
    </row>
    <row r="106" spans="1:14">
      <c r="A106" s="3754"/>
      <c r="B106" s="1139">
        <v>5</v>
      </c>
      <c r="C106" s="1140">
        <f>0.8417/C101</f>
        <v>0.49511764705882355</v>
      </c>
      <c r="D106" s="1140">
        <f>0.8417/D101</f>
        <v>0.49511764705882355</v>
      </c>
      <c r="E106" s="1140">
        <f>0.7371/E101</f>
        <v>0.43358823529411766</v>
      </c>
      <c r="F106" s="1140">
        <f>0.7371/F101</f>
        <v>0.43358823529411766</v>
      </c>
      <c r="G106" s="1140">
        <f>0.7371/G101</f>
        <v>0.43358823529411766</v>
      </c>
      <c r="H106" s="1140">
        <f>0.7371/H101</f>
        <v>0.43358823529411766</v>
      </c>
      <c r="I106" s="1140">
        <f>0.7371/I101</f>
        <v>0.43358823529411766</v>
      </c>
      <c r="J106" s="1140">
        <f>0.5659/J101</f>
        <v>0.33288235294117646</v>
      </c>
      <c r="K106" s="1140">
        <f>0.5659/K101</f>
        <v>0.33288235294117646</v>
      </c>
      <c r="L106" s="1140">
        <f>0.5659/L101</f>
        <v>0.33288235294117646</v>
      </c>
      <c r="M106" s="1140">
        <f>0.5659/M101</f>
        <v>0.33288235294117646</v>
      </c>
      <c r="N106" s="1140">
        <f>0.5659/N101</f>
        <v>0.33288235294117646</v>
      </c>
    </row>
    <row r="107" spans="1:14">
      <c r="A107" s="3754"/>
      <c r="B107" s="1139">
        <v>6</v>
      </c>
      <c r="C107" s="1140">
        <f>0.7608/C101</f>
        <v>0.4475294117647059</v>
      </c>
      <c r="D107" s="1140">
        <f>0.7608/D101</f>
        <v>0.4475294117647059</v>
      </c>
      <c r="E107" s="1140">
        <f>0.6482/E101</f>
        <v>0.38129411764705884</v>
      </c>
      <c r="F107" s="1140">
        <f>0.6482/F101</f>
        <v>0.38129411764705884</v>
      </c>
      <c r="G107" s="1140">
        <f>0.6482/G101</f>
        <v>0.38129411764705884</v>
      </c>
      <c r="H107" s="1140">
        <f>0.6482/H101</f>
        <v>0.38129411764705884</v>
      </c>
      <c r="I107" s="1140">
        <f>0.6482/I101</f>
        <v>0.38129411764705884</v>
      </c>
      <c r="J107" s="1140">
        <f>0.4525/J101</f>
        <v>0.26617647058823529</v>
      </c>
      <c r="K107" s="1140">
        <f>0.4525/K101</f>
        <v>0.26617647058823529</v>
      </c>
      <c r="L107" s="1140">
        <f>0.4525/L101</f>
        <v>0.26617647058823529</v>
      </c>
      <c r="M107" s="1140">
        <f>0.4525/M101</f>
        <v>0.26617647058823529</v>
      </c>
      <c r="N107" s="1140">
        <f>0.4525/N101</f>
        <v>0.26617647058823529</v>
      </c>
    </row>
    <row r="108" spans="1:14">
      <c r="A108" s="3754"/>
      <c r="B108" s="3756"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55"/>
      <c r="B109" s="3757"/>
      <c r="C109" s="1142">
        <f>(-0.163*(C108^2)-0.59*C108+7617)*(10^(-4))/C101</f>
        <v>0.44716752941176474</v>
      </c>
      <c r="D109" s="1142">
        <f>(-0.163*(D108^2)-0.59*D108+7617)*(10^(-4))/D101</f>
        <v>0.44716752941176474</v>
      </c>
      <c r="E109" s="1142">
        <f>(-0.161*(E108^2)-7.509*E108+6533)*(10^(-4))/E101</f>
        <v>0.3801543529411765</v>
      </c>
      <c r="F109" s="1142">
        <f>(-0.161*(F108^2)-7.509*F108+6533)*(10^(-4))/F101</f>
        <v>0.3801543529411765</v>
      </c>
      <c r="G109" s="1142">
        <f>(-0.161*(G108^2)-7.509*G108+6533)*(10^(-4))/G101</f>
        <v>0.3801543529411765</v>
      </c>
      <c r="H109" s="1142">
        <f>(-0.161*(H108^2)-7.509*H108+6533)*(10^(-4))/H101</f>
        <v>0.3801543529411765</v>
      </c>
      <c r="I109" s="1142">
        <f>(-0.161*(I108^2)-7.509*I108+6533)*(10^(-4))/I101</f>
        <v>0.3801543529411765</v>
      </c>
      <c r="J109" s="1142">
        <f>(-0.214*(J108^2)-21.991*J108+4665)*(10^(-4))/J101</f>
        <v>0.26325741176470591</v>
      </c>
      <c r="K109" s="1142">
        <f>(-0.214*(K108^2)-21.991*K108+4665)*(10^(-4))/K101</f>
        <v>0.26325741176470591</v>
      </c>
      <c r="L109" s="1142">
        <f>(-0.214*(L108^2)-21.991*L108+4665)*(10^(-4))/L101</f>
        <v>0.26325741176470591</v>
      </c>
      <c r="M109" s="1142">
        <f>(-0.214*(M108^2)-21.991*M108+4665)*(10^(-4))/M101</f>
        <v>0.26325741176470591</v>
      </c>
      <c r="N109" s="1142">
        <f>(-0.214*(N108^2)-21.991*N108+4665)*(10^(-4))/N101</f>
        <v>0.26325741176470591</v>
      </c>
    </row>
    <row r="110" spans="1:14">
      <c r="A110" s="3758" t="s">
        <v>1641</v>
      </c>
      <c r="B110" s="3758"/>
      <c r="C110" s="3758"/>
      <c r="D110" s="3758"/>
      <c r="E110" s="3758"/>
      <c r="F110" s="3758"/>
      <c r="G110" s="3758"/>
      <c r="H110" s="3758"/>
      <c r="I110" s="3758"/>
      <c r="J110" s="3758"/>
      <c r="K110" s="2467"/>
      <c r="L110" s="2467"/>
      <c r="M110" s="2467"/>
      <c r="N110" s="2467"/>
    </row>
    <row r="112" spans="1:14" ht="12.75" thickBot="1"/>
    <row r="113" spans="1:13" ht="25.5" thickBot="1">
      <c r="A113" s="1012" t="s">
        <v>897</v>
      </c>
      <c r="B113" s="2470">
        <f>G3</f>
        <v>1.7</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0.91749999999999998</v>
      </c>
      <c r="C115" s="1026">
        <f>B115</f>
        <v>0.91749999999999998</v>
      </c>
      <c r="D115" s="1026">
        <f>ROUND(0.8331-0.0109*B113,4)</f>
        <v>0.81459999999999999</v>
      </c>
      <c r="E115" s="1026">
        <f>D115</f>
        <v>0.81459999999999999</v>
      </c>
      <c r="F115" s="1026">
        <f>E115</f>
        <v>0.81459999999999999</v>
      </c>
      <c r="G115" s="1026">
        <f>F115</f>
        <v>0.81459999999999999</v>
      </c>
      <c r="H115" s="1026">
        <f>G115</f>
        <v>0.81459999999999999</v>
      </c>
      <c r="I115" s="1026">
        <f>ROUND(0.689-0.0155*B113,4)</f>
        <v>0.66269999999999996</v>
      </c>
      <c r="J115" s="1026">
        <f t="shared" ref="J115:M118" si="33">I115</f>
        <v>0.66269999999999996</v>
      </c>
      <c r="K115" s="1026">
        <f t="shared" si="33"/>
        <v>0.66269999999999996</v>
      </c>
      <c r="L115" s="1026">
        <f t="shared" si="33"/>
        <v>0.66269999999999996</v>
      </c>
      <c r="M115" s="1027">
        <f t="shared" si="33"/>
        <v>0.66269999999999996</v>
      </c>
    </row>
    <row r="116" spans="1:13" ht="12.75">
      <c r="A116" s="1025" t="s">
        <v>902</v>
      </c>
      <c r="B116" s="1026">
        <f>ROUND(0.949-0.012*B113,4)</f>
        <v>0.92859999999999998</v>
      </c>
      <c r="C116" s="1026">
        <f>B116</f>
        <v>0.92859999999999998</v>
      </c>
      <c r="D116" s="1026">
        <f>ROUND(0.8567-0.013*B113,4)</f>
        <v>0.83460000000000001</v>
      </c>
      <c r="E116" s="1026">
        <f t="shared" ref="E116:H117" si="34">D116</f>
        <v>0.83460000000000001</v>
      </c>
      <c r="F116" s="1026">
        <f t="shared" si="34"/>
        <v>0.83460000000000001</v>
      </c>
      <c r="G116" s="1026">
        <f t="shared" si="34"/>
        <v>0.83460000000000001</v>
      </c>
      <c r="H116" s="1026">
        <f t="shared" si="34"/>
        <v>0.83460000000000001</v>
      </c>
      <c r="I116" s="1026">
        <f>ROUND(0.7694-0.014*B113,4)</f>
        <v>0.74560000000000004</v>
      </c>
      <c r="J116" s="1026">
        <f t="shared" si="33"/>
        <v>0.74560000000000004</v>
      </c>
      <c r="K116" s="1026">
        <f t="shared" si="33"/>
        <v>0.74560000000000004</v>
      </c>
      <c r="L116" s="1026">
        <f t="shared" si="33"/>
        <v>0.74560000000000004</v>
      </c>
      <c r="M116" s="1027">
        <f t="shared" si="33"/>
        <v>0.74560000000000004</v>
      </c>
    </row>
    <row r="117" spans="1:13" ht="12.75">
      <c r="A117" s="1028" t="s">
        <v>903</v>
      </c>
      <c r="B117" s="1026">
        <f>ROUND(0.8808-0.006*B113,4)</f>
        <v>0.87060000000000004</v>
      </c>
      <c r="C117" s="1026">
        <f>B117</f>
        <v>0.87060000000000004</v>
      </c>
      <c r="D117" s="1026">
        <f>ROUND(0.8748-0.008*B113,4)</f>
        <v>0.86119999999999997</v>
      </c>
      <c r="E117" s="1026">
        <f t="shared" si="34"/>
        <v>0.86119999999999997</v>
      </c>
      <c r="F117" s="1026">
        <f t="shared" si="34"/>
        <v>0.86119999999999997</v>
      </c>
      <c r="G117" s="1026">
        <f t="shared" si="34"/>
        <v>0.86119999999999997</v>
      </c>
      <c r="H117" s="1026">
        <f t="shared" si="34"/>
        <v>0.86119999999999997</v>
      </c>
      <c r="I117" s="1026">
        <f>ROUND(0.7412-0.0095*B113,4)</f>
        <v>0.72509999999999997</v>
      </c>
      <c r="J117" s="1026">
        <f t="shared" si="33"/>
        <v>0.72509999999999997</v>
      </c>
      <c r="K117" s="1026">
        <f t="shared" si="33"/>
        <v>0.72509999999999997</v>
      </c>
      <c r="L117" s="1026">
        <f t="shared" si="33"/>
        <v>0.72509999999999997</v>
      </c>
      <c r="M117" s="1027">
        <f t="shared" si="33"/>
        <v>0.72509999999999997</v>
      </c>
    </row>
    <row r="118" spans="1:13" ht="13.5" thickBot="1">
      <c r="A118" s="1029" t="s">
        <v>904</v>
      </c>
      <c r="B118" s="1030">
        <f>ROUND(0.7275-0.01*B113,4)</f>
        <v>0.71050000000000002</v>
      </c>
      <c r="C118" s="1030">
        <f>B118</f>
        <v>0.71050000000000002</v>
      </c>
      <c r="D118" s="1030">
        <f>ROUND(0.7043-0.012*B113,4)</f>
        <v>0.68389999999999995</v>
      </c>
      <c r="E118" s="1030">
        <f>D118</f>
        <v>0.68389999999999995</v>
      </c>
      <c r="F118" s="1030">
        <f>E118</f>
        <v>0.68389999999999995</v>
      </c>
      <c r="G118" s="1030">
        <f>ROUND(0.6299-0.0122*B113,4)</f>
        <v>0.60919999999999996</v>
      </c>
      <c r="H118" s="1030">
        <f>G118</f>
        <v>0.60919999999999996</v>
      </c>
      <c r="I118" s="1030">
        <f>ROUND(0.5667-0.0136*B113,4)</f>
        <v>0.54359999999999997</v>
      </c>
      <c r="J118" s="1030">
        <f t="shared" si="33"/>
        <v>0.54359999999999997</v>
      </c>
      <c r="K118" s="1030">
        <f t="shared" si="33"/>
        <v>0.54359999999999997</v>
      </c>
      <c r="L118" s="1030">
        <f t="shared" si="33"/>
        <v>0.54359999999999997</v>
      </c>
      <c r="M118" s="1031">
        <f t="shared" si="33"/>
        <v>0.54359999999999997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3" customFormat="1" ht="19.5" customHeight="1">
      <c r="A18" s="3764" t="s">
        <v>1009</v>
      </c>
      <c r="B18" s="1150" t="s">
        <v>1448</v>
      </c>
      <c r="C18" s="1127" t="s">
        <v>1449</v>
      </c>
      <c r="D18" s="1128"/>
      <c r="E18" s="1150">
        <v>1</v>
      </c>
      <c r="F18" s="1129" t="s">
        <v>1450</v>
      </c>
      <c r="G18" s="1130"/>
      <c r="H18" s="1101"/>
      <c r="I18" s="1101"/>
    </row>
    <row r="19" spans="1:9" s="1593" customFormat="1" ht="19.5" customHeight="1">
      <c r="A19" s="3764"/>
      <c r="B19" s="3764" t="s">
        <v>1451</v>
      </c>
      <c r="C19" s="1127" t="s">
        <v>1452</v>
      </c>
      <c r="D19" s="1128"/>
      <c r="E19" s="1150">
        <v>0.9</v>
      </c>
      <c r="F19" s="1129" t="s">
        <v>1453</v>
      </c>
      <c r="G19" s="1130"/>
      <c r="H19" s="1101"/>
      <c r="I19" s="1101"/>
    </row>
    <row r="20" spans="1:9" s="1593" customFormat="1" ht="19.5" customHeight="1">
      <c r="A20" s="3764"/>
      <c r="B20" s="3764"/>
      <c r="C20" s="1127" t="s">
        <v>1454</v>
      </c>
      <c r="D20" s="1128"/>
      <c r="E20" s="1150">
        <v>1.1000000000000001</v>
      </c>
      <c r="F20" s="1129" t="s">
        <v>1455</v>
      </c>
      <c r="G20" s="1130"/>
      <c r="H20" s="1101"/>
      <c r="I20" s="1101"/>
    </row>
    <row r="21" spans="1:9" s="1593" customFormat="1" ht="19.5" customHeight="1">
      <c r="A21" s="3764"/>
      <c r="B21" s="3764"/>
      <c r="C21" s="1127" t="s">
        <v>1456</v>
      </c>
      <c r="D21" s="1128"/>
      <c r="E21" s="1150">
        <v>0.8</v>
      </c>
      <c r="F21" s="1129" t="s">
        <v>1457</v>
      </c>
      <c r="G21" s="1130"/>
      <c r="H21" s="1101"/>
      <c r="I21" s="1101"/>
    </row>
    <row r="22" spans="1:9" s="1593" customFormat="1" ht="19.5" customHeight="1">
      <c r="A22" s="3764"/>
      <c r="B22" s="3764"/>
      <c r="C22" s="1127" t="s">
        <v>1458</v>
      </c>
      <c r="D22" s="1128"/>
      <c r="E22" s="1150">
        <v>0.5</v>
      </c>
      <c r="F22" s="1129"/>
      <c r="G22" s="1130"/>
      <c r="H22" s="1101"/>
      <c r="I22" s="1101"/>
    </row>
    <row r="23" spans="1:9" s="1593" customFormat="1" ht="19.5" customHeight="1">
      <c r="A23" s="3764" t="s">
        <v>1031</v>
      </c>
      <c r="B23" s="1150" t="s">
        <v>1448</v>
      </c>
      <c r="C23" s="1127" t="s">
        <v>1459</v>
      </c>
      <c r="D23" s="1128"/>
      <c r="E23" s="1150">
        <v>1</v>
      </c>
      <c r="F23" s="1129" t="s">
        <v>1460</v>
      </c>
      <c r="G23" s="1130"/>
      <c r="H23" s="1101"/>
      <c r="I23" s="1101"/>
    </row>
    <row r="24" spans="1:9" s="1593" customFormat="1" ht="19.5" customHeight="1">
      <c r="A24" s="3764"/>
      <c r="B24" s="3764" t="s">
        <v>1451</v>
      </c>
      <c r="C24" s="1127" t="s">
        <v>1461</v>
      </c>
      <c r="D24" s="1128"/>
      <c r="E24" s="1150">
        <v>0.5</v>
      </c>
      <c r="F24" s="1129"/>
      <c r="G24" s="1130"/>
      <c r="H24" s="1101"/>
      <c r="I24" s="1101"/>
    </row>
    <row r="25" spans="1:9" s="1593" customFormat="1" ht="19.5" customHeight="1">
      <c r="A25" s="3764"/>
      <c r="B25" s="3764"/>
      <c r="C25" s="1127" t="s">
        <v>1462</v>
      </c>
      <c r="D25" s="1128"/>
      <c r="E25" s="1150">
        <v>1.1000000000000001</v>
      </c>
      <c r="F25" s="1129"/>
      <c r="G25" s="1130"/>
      <c r="H25" s="1101"/>
      <c r="I25" s="1101"/>
    </row>
    <row r="26" spans="1:9" s="1593" customFormat="1" ht="19.5" customHeight="1">
      <c r="A26" s="3764"/>
      <c r="B26" s="3764"/>
      <c r="C26" s="1127" t="s">
        <v>1463</v>
      </c>
      <c r="D26" s="1128"/>
      <c r="E26" s="1150">
        <v>1.1000000000000001</v>
      </c>
      <c r="F26" s="1129"/>
      <c r="G26" s="1130"/>
      <c r="H26" s="1101"/>
      <c r="I26" s="1101"/>
    </row>
    <row r="27" spans="1:9" s="1593" customFormat="1" ht="19.5" customHeight="1">
      <c r="A27" s="3764"/>
      <c r="B27" s="3764"/>
      <c r="C27" s="1127" t="s">
        <v>1464</v>
      </c>
      <c r="D27" s="1128"/>
      <c r="E27" s="1150">
        <v>0.9</v>
      </c>
      <c r="F27" s="1129" t="s">
        <v>1465</v>
      </c>
      <c r="G27" s="1130"/>
      <c r="H27" s="1101"/>
      <c r="I27" s="1101"/>
    </row>
    <row r="28" spans="1:9" s="1593" customFormat="1" ht="19.5" customHeight="1">
      <c r="A28" s="3764"/>
      <c r="B28" s="3764"/>
      <c r="C28" s="1127" t="s">
        <v>1466</v>
      </c>
      <c r="D28" s="1128"/>
      <c r="E28" s="1150">
        <v>0.9</v>
      </c>
      <c r="F28" s="1129" t="s">
        <v>1467</v>
      </c>
      <c r="G28" s="1130"/>
      <c r="H28" s="1101"/>
      <c r="I28" s="1101"/>
    </row>
    <row r="29" spans="1:9" s="1593" customFormat="1" ht="19.5" customHeight="1">
      <c r="A29" s="3764"/>
      <c r="B29" s="3764"/>
      <c r="C29" s="1127" t="s">
        <v>1468</v>
      </c>
      <c r="D29" s="1128"/>
      <c r="E29" s="1150">
        <v>0.9</v>
      </c>
      <c r="F29" s="1129" t="s">
        <v>1469</v>
      </c>
      <c r="G29" s="1130"/>
      <c r="H29" s="1101"/>
      <c r="I29" s="1101"/>
    </row>
    <row r="30" spans="1:9" s="1593" customFormat="1" ht="19.5" customHeight="1">
      <c r="A30" s="3764"/>
      <c r="B30" s="3764"/>
      <c r="C30" s="1127" t="s">
        <v>1470</v>
      </c>
      <c r="D30" s="1128"/>
      <c r="E30" s="1150">
        <v>0.9</v>
      </c>
      <c r="F30" s="1129" t="s">
        <v>1471</v>
      </c>
      <c r="G30" s="1130"/>
      <c r="H30" s="1101"/>
      <c r="I30" s="1101"/>
    </row>
    <row r="31" spans="1:9" s="1593" customFormat="1" ht="19.5" customHeight="1">
      <c r="A31" s="3764"/>
      <c r="B31" s="3764"/>
      <c r="C31" s="1127" t="s">
        <v>1472</v>
      </c>
      <c r="D31" s="1128"/>
      <c r="E31" s="1150">
        <v>0.8</v>
      </c>
      <c r="F31" s="1129" t="s">
        <v>1473</v>
      </c>
      <c r="G31" s="1130"/>
      <c r="H31" s="1101"/>
      <c r="I31" s="1101"/>
    </row>
    <row r="32" spans="1:9" s="1593" customFormat="1" ht="19.5" customHeight="1">
      <c r="A32" s="3764"/>
      <c r="B32" s="3764"/>
      <c r="C32" s="1127" t="s">
        <v>1474</v>
      </c>
      <c r="D32" s="1128"/>
      <c r="E32" s="1150">
        <v>0.8</v>
      </c>
      <c r="F32" s="1129" t="s">
        <v>1475</v>
      </c>
      <c r="G32" s="1130"/>
      <c r="H32" s="1101"/>
      <c r="I32" s="1101"/>
    </row>
    <row r="33" spans="1:9" s="1593" customFormat="1" ht="19.5" customHeight="1">
      <c r="A33" s="3764" t="s">
        <v>1476</v>
      </c>
      <c r="B33" s="1150" t="s">
        <v>1448</v>
      </c>
      <c r="C33" s="1127" t="s">
        <v>1477</v>
      </c>
      <c r="D33" s="1128"/>
      <c r="E33" s="1150">
        <v>1</v>
      </c>
      <c r="F33" s="1129" t="s">
        <v>1478</v>
      </c>
      <c r="G33" s="1130"/>
      <c r="H33" s="1101"/>
      <c r="I33" s="1101"/>
    </row>
    <row r="34" spans="1:9" s="1593" customFormat="1" ht="19.5" customHeight="1">
      <c r="A34" s="3764"/>
      <c r="B34" s="1150" t="s">
        <v>1451</v>
      </c>
      <c r="C34" s="1127" t="s">
        <v>1479</v>
      </c>
      <c r="D34" s="1128"/>
      <c r="E34" s="1150">
        <v>1.5</v>
      </c>
      <c r="F34" s="1129" t="s">
        <v>1480</v>
      </c>
      <c r="G34" s="1130"/>
      <c r="H34" s="1101"/>
      <c r="I34" s="1101"/>
    </row>
    <row r="35" spans="1:9" s="1593" customFormat="1" ht="19.5" customHeight="1">
      <c r="A35" s="3764" t="s">
        <v>1434</v>
      </c>
      <c r="B35" s="1150" t="s">
        <v>1448</v>
      </c>
      <c r="C35" s="1127" t="s">
        <v>1481</v>
      </c>
      <c r="D35" s="1128"/>
      <c r="E35" s="1150">
        <v>1</v>
      </c>
      <c r="F35" s="1129" t="s">
        <v>1482</v>
      </c>
      <c r="G35" s="1130"/>
      <c r="H35" s="1101"/>
      <c r="I35" s="1101"/>
    </row>
    <row r="36" spans="1:9" s="1593" customFormat="1" ht="19.5" customHeight="1">
      <c r="A36" s="3764"/>
      <c r="B36" s="3764" t="s">
        <v>1451</v>
      </c>
      <c r="C36" s="1127" t="s">
        <v>1483</v>
      </c>
      <c r="D36" s="1128"/>
      <c r="E36" s="1150">
        <v>1</v>
      </c>
      <c r="F36" s="1129" t="s">
        <v>1484</v>
      </c>
      <c r="G36" s="1130"/>
      <c r="H36" s="1101"/>
      <c r="I36" s="1101"/>
    </row>
    <row r="37" spans="1:9" s="1593" customFormat="1" ht="19.5" customHeight="1">
      <c r="A37" s="3764"/>
      <c r="B37" s="3764"/>
      <c r="C37" s="1127" t="s">
        <v>1485</v>
      </c>
      <c r="D37" s="1128"/>
      <c r="E37" s="1150">
        <v>1.5</v>
      </c>
      <c r="F37" s="1129" t="s">
        <v>1486</v>
      </c>
      <c r="G37" s="1130"/>
      <c r="H37" s="1101"/>
      <c r="I37" s="1101"/>
    </row>
    <row r="38" spans="1:9" s="1593" customFormat="1" ht="19.5" customHeight="1">
      <c r="A38" s="3764"/>
      <c r="B38" s="3764"/>
      <c r="C38" s="1127" t="s">
        <v>1487</v>
      </c>
      <c r="D38" s="1128"/>
      <c r="E38" s="1150">
        <v>1</v>
      </c>
      <c r="F38" s="1129" t="s">
        <v>1488</v>
      </c>
      <c r="G38" s="1130"/>
      <c r="H38" s="1101"/>
      <c r="I38" s="1101"/>
    </row>
    <row r="39" spans="1:9" s="1593" customFormat="1" ht="19.5" customHeight="1">
      <c r="A39" s="3764"/>
      <c r="B39" s="3764"/>
      <c r="C39" s="1127" t="s">
        <v>1489</v>
      </c>
      <c r="D39" s="1128"/>
      <c r="E39" s="1150">
        <v>1</v>
      </c>
      <c r="F39" s="1129" t="s">
        <v>1490</v>
      </c>
      <c r="G39" s="1130"/>
      <c r="H39" s="1101"/>
      <c r="I39" s="1101"/>
    </row>
    <row r="40" spans="1:9" s="1593" customFormat="1" ht="19.5" customHeight="1">
      <c r="A40" s="1594" t="s">
        <v>1491</v>
      </c>
      <c r="B40" s="1594"/>
      <c r="C40" s="1594"/>
      <c r="D40" s="1594"/>
      <c r="E40" s="1594"/>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64" t="s">
        <v>1503</v>
      </c>
      <c r="C61" s="1064" t="s">
        <v>1504</v>
      </c>
      <c r="D61" s="1064" t="s">
        <v>1505</v>
      </c>
      <c r="E61" s="1135">
        <v>0.5</v>
      </c>
      <c r="F61" s="1150">
        <v>80</v>
      </c>
      <c r="H61" s="1101">
        <f>SUMIF(C59:C119,基准地价!C8,E59:E119)</f>
        <v>0</v>
      </c>
    </row>
    <row r="62" spans="1:8" s="1101" customFormat="1" ht="24">
      <c r="A62" s="1150">
        <v>2</v>
      </c>
      <c r="B62" s="3764"/>
      <c r="C62" s="1064" t="s">
        <v>1506</v>
      </c>
      <c r="D62" s="1064" t="s">
        <v>1507</v>
      </c>
      <c r="E62" s="1135">
        <v>0.5</v>
      </c>
      <c r="F62" s="1150">
        <v>80</v>
      </c>
    </row>
    <row r="63" spans="1:8" s="1101" customFormat="1" ht="36">
      <c r="A63" s="1150">
        <v>3</v>
      </c>
      <c r="B63" s="3764"/>
      <c r="C63" s="1064" t="s">
        <v>1508</v>
      </c>
      <c r="D63" s="1064" t="s">
        <v>1509</v>
      </c>
      <c r="E63" s="1135">
        <v>0.5</v>
      </c>
      <c r="F63" s="1150">
        <v>80</v>
      </c>
    </row>
    <row r="64" spans="1:8" s="1101" customFormat="1" ht="36">
      <c r="A64" s="1150">
        <v>4</v>
      </c>
      <c r="B64" s="3764"/>
      <c r="C64" s="1064" t="s">
        <v>1510</v>
      </c>
      <c r="D64" s="1064" t="s">
        <v>1511</v>
      </c>
      <c r="E64" s="1135">
        <v>0.4</v>
      </c>
      <c r="F64" s="1150">
        <v>60</v>
      </c>
    </row>
    <row r="65" spans="1:6" s="1101" customFormat="1" ht="36">
      <c r="A65" s="1150">
        <v>5</v>
      </c>
      <c r="B65" s="3764"/>
      <c r="C65" s="1064" t="s">
        <v>1512</v>
      </c>
      <c r="D65" s="1064" t="s">
        <v>1513</v>
      </c>
      <c r="E65" s="1135">
        <v>0.2</v>
      </c>
      <c r="F65" s="1150">
        <v>30</v>
      </c>
    </row>
    <row r="66" spans="1:6" s="1101" customFormat="1" ht="36">
      <c r="A66" s="1150">
        <v>6</v>
      </c>
      <c r="B66" s="3764"/>
      <c r="C66" s="1064" t="s">
        <v>1514</v>
      </c>
      <c r="D66" s="1064" t="s">
        <v>1515</v>
      </c>
      <c r="E66" s="1135">
        <v>0.3</v>
      </c>
      <c r="F66" s="1150">
        <v>50</v>
      </c>
    </row>
    <row r="67" spans="1:6" s="1101" customFormat="1" ht="36">
      <c r="A67" s="1150">
        <v>7</v>
      </c>
      <c r="B67" s="3764"/>
      <c r="C67" s="1064" t="s">
        <v>1516</v>
      </c>
      <c r="D67" s="1064" t="s">
        <v>1517</v>
      </c>
      <c r="E67" s="1135">
        <v>0.2</v>
      </c>
      <c r="F67" s="1150">
        <v>30</v>
      </c>
    </row>
    <row r="68" spans="1:6" s="1101" customFormat="1" ht="36">
      <c r="A68" s="1150">
        <v>8</v>
      </c>
      <c r="B68" s="3764"/>
      <c r="C68" s="1064" t="s">
        <v>1518</v>
      </c>
      <c r="D68" s="1064" t="s">
        <v>1519</v>
      </c>
      <c r="E68" s="1135">
        <v>0.2</v>
      </c>
      <c r="F68" s="1150">
        <v>30</v>
      </c>
    </row>
    <row r="69" spans="1:6" s="1101" customFormat="1" ht="36">
      <c r="A69" s="1150">
        <v>9</v>
      </c>
      <c r="B69" s="3764"/>
      <c r="C69" s="1064" t="s">
        <v>1520</v>
      </c>
      <c r="D69" s="1064" t="s">
        <v>1521</v>
      </c>
      <c r="E69" s="1135">
        <v>0.2</v>
      </c>
      <c r="F69" s="1150">
        <v>30</v>
      </c>
    </row>
    <row r="70" spans="1:6" s="1101" customFormat="1" ht="48">
      <c r="A70" s="1150">
        <v>10</v>
      </c>
      <c r="B70" s="3764"/>
      <c r="C70" s="1064" t="s">
        <v>1522</v>
      </c>
      <c r="D70" s="1064" t="s">
        <v>1523</v>
      </c>
      <c r="E70" s="1135">
        <v>0.2</v>
      </c>
      <c r="F70" s="1150">
        <v>30</v>
      </c>
    </row>
    <row r="71" spans="1:6" s="1101" customFormat="1" ht="48">
      <c r="A71" s="1150">
        <v>11</v>
      </c>
      <c r="B71" s="3764"/>
      <c r="C71" s="1064" t="s">
        <v>1524</v>
      </c>
      <c r="D71" s="1064" t="s">
        <v>1525</v>
      </c>
      <c r="E71" s="1135">
        <v>0.2</v>
      </c>
      <c r="F71" s="1150">
        <v>30</v>
      </c>
    </row>
    <row r="72" spans="1:6" s="1101" customFormat="1" ht="36">
      <c r="A72" s="1150">
        <v>12</v>
      </c>
      <c r="B72" s="3764"/>
      <c r="C72" s="1064" t="s">
        <v>1526</v>
      </c>
      <c r="D72" s="1064" t="s">
        <v>1527</v>
      </c>
      <c r="E72" s="1135">
        <v>0.5</v>
      </c>
      <c r="F72" s="1150">
        <v>80</v>
      </c>
    </row>
    <row r="73" spans="1:6" s="1101" customFormat="1" ht="24">
      <c r="A73" s="1150">
        <v>13</v>
      </c>
      <c r="B73" s="3764"/>
      <c r="C73" s="1064" t="s">
        <v>1528</v>
      </c>
      <c r="D73" s="1064" t="s">
        <v>1529</v>
      </c>
      <c r="E73" s="1135">
        <v>0.4</v>
      </c>
      <c r="F73" s="1150">
        <v>60</v>
      </c>
    </row>
    <row r="74" spans="1:6" s="1101" customFormat="1" ht="24">
      <c r="A74" s="1150">
        <v>14</v>
      </c>
      <c r="B74" s="3764"/>
      <c r="C74" s="1064" t="s">
        <v>1530</v>
      </c>
      <c r="D74" s="1064" t="s">
        <v>1531</v>
      </c>
      <c r="E74" s="1135">
        <v>0.2</v>
      </c>
      <c r="F74" s="1150">
        <v>30</v>
      </c>
    </row>
    <row r="75" spans="1:6" s="1101" customFormat="1" ht="24">
      <c r="A75" s="1150">
        <v>15</v>
      </c>
      <c r="B75" s="3764"/>
      <c r="C75" s="1064" t="s">
        <v>1532</v>
      </c>
      <c r="D75" s="1064" t="s">
        <v>1533</v>
      </c>
      <c r="E75" s="1135">
        <v>0.2</v>
      </c>
      <c r="F75" s="1150">
        <v>30</v>
      </c>
    </row>
    <row r="76" spans="1:6" s="1101" customFormat="1" ht="24">
      <c r="A76" s="1150">
        <v>16</v>
      </c>
      <c r="B76" s="3764" t="s">
        <v>1534</v>
      </c>
      <c r="C76" s="1064" t="s">
        <v>1535</v>
      </c>
      <c r="D76" s="1064" t="s">
        <v>1536</v>
      </c>
      <c r="E76" s="1135">
        <v>0.5</v>
      </c>
      <c r="F76" s="1150">
        <v>80</v>
      </c>
    </row>
    <row r="77" spans="1:6" s="1101" customFormat="1" ht="24">
      <c r="A77" s="1150">
        <v>17</v>
      </c>
      <c r="B77" s="3764"/>
      <c r="C77" s="1064" t="s">
        <v>1537</v>
      </c>
      <c r="D77" s="1064" t="s">
        <v>1538</v>
      </c>
      <c r="E77" s="1135">
        <v>0.5</v>
      </c>
      <c r="F77" s="1150">
        <v>80</v>
      </c>
    </row>
    <row r="78" spans="1:6" s="1101" customFormat="1" ht="24">
      <c r="A78" s="1150">
        <v>18</v>
      </c>
      <c r="B78" s="3764"/>
      <c r="C78" s="1064" t="s">
        <v>1539</v>
      </c>
      <c r="D78" s="1064" t="s">
        <v>1540</v>
      </c>
      <c r="E78" s="1135">
        <v>0.2</v>
      </c>
      <c r="F78" s="1150">
        <v>30</v>
      </c>
    </row>
    <row r="79" spans="1:6" s="1101" customFormat="1" ht="24">
      <c r="A79" s="1150">
        <v>19</v>
      </c>
      <c r="B79" s="3764"/>
      <c r="C79" s="1064" t="s">
        <v>1541</v>
      </c>
      <c r="D79" s="1064" t="s">
        <v>1542</v>
      </c>
      <c r="E79" s="1135">
        <v>0.5</v>
      </c>
      <c r="F79" s="1150">
        <v>80</v>
      </c>
    </row>
    <row r="80" spans="1:6" s="1101" customFormat="1" ht="36">
      <c r="A80" s="1150">
        <v>20</v>
      </c>
      <c r="B80" s="3764"/>
      <c r="C80" s="1064" t="s">
        <v>1543</v>
      </c>
      <c r="D80" s="1064" t="s">
        <v>1544</v>
      </c>
      <c r="E80" s="1135">
        <v>0.2</v>
      </c>
      <c r="F80" s="1150">
        <v>30</v>
      </c>
    </row>
    <row r="81" spans="1:6" s="1101" customFormat="1" ht="36">
      <c r="A81" s="1150">
        <v>21</v>
      </c>
      <c r="B81" s="3764"/>
      <c r="C81" s="1064" t="s">
        <v>1545</v>
      </c>
      <c r="D81" s="1064" t="s">
        <v>1546</v>
      </c>
      <c r="E81" s="1135">
        <v>0.2</v>
      </c>
      <c r="F81" s="1150">
        <v>30</v>
      </c>
    </row>
    <row r="82" spans="1:6" s="1101" customFormat="1" ht="48">
      <c r="A82" s="1150">
        <v>22</v>
      </c>
      <c r="B82" s="3764"/>
      <c r="C82" s="1064" t="s">
        <v>1547</v>
      </c>
      <c r="D82" s="1064" t="s">
        <v>1548</v>
      </c>
      <c r="E82" s="1135">
        <v>0.2</v>
      </c>
      <c r="F82" s="1150">
        <v>30</v>
      </c>
    </row>
    <row r="83" spans="1:6" s="1101" customFormat="1" ht="48">
      <c r="A83" s="1150">
        <v>23</v>
      </c>
      <c r="B83" s="3764"/>
      <c r="C83" s="1064" t="s">
        <v>1549</v>
      </c>
      <c r="D83" s="1064" t="s">
        <v>1550</v>
      </c>
      <c r="E83" s="1135">
        <v>0.2</v>
      </c>
      <c r="F83" s="1150">
        <v>30</v>
      </c>
    </row>
    <row r="84" spans="1:6" s="1101" customFormat="1" ht="36">
      <c r="A84" s="1150">
        <v>24</v>
      </c>
      <c r="B84" s="3764"/>
      <c r="C84" s="1064" t="s">
        <v>1551</v>
      </c>
      <c r="D84" s="1064" t="s">
        <v>1552</v>
      </c>
      <c r="E84" s="1135">
        <v>0.2</v>
      </c>
      <c r="F84" s="1150">
        <v>30</v>
      </c>
    </row>
    <row r="85" spans="1:6" s="1101" customFormat="1" ht="36">
      <c r="A85" s="1150">
        <v>25</v>
      </c>
      <c r="B85" s="3764"/>
      <c r="C85" s="1064" t="s">
        <v>1553</v>
      </c>
      <c r="D85" s="1064" t="s">
        <v>1554</v>
      </c>
      <c r="E85" s="1135">
        <v>0.5</v>
      </c>
      <c r="F85" s="1150">
        <v>80</v>
      </c>
    </row>
    <row r="86" spans="1:6" s="1101" customFormat="1" ht="36">
      <c r="A86" s="1150">
        <v>26</v>
      </c>
      <c r="B86" s="3764"/>
      <c r="C86" s="1064" t="s">
        <v>1555</v>
      </c>
      <c r="D86" s="1064" t="s">
        <v>1556</v>
      </c>
      <c r="E86" s="1135">
        <v>0.2</v>
      </c>
      <c r="F86" s="1150">
        <v>30</v>
      </c>
    </row>
    <row r="87" spans="1:6" s="1101" customFormat="1" ht="36">
      <c r="A87" s="1150">
        <v>27</v>
      </c>
      <c r="B87" s="3764"/>
      <c r="C87" s="1064" t="s">
        <v>1557</v>
      </c>
      <c r="D87" s="1064" t="s">
        <v>1558</v>
      </c>
      <c r="E87" s="1135">
        <v>0.2</v>
      </c>
      <c r="F87" s="1150">
        <v>30</v>
      </c>
    </row>
    <row r="88" spans="1:6" s="1101" customFormat="1" ht="36">
      <c r="A88" s="1150">
        <v>28</v>
      </c>
      <c r="B88" s="3764"/>
      <c r="C88" s="1064" t="s">
        <v>1559</v>
      </c>
      <c r="D88" s="1064" t="s">
        <v>1560</v>
      </c>
      <c r="E88" s="1135">
        <v>0.2</v>
      </c>
      <c r="F88" s="1150">
        <v>30</v>
      </c>
    </row>
    <row r="89" spans="1:6" s="1101" customFormat="1" ht="24">
      <c r="A89" s="1150">
        <v>29</v>
      </c>
      <c r="B89" s="3764"/>
      <c r="C89" s="1064" t="s">
        <v>1561</v>
      </c>
      <c r="D89" s="1064" t="s">
        <v>1562</v>
      </c>
      <c r="E89" s="1135">
        <v>0.2</v>
      </c>
      <c r="F89" s="1150">
        <v>30</v>
      </c>
    </row>
    <row r="90" spans="1:6" s="1101" customFormat="1" ht="24">
      <c r="A90" s="1150">
        <v>30</v>
      </c>
      <c r="B90" s="3764"/>
      <c r="C90" s="1064" t="s">
        <v>1563</v>
      </c>
      <c r="D90" s="1064" t="s">
        <v>1564</v>
      </c>
      <c r="E90" s="1135">
        <v>0.2</v>
      </c>
      <c r="F90" s="1150">
        <v>30</v>
      </c>
    </row>
    <row r="91" spans="1:6" s="1101" customFormat="1" ht="36">
      <c r="A91" s="1150">
        <v>31</v>
      </c>
      <c r="B91" s="3764"/>
      <c r="C91" s="1064" t="s">
        <v>1565</v>
      </c>
      <c r="D91" s="1064" t="s">
        <v>1566</v>
      </c>
      <c r="E91" s="1135">
        <v>0.2</v>
      </c>
      <c r="F91" s="1150">
        <v>30</v>
      </c>
    </row>
    <row r="92" spans="1:6" s="1101" customFormat="1" ht="24">
      <c r="A92" s="1150">
        <v>32</v>
      </c>
      <c r="B92" s="3764" t="s">
        <v>1567</v>
      </c>
      <c r="C92" s="1150" t="s">
        <v>1568</v>
      </c>
      <c r="D92" s="1064" t="s">
        <v>1569</v>
      </c>
      <c r="E92" s="1135">
        <v>0.2</v>
      </c>
      <c r="F92" s="1150">
        <v>30</v>
      </c>
    </row>
    <row r="93" spans="1:6" s="1101" customFormat="1" ht="36">
      <c r="A93" s="1150">
        <v>33</v>
      </c>
      <c r="B93" s="3764"/>
      <c r="C93" s="1150" t="s">
        <v>1570</v>
      </c>
      <c r="D93" s="1064" t="s">
        <v>1571</v>
      </c>
      <c r="E93" s="1135">
        <v>0.2</v>
      </c>
      <c r="F93" s="1150">
        <v>30</v>
      </c>
    </row>
    <row r="94" spans="1:6" s="1101" customFormat="1" ht="48">
      <c r="A94" s="1150">
        <v>34</v>
      </c>
      <c r="B94" s="3764"/>
      <c r="C94" s="1150" t="s">
        <v>1572</v>
      </c>
      <c r="D94" s="1064" t="s">
        <v>1573</v>
      </c>
      <c r="E94" s="1135">
        <v>0.2</v>
      </c>
      <c r="F94" s="1150">
        <v>30</v>
      </c>
    </row>
    <row r="95" spans="1:6" s="1101" customFormat="1" ht="36">
      <c r="A95" s="1150">
        <v>35</v>
      </c>
      <c r="B95" s="3764"/>
      <c r="C95" s="1150" t="s">
        <v>1574</v>
      </c>
      <c r="D95" s="1064" t="s">
        <v>1575</v>
      </c>
      <c r="E95" s="1135">
        <v>0.2</v>
      </c>
      <c r="F95" s="1150">
        <v>30</v>
      </c>
    </row>
    <row r="96" spans="1:6" s="1101" customFormat="1" ht="48">
      <c r="A96" s="1150">
        <v>36</v>
      </c>
      <c r="B96" s="3764"/>
      <c r="C96" s="1064" t="s">
        <v>1576</v>
      </c>
      <c r="D96" s="1064" t="s">
        <v>1577</v>
      </c>
      <c r="E96" s="1135">
        <v>0.2</v>
      </c>
      <c r="F96" s="1150">
        <v>30</v>
      </c>
    </row>
    <row r="97" spans="1:6" s="1101" customFormat="1" ht="36">
      <c r="A97" s="1150">
        <v>37</v>
      </c>
      <c r="B97" s="3764"/>
      <c r="C97" s="1150" t="s">
        <v>1578</v>
      </c>
      <c r="D97" s="1064" t="s">
        <v>1579</v>
      </c>
      <c r="E97" s="1135">
        <v>0.2</v>
      </c>
      <c r="F97" s="1150">
        <v>30</v>
      </c>
    </row>
    <row r="98" spans="1:6" s="1101" customFormat="1" ht="36">
      <c r="A98" s="1150">
        <v>38</v>
      </c>
      <c r="B98" s="3764"/>
      <c r="C98" s="1150" t="s">
        <v>1580</v>
      </c>
      <c r="D98" s="1064" t="s">
        <v>1581</v>
      </c>
      <c r="E98" s="1135">
        <v>0.2</v>
      </c>
      <c r="F98" s="1150">
        <v>30</v>
      </c>
    </row>
    <row r="99" spans="1:6" s="1101" customFormat="1" ht="36">
      <c r="A99" s="1150">
        <v>39</v>
      </c>
      <c r="B99" s="3764" t="s">
        <v>1582</v>
      </c>
      <c r="C99" s="1150" t="s">
        <v>1583</v>
      </c>
      <c r="D99" s="1064" t="s">
        <v>1584</v>
      </c>
      <c r="E99" s="1135">
        <v>0.3</v>
      </c>
      <c r="F99" s="1150">
        <v>50</v>
      </c>
    </row>
    <row r="100" spans="1:6" s="1101" customFormat="1" ht="24">
      <c r="A100" s="1150">
        <v>40</v>
      </c>
      <c r="B100" s="3764"/>
      <c r="C100" s="1150" t="s">
        <v>1585</v>
      </c>
      <c r="D100" s="1064" t="s">
        <v>1586</v>
      </c>
      <c r="E100" s="1135">
        <v>0.2</v>
      </c>
      <c r="F100" s="1150">
        <v>30</v>
      </c>
    </row>
    <row r="101" spans="1:6" s="1101" customFormat="1" ht="36">
      <c r="A101" s="1150">
        <v>41</v>
      </c>
      <c r="B101" s="3764"/>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64" t="s">
        <v>1597</v>
      </c>
      <c r="C105" s="1150" t="s">
        <v>1598</v>
      </c>
      <c r="D105" s="1064" t="s">
        <v>1599</v>
      </c>
      <c r="E105" s="1135">
        <v>0.2</v>
      </c>
      <c r="F105" s="1150">
        <v>30</v>
      </c>
    </row>
    <row r="106" spans="1:6" s="1101" customFormat="1" ht="36">
      <c r="A106" s="1150">
        <v>46</v>
      </c>
      <c r="B106" s="3764"/>
      <c r="C106" s="1150" t="s">
        <v>1600</v>
      </c>
      <c r="D106" s="1064" t="s">
        <v>1601</v>
      </c>
      <c r="E106" s="1135">
        <v>0.2</v>
      </c>
      <c r="F106" s="1150">
        <v>30</v>
      </c>
    </row>
    <row r="107" spans="1:6" s="1101" customFormat="1" ht="36">
      <c r="A107" s="1150">
        <v>47</v>
      </c>
      <c r="B107" s="3764" t="s">
        <v>1602</v>
      </c>
      <c r="C107" s="1150" t="s">
        <v>1603</v>
      </c>
      <c r="D107" s="1064" t="s">
        <v>1604</v>
      </c>
      <c r="E107" s="1135">
        <v>0.3</v>
      </c>
      <c r="F107" s="1150">
        <v>50</v>
      </c>
    </row>
    <row r="108" spans="1:6" s="1101" customFormat="1" ht="36">
      <c r="A108" s="1150">
        <v>48</v>
      </c>
      <c r="B108" s="3764"/>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64" t="s">
        <v>1613</v>
      </c>
      <c r="C111" s="1150" t="s">
        <v>1614</v>
      </c>
      <c r="D111" s="1064" t="s">
        <v>1615</v>
      </c>
      <c r="E111" s="1135">
        <v>0.2</v>
      </c>
      <c r="F111" s="1150">
        <v>30</v>
      </c>
    </row>
    <row r="112" spans="1:6" s="1101" customFormat="1" ht="24">
      <c r="A112" s="1150">
        <v>52</v>
      </c>
      <c r="B112" s="3764"/>
      <c r="C112" s="1150" t="s">
        <v>1616</v>
      </c>
      <c r="D112" s="1064" t="s">
        <v>1617</v>
      </c>
      <c r="E112" s="1135">
        <v>0.2</v>
      </c>
      <c r="F112" s="1150">
        <v>30</v>
      </c>
    </row>
    <row r="113" spans="1:14" s="1101" customFormat="1" ht="24">
      <c r="A113" s="1150">
        <v>53</v>
      </c>
      <c r="B113" s="3764"/>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64" t="s">
        <v>1626</v>
      </c>
      <c r="C116" s="1150" t="s">
        <v>1627</v>
      </c>
      <c r="D116" s="1064" t="s">
        <v>1628</v>
      </c>
      <c r="E116" s="1135">
        <v>0.2</v>
      </c>
      <c r="F116" s="1150">
        <v>30</v>
      </c>
    </row>
    <row r="117" spans="1:14" ht="36">
      <c r="A117" s="1150">
        <v>57</v>
      </c>
      <c r="B117" s="3764"/>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63" t="s">
        <v>1635</v>
      </c>
      <c r="B121" s="3763"/>
      <c r="C121" s="3763"/>
      <c r="D121" s="3763"/>
      <c r="E121" s="3763"/>
      <c r="F121" s="3763"/>
      <c r="G121" s="3763"/>
      <c r="H121" s="3763"/>
      <c r="I121" s="3763"/>
      <c r="J121" s="3763"/>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68" t="s">
        <v>1041</v>
      </c>
      <c r="B1" s="3768"/>
      <c r="C1" s="3768"/>
      <c r="D1" s="3768"/>
      <c r="E1" s="3768"/>
      <c r="F1" s="3768"/>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69" t="s">
        <v>1054</v>
      </c>
      <c r="B2" s="3769"/>
      <c r="C2" s="3769"/>
      <c r="D2" s="3769"/>
      <c r="E2" s="3769"/>
      <c r="F2" s="3769"/>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70"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71"/>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72" t="s">
        <v>2083</v>
      </c>
      <c r="B1" s="3772"/>
    </row>
    <row r="2" spans="1:6" ht="14.25" thickBot="1">
      <c r="A2" s="1846"/>
      <c r="B2" s="1846"/>
    </row>
    <row r="3" spans="1:6" ht="14.25" thickBot="1">
      <c r="A3" s="1846"/>
      <c r="B3" s="1846"/>
      <c r="C3" s="1847" t="s">
        <v>2084</v>
      </c>
      <c r="D3" s="1847" t="s">
        <v>2085</v>
      </c>
      <c r="E3" s="1847" t="s">
        <v>2086</v>
      </c>
      <c r="F3" s="1847" t="s">
        <v>2087</v>
      </c>
    </row>
    <row r="4" spans="1:6" ht="14.25" thickBot="1">
      <c r="A4" s="1848" t="s">
        <v>2088</v>
      </c>
      <c r="B4" s="1849" t="s">
        <v>2089</v>
      </c>
      <c r="C4" s="1847"/>
      <c r="D4" s="1847"/>
      <c r="E4" s="1847"/>
      <c r="F4" s="1847"/>
    </row>
    <row r="5" spans="1:6" ht="14.25" thickBot="1">
      <c r="A5" s="1850" t="s">
        <v>2090</v>
      </c>
      <c r="B5" s="1851" t="s">
        <v>2091</v>
      </c>
      <c r="C5" s="1852">
        <v>8.8999999999999996E-2</v>
      </c>
      <c r="D5" s="1852">
        <v>7.3999999999999996E-2</v>
      </c>
      <c r="E5" s="1852">
        <v>7.4999999999999997E-2</v>
      </c>
      <c r="F5" s="1853">
        <v>0.1</v>
      </c>
    </row>
    <row r="6" spans="1:6" ht="14.25" thickBot="1">
      <c r="A6" s="1850" t="s">
        <v>1098</v>
      </c>
      <c r="B6" s="1854" t="s">
        <v>2092</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2093</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2094</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2095</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2096</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2097</v>
      </c>
      <c r="C72" s="1864"/>
      <c r="D72" s="1864"/>
      <c r="E72" s="1864"/>
      <c r="F72" s="1856">
        <v>0.05</v>
      </c>
    </row>
    <row r="73" spans="1:6" ht="14.25" thickBot="1">
      <c r="A73" s="1850" t="s">
        <v>926</v>
      </c>
      <c r="B73" s="1854" t="s">
        <v>2098</v>
      </c>
      <c r="C73" s="1864"/>
      <c r="D73" s="1864"/>
      <c r="E73" s="1864"/>
      <c r="F73" s="1856">
        <v>0.05</v>
      </c>
    </row>
    <row r="74" spans="1:6" ht="14.25" thickBot="1">
      <c r="A74" s="1850" t="s">
        <v>926</v>
      </c>
      <c r="B74" s="1854" t="s">
        <v>2099</v>
      </c>
      <c r="C74" s="1864"/>
      <c r="D74" s="1864"/>
      <c r="E74" s="1864"/>
      <c r="F74" s="1856">
        <v>0.05</v>
      </c>
    </row>
    <row r="75" spans="1:6" ht="14.25" thickBot="1">
      <c r="A75" s="1858" t="s">
        <v>926</v>
      </c>
      <c r="B75" s="1865" t="s">
        <v>2100</v>
      </c>
      <c r="C75" s="1861"/>
      <c r="D75" s="1861"/>
      <c r="E75" s="1861"/>
      <c r="F75" s="1866">
        <v>0.05</v>
      </c>
    </row>
    <row r="76" spans="1:6" ht="14.25" thickBot="1">
      <c r="A76" s="1850" t="s">
        <v>1409</v>
      </c>
      <c r="B76" s="1851" t="s">
        <v>2101</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2102</v>
      </c>
      <c r="C102" s="1864"/>
      <c r="D102" s="1864"/>
      <c r="E102" s="1864"/>
      <c r="F102" s="1856">
        <v>0.05</v>
      </c>
    </row>
    <row r="103" spans="1:6" ht="24.75" thickBot="1">
      <c r="A103" s="1850" t="s">
        <v>1409</v>
      </c>
      <c r="B103" s="1854" t="s">
        <v>2103</v>
      </c>
      <c r="C103" s="1864"/>
      <c r="D103" s="1864"/>
      <c r="E103" s="1864"/>
      <c r="F103" s="1856">
        <v>0.05</v>
      </c>
    </row>
    <row r="104" spans="1:6" ht="14.25" thickBot="1">
      <c r="A104" s="1850" t="s">
        <v>1409</v>
      </c>
      <c r="B104" s="1854" t="s">
        <v>2104</v>
      </c>
      <c r="C104" s="1864"/>
      <c r="D104" s="1864"/>
      <c r="E104" s="1864"/>
      <c r="F104" s="1856">
        <v>0.05</v>
      </c>
    </row>
    <row r="105" spans="1:6" ht="14.25" thickBot="1">
      <c r="A105" s="1850" t="s">
        <v>1409</v>
      </c>
      <c r="B105" s="1854" t="s">
        <v>2105</v>
      </c>
      <c r="C105" s="1864"/>
      <c r="D105" s="1864"/>
      <c r="E105" s="1864"/>
      <c r="F105" s="1856">
        <v>0.05</v>
      </c>
    </row>
    <row r="106" spans="1:6" ht="14.25" thickBot="1">
      <c r="A106" s="1850" t="s">
        <v>1409</v>
      </c>
      <c r="B106" s="1854" t="s">
        <v>2106</v>
      </c>
      <c r="C106" s="1864"/>
      <c r="D106" s="1864"/>
      <c r="E106" s="1864"/>
      <c r="F106" s="1856">
        <v>0.05</v>
      </c>
    </row>
    <row r="107" spans="1:6" ht="24.75" thickBot="1">
      <c r="A107" s="1850" t="s">
        <v>1409</v>
      </c>
      <c r="B107" s="1854" t="s">
        <v>2107</v>
      </c>
      <c r="C107" s="1864"/>
      <c r="D107" s="1864"/>
      <c r="E107" s="1864"/>
      <c r="F107" s="1856">
        <v>0.05</v>
      </c>
    </row>
    <row r="108" spans="1:6" ht="24.75" thickBot="1">
      <c r="A108" s="1850" t="s">
        <v>1409</v>
      </c>
      <c r="B108" s="1854" t="s">
        <v>2108</v>
      </c>
      <c r="C108" s="1864"/>
      <c r="D108" s="1864"/>
      <c r="E108" s="1864"/>
      <c r="F108" s="1856">
        <v>0.05</v>
      </c>
    </row>
    <row r="109" spans="1:6" ht="24.75" thickBot="1">
      <c r="A109" s="1858" t="s">
        <v>1409</v>
      </c>
      <c r="B109" s="1865" t="s">
        <v>2109</v>
      </c>
      <c r="C109" s="1861"/>
      <c r="D109" s="1861"/>
      <c r="E109" s="1861"/>
      <c r="F109" s="1866">
        <v>0.05</v>
      </c>
    </row>
    <row r="110" spans="1:6" ht="14.25" thickBot="1">
      <c r="A110" s="1850" t="s">
        <v>1411</v>
      </c>
      <c r="B110" s="1851" t="s">
        <v>2110</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2111</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2112</v>
      </c>
      <c r="C138" s="1855">
        <v>0.105</v>
      </c>
      <c r="D138" s="1855">
        <v>0.125</v>
      </c>
      <c r="E138" s="1855">
        <v>0.112</v>
      </c>
      <c r="F138" s="1863"/>
    </row>
    <row r="139" spans="1:6" ht="14.25" thickBot="1">
      <c r="A139" s="1850" t="s">
        <v>1411</v>
      </c>
      <c r="B139" s="1854" t="s">
        <v>2113</v>
      </c>
      <c r="C139" s="1855">
        <v>0.127</v>
      </c>
      <c r="D139" s="1855">
        <v>0.127</v>
      </c>
      <c r="E139" s="1855">
        <v>0.122</v>
      </c>
      <c r="F139" s="1856">
        <v>0.13</v>
      </c>
    </row>
    <row r="140" spans="1:6" ht="14.25" thickBot="1">
      <c r="A140" s="1850" t="s">
        <v>1411</v>
      </c>
      <c r="B140" s="1854" t="s">
        <v>2114</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2115</v>
      </c>
      <c r="C144" s="1868">
        <v>0.126</v>
      </c>
      <c r="D144" s="1868">
        <v>0.126</v>
      </c>
      <c r="E144" s="1868">
        <v>0.121</v>
      </c>
      <c r="F144" s="1863"/>
    </row>
    <row r="145" spans="1:6" ht="14.25" thickBot="1">
      <c r="A145" s="1858" t="s">
        <v>1411</v>
      </c>
      <c r="B145" s="1869" t="s">
        <v>2116</v>
      </c>
      <c r="C145" s="1870"/>
      <c r="D145" s="1870"/>
      <c r="E145" s="1870"/>
      <c r="F145" s="1871">
        <v>0.05</v>
      </c>
    </row>
    <row r="146" spans="1:6" ht="24.75" thickBot="1">
      <c r="A146" s="1872" t="s">
        <v>1411</v>
      </c>
      <c r="B146" s="1857" t="s">
        <v>2117</v>
      </c>
      <c r="C146" s="1864"/>
      <c r="D146" s="1864"/>
      <c r="E146" s="1864"/>
      <c r="F146" s="1873">
        <v>0.05</v>
      </c>
    </row>
    <row r="147" spans="1:6" ht="24.75" thickBot="1">
      <c r="A147" s="1850" t="s">
        <v>1411</v>
      </c>
      <c r="B147" s="1854" t="s">
        <v>2118</v>
      </c>
      <c r="C147" s="1864"/>
      <c r="D147" s="1864"/>
      <c r="E147" s="1864"/>
      <c r="F147" s="1856">
        <v>0.05</v>
      </c>
    </row>
    <row r="148" spans="1:6" ht="24.75" thickBot="1">
      <c r="A148" s="1850" t="s">
        <v>1411</v>
      </c>
      <c r="B148" s="1854" t="s">
        <v>2119</v>
      </c>
      <c r="C148" s="1864"/>
      <c r="D148" s="1864"/>
      <c r="E148" s="1864"/>
      <c r="F148" s="1856">
        <v>0.05</v>
      </c>
    </row>
    <row r="149" spans="1:6" ht="24.75" thickBot="1">
      <c r="A149" s="1850" t="s">
        <v>1411</v>
      </c>
      <c r="B149" s="1854" t="s">
        <v>2120</v>
      </c>
      <c r="C149" s="1864"/>
      <c r="D149" s="1864"/>
      <c r="E149" s="1864"/>
      <c r="F149" s="1856">
        <v>0.05</v>
      </c>
    </row>
    <row r="150" spans="1:6" ht="24.75" thickBot="1">
      <c r="A150" s="1850" t="s">
        <v>1411</v>
      </c>
      <c r="B150" s="1854" t="s">
        <v>2121</v>
      </c>
      <c r="C150" s="1864"/>
      <c r="D150" s="1864"/>
      <c r="E150" s="1864"/>
      <c r="F150" s="1856">
        <v>0.05</v>
      </c>
    </row>
    <row r="151" spans="1:6" ht="24.75" thickBot="1">
      <c r="A151" s="1850" t="s">
        <v>1411</v>
      </c>
      <c r="B151" s="1854" t="s">
        <v>2122</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2123</v>
      </c>
      <c r="C153" s="1864"/>
      <c r="D153" s="1864"/>
      <c r="E153" s="1864"/>
      <c r="F153" s="1856">
        <v>0.05</v>
      </c>
    </row>
    <row r="154" spans="1:6" ht="14.25" thickBot="1">
      <c r="A154" s="1850" t="s">
        <v>1411</v>
      </c>
      <c r="B154" s="1854" t="s">
        <v>2124</v>
      </c>
      <c r="C154" s="1864"/>
      <c r="D154" s="1864"/>
      <c r="E154" s="1864"/>
      <c r="F154" s="1856">
        <v>0.05</v>
      </c>
    </row>
    <row r="155" spans="1:6" ht="24.75" thickBot="1">
      <c r="A155" s="1850" t="s">
        <v>1411</v>
      </c>
      <c r="B155" s="1854" t="s">
        <v>2125</v>
      </c>
      <c r="C155" s="1864"/>
      <c r="D155" s="1864"/>
      <c r="E155" s="1864"/>
      <c r="F155" s="1856">
        <v>0.05</v>
      </c>
    </row>
    <row r="156" spans="1:6" ht="24.75" thickBot="1">
      <c r="A156" s="1850" t="s">
        <v>1411</v>
      </c>
      <c r="B156" s="1854" t="s">
        <v>2126</v>
      </c>
      <c r="C156" s="1864"/>
      <c r="D156" s="1864"/>
      <c r="E156" s="1864"/>
      <c r="F156" s="1856">
        <v>0.05</v>
      </c>
    </row>
    <row r="157" spans="1:6" ht="14.25" thickBot="1">
      <c r="A157" s="1858" t="s">
        <v>1411</v>
      </c>
      <c r="B157" s="1865" t="s">
        <v>2127</v>
      </c>
      <c r="C157" s="1861"/>
      <c r="D157" s="1861"/>
      <c r="E157" s="1861"/>
      <c r="F157" s="1866">
        <v>0.05</v>
      </c>
    </row>
    <row r="158" spans="1:6" ht="14.25" thickBot="1">
      <c r="A158" s="1850" t="s">
        <v>1413</v>
      </c>
      <c r="B158" s="1851" t="s">
        <v>2128</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2129</v>
      </c>
      <c r="C171" s="1855">
        <v>0.127</v>
      </c>
      <c r="D171" s="1855">
        <v>0.126</v>
      </c>
      <c r="E171" s="1855">
        <v>0.126</v>
      </c>
      <c r="F171" s="1856">
        <v>0.11799999999999999</v>
      </c>
    </row>
    <row r="172" spans="1:6" ht="14.25" thickBot="1">
      <c r="A172" s="1850" t="s">
        <v>1413</v>
      </c>
      <c r="B172" s="1854" t="s">
        <v>2130</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2131</v>
      </c>
      <c r="C174" s="1855">
        <v>0.13</v>
      </c>
      <c r="D174" s="1855">
        <v>0.13</v>
      </c>
      <c r="E174" s="1855">
        <v>0.13</v>
      </c>
      <c r="F174" s="1856">
        <v>0.13</v>
      </c>
    </row>
    <row r="175" spans="1:6" ht="14.25" thickBot="1">
      <c r="A175" s="1850" t="s">
        <v>1413</v>
      </c>
      <c r="B175" s="1854" t="s">
        <v>2132</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2133</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2134</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2135</v>
      </c>
      <c r="C185" s="1855">
        <v>0.127</v>
      </c>
      <c r="D185" s="1855">
        <v>0.127</v>
      </c>
      <c r="E185" s="1855">
        <v>0.128</v>
      </c>
      <c r="F185" s="1856">
        <v>0.13</v>
      </c>
    </row>
    <row r="186" spans="1:6" ht="24.75" thickBot="1">
      <c r="A186" s="1850" t="s">
        <v>1413</v>
      </c>
      <c r="B186" s="1854" t="s">
        <v>2136</v>
      </c>
      <c r="C186" s="1864"/>
      <c r="D186" s="1864"/>
      <c r="E186" s="1864"/>
      <c r="F186" s="1856">
        <v>0.05</v>
      </c>
    </row>
    <row r="187" spans="1:6" ht="14.25" thickBot="1">
      <c r="A187" s="1850" t="s">
        <v>1413</v>
      </c>
      <c r="B187" s="1854" t="s">
        <v>2137</v>
      </c>
      <c r="C187" s="1864"/>
      <c r="D187" s="1864"/>
      <c r="E187" s="1864"/>
      <c r="F187" s="1856">
        <v>0.05</v>
      </c>
    </row>
    <row r="188" spans="1:6" ht="14.25" thickBot="1">
      <c r="A188" s="1850" t="s">
        <v>1413</v>
      </c>
      <c r="B188" s="1854" t="s">
        <v>2138</v>
      </c>
      <c r="C188" s="1864"/>
      <c r="D188" s="1864"/>
      <c r="E188" s="1864"/>
      <c r="F188" s="1856">
        <v>0.05</v>
      </c>
    </row>
    <row r="189" spans="1:6" ht="24.75" thickBot="1">
      <c r="A189" s="1850" t="s">
        <v>1413</v>
      </c>
      <c r="B189" s="1854" t="s">
        <v>2139</v>
      </c>
      <c r="C189" s="1864"/>
      <c r="D189" s="1864"/>
      <c r="E189" s="1864"/>
      <c r="F189" s="1856">
        <v>0.05</v>
      </c>
    </row>
    <row r="190" spans="1:6" ht="24.75" thickBot="1">
      <c r="A190" s="1850" t="s">
        <v>1413</v>
      </c>
      <c r="B190" s="1854" t="s">
        <v>2140</v>
      </c>
      <c r="C190" s="1864"/>
      <c r="D190" s="1864"/>
      <c r="E190" s="1864"/>
      <c r="F190" s="1856">
        <v>0.05</v>
      </c>
    </row>
    <row r="191" spans="1:6" ht="24.75" thickBot="1">
      <c r="A191" s="1850" t="s">
        <v>1413</v>
      </c>
      <c r="B191" s="1854" t="s">
        <v>2141</v>
      </c>
      <c r="C191" s="1864"/>
      <c r="D191" s="1864"/>
      <c r="E191" s="1864"/>
      <c r="F191" s="1856">
        <v>0.05</v>
      </c>
    </row>
    <row r="192" spans="1:6" ht="24.75" thickBot="1">
      <c r="A192" s="1850" t="s">
        <v>1413</v>
      </c>
      <c r="B192" s="1854" t="s">
        <v>2142</v>
      </c>
      <c r="C192" s="1864"/>
      <c r="D192" s="1864"/>
      <c r="E192" s="1864"/>
      <c r="F192" s="1856">
        <v>0.05</v>
      </c>
    </row>
    <row r="193" spans="1:6" ht="24.75" thickBot="1">
      <c r="A193" s="1850" t="s">
        <v>1413</v>
      </c>
      <c r="B193" s="1854" t="s">
        <v>2143</v>
      </c>
      <c r="C193" s="1864"/>
      <c r="D193" s="1864"/>
      <c r="E193" s="1864"/>
      <c r="F193" s="1856">
        <v>0.05</v>
      </c>
    </row>
    <row r="194" spans="1:6" ht="24.75" thickBot="1">
      <c r="A194" s="1850" t="s">
        <v>1413</v>
      </c>
      <c r="B194" s="1854" t="s">
        <v>2144</v>
      </c>
      <c r="C194" s="1864"/>
      <c r="D194" s="1864"/>
      <c r="E194" s="1864"/>
      <c r="F194" s="1856">
        <v>0.05</v>
      </c>
    </row>
    <row r="195" spans="1:6" ht="14.25" thickBot="1">
      <c r="A195" s="1850" t="s">
        <v>1413</v>
      </c>
      <c r="B195" s="1854" t="s">
        <v>2145</v>
      </c>
      <c r="C195" s="1864"/>
      <c r="D195" s="1864"/>
      <c r="E195" s="1864"/>
      <c r="F195" s="1856">
        <v>0.05</v>
      </c>
    </row>
    <row r="196" spans="1:6" ht="24.75" thickBot="1">
      <c r="A196" s="1850" t="s">
        <v>1413</v>
      </c>
      <c r="B196" s="1854" t="s">
        <v>2146</v>
      </c>
      <c r="C196" s="1864"/>
      <c r="D196" s="1864"/>
      <c r="E196" s="1864"/>
      <c r="F196" s="1856">
        <v>0.05</v>
      </c>
    </row>
    <row r="197" spans="1:6" ht="24.75" thickBot="1">
      <c r="A197" s="1850" t="s">
        <v>1413</v>
      </c>
      <c r="B197" s="1854" t="s">
        <v>2147</v>
      </c>
      <c r="C197" s="1864"/>
      <c r="D197" s="1864"/>
      <c r="E197" s="1864"/>
      <c r="F197" s="1856">
        <v>0.05</v>
      </c>
    </row>
    <row r="198" spans="1:6" ht="24.75" thickBot="1">
      <c r="A198" s="1850" t="s">
        <v>1413</v>
      </c>
      <c r="B198" s="1854" t="s">
        <v>2148</v>
      </c>
      <c r="C198" s="1864"/>
      <c r="D198" s="1864"/>
      <c r="E198" s="1864"/>
      <c r="F198" s="1856">
        <v>0.05</v>
      </c>
    </row>
    <row r="199" spans="1:6" ht="24.75" thickBot="1">
      <c r="A199" s="1850" t="s">
        <v>1413</v>
      </c>
      <c r="B199" s="1854" t="s">
        <v>2149</v>
      </c>
      <c r="C199" s="1864"/>
      <c r="D199" s="1864"/>
      <c r="E199" s="1864"/>
      <c r="F199" s="1856">
        <v>0.05</v>
      </c>
    </row>
    <row r="200" spans="1:6" ht="24.75" thickBot="1">
      <c r="A200" s="1850" t="s">
        <v>1413</v>
      </c>
      <c r="B200" s="1854" t="s">
        <v>2150</v>
      </c>
      <c r="C200" s="1864"/>
      <c r="D200" s="1864"/>
      <c r="E200" s="1864"/>
      <c r="F200" s="1856">
        <v>0.05</v>
      </c>
    </row>
    <row r="201" spans="1:6" ht="24.75" thickBot="1">
      <c r="A201" s="1850" t="s">
        <v>1413</v>
      </c>
      <c r="B201" s="1854" t="s">
        <v>2151</v>
      </c>
      <c r="C201" s="1864"/>
      <c r="D201" s="1864"/>
      <c r="E201" s="1864"/>
      <c r="F201" s="1856">
        <v>0.05</v>
      </c>
    </row>
    <row r="202" spans="1:6" ht="24.75" thickBot="1">
      <c r="A202" s="1850" t="s">
        <v>1413</v>
      </c>
      <c r="B202" s="1854" t="s">
        <v>2152</v>
      </c>
      <c r="C202" s="1864"/>
      <c r="D202" s="1864"/>
      <c r="E202" s="1864"/>
      <c r="F202" s="1856">
        <v>0.05</v>
      </c>
    </row>
    <row r="203" spans="1:6" ht="24.75" thickBot="1">
      <c r="A203" s="1850" t="s">
        <v>1413</v>
      </c>
      <c r="B203" s="1854" t="s">
        <v>2153</v>
      </c>
      <c r="C203" s="1864"/>
      <c r="D203" s="1864"/>
      <c r="E203" s="1864"/>
      <c r="F203" s="1856">
        <v>0.05</v>
      </c>
    </row>
    <row r="204" spans="1:6" ht="14.25" thickBot="1">
      <c r="A204" s="1850" t="s">
        <v>1413</v>
      </c>
      <c r="B204" s="1854" t="s">
        <v>2154</v>
      </c>
      <c r="C204" s="1864"/>
      <c r="D204" s="1864"/>
      <c r="E204" s="1864"/>
      <c r="F204" s="1856">
        <v>0.05</v>
      </c>
    </row>
    <row r="205" spans="1:6" ht="14.25" thickBot="1">
      <c r="A205" s="1858" t="s">
        <v>1413</v>
      </c>
      <c r="B205" s="1865" t="s">
        <v>2155</v>
      </c>
      <c r="C205" s="1861"/>
      <c r="D205" s="1861"/>
      <c r="E205" s="1861"/>
      <c r="F205" s="1866">
        <v>0.05</v>
      </c>
    </row>
    <row r="206" spans="1:6" ht="14.25" thickBot="1">
      <c r="A206" s="1850" t="s">
        <v>1415</v>
      </c>
      <c r="B206" s="1851" t="s">
        <v>2156</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2157</v>
      </c>
      <c r="C210" s="1855">
        <v>0.15</v>
      </c>
      <c r="D210" s="1855">
        <v>0.15</v>
      </c>
      <c r="E210" s="1855">
        <v>0.15</v>
      </c>
      <c r="F210" s="1856">
        <v>0.13800000000000001</v>
      </c>
    </row>
    <row r="211" spans="1:6" ht="14.25" thickBot="1">
      <c r="A211" s="1850" t="s">
        <v>1415</v>
      </c>
      <c r="B211" s="1854" t="s">
        <v>2158</v>
      </c>
      <c r="C211" s="1855">
        <v>0.13700000000000001</v>
      </c>
      <c r="D211" s="1855">
        <v>0.13500000000000001</v>
      </c>
      <c r="E211" s="1855">
        <v>0.13600000000000001</v>
      </c>
      <c r="F211" s="1856">
        <v>0.1</v>
      </c>
    </row>
    <row r="212" spans="1:6" ht="14.25" thickBot="1">
      <c r="A212" s="1850" t="s">
        <v>1415</v>
      </c>
      <c r="B212" s="1854" t="s">
        <v>2159</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2160</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2161</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2162</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2163</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2164</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2165</v>
      </c>
      <c r="C231" s="1855">
        <v>0.128</v>
      </c>
      <c r="D231" s="1855">
        <v>0.125</v>
      </c>
      <c r="E231" s="1855">
        <v>0.13200000000000001</v>
      </c>
      <c r="F231" s="1863"/>
    </row>
    <row r="232" spans="1:6" ht="14.25" thickBot="1">
      <c r="A232" s="1850" t="s">
        <v>1415</v>
      </c>
      <c r="B232" s="1854" t="s">
        <v>2166</v>
      </c>
      <c r="C232" s="1855">
        <v>0.14499999999999999</v>
      </c>
      <c r="D232" s="1855">
        <v>0.14399999999999999</v>
      </c>
      <c r="E232" s="1855">
        <v>0.14599999999999999</v>
      </c>
      <c r="F232" s="1856">
        <v>0.13800000000000001</v>
      </c>
    </row>
    <row r="233" spans="1:6" ht="14.25" thickBot="1">
      <c r="A233" s="1850" t="s">
        <v>1415</v>
      </c>
      <c r="B233" s="1854" t="s">
        <v>2167</v>
      </c>
      <c r="C233" s="1855">
        <v>0.14499999999999999</v>
      </c>
      <c r="D233" s="1855">
        <v>0.14299999999999999</v>
      </c>
      <c r="E233" s="1855">
        <v>0.14199999999999999</v>
      </c>
      <c r="F233" s="1863"/>
    </row>
    <row r="234" spans="1:6" ht="14.25" thickBot="1">
      <c r="A234" s="1850" t="s">
        <v>1415</v>
      </c>
      <c r="B234" s="1854" t="s">
        <v>2168</v>
      </c>
      <c r="C234" s="1855">
        <v>0.14000000000000001</v>
      </c>
      <c r="D234" s="1855">
        <v>0.14000000000000001</v>
      </c>
      <c r="E234" s="1855">
        <v>0.14399999999999999</v>
      </c>
      <c r="F234" s="1863"/>
    </row>
    <row r="235" spans="1:6" ht="14.25" thickBot="1">
      <c r="A235" s="1850" t="s">
        <v>1415</v>
      </c>
      <c r="B235" s="1854" t="s">
        <v>2169</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2170</v>
      </c>
      <c r="C237" s="1864"/>
      <c r="D237" s="1864"/>
      <c r="E237" s="1864"/>
      <c r="F237" s="1856">
        <v>0.05</v>
      </c>
    </row>
    <row r="238" spans="1:6" ht="24.75" thickBot="1">
      <c r="A238" s="1850" t="s">
        <v>1415</v>
      </c>
      <c r="B238" s="1854" t="s">
        <v>2171</v>
      </c>
      <c r="C238" s="1864"/>
      <c r="D238" s="1864"/>
      <c r="E238" s="1864"/>
      <c r="F238" s="1856">
        <v>0.05</v>
      </c>
    </row>
    <row r="239" spans="1:6" ht="24.75" thickBot="1">
      <c r="A239" s="1850" t="s">
        <v>1415</v>
      </c>
      <c r="B239" s="1854" t="s">
        <v>2172</v>
      </c>
      <c r="C239" s="1864"/>
      <c r="D239" s="1864"/>
      <c r="E239" s="1864"/>
      <c r="F239" s="1856">
        <v>0.05</v>
      </c>
    </row>
    <row r="240" spans="1:6" ht="24.75" thickBot="1">
      <c r="A240" s="1850" t="s">
        <v>1415</v>
      </c>
      <c r="B240" s="1854" t="s">
        <v>2173</v>
      </c>
      <c r="C240" s="1864"/>
      <c r="D240" s="1864"/>
      <c r="E240" s="1864"/>
      <c r="F240" s="1856">
        <v>0.05</v>
      </c>
    </row>
    <row r="241" spans="1:6" ht="24.75" thickBot="1">
      <c r="A241" s="1850" t="s">
        <v>1415</v>
      </c>
      <c r="B241" s="1854" t="s">
        <v>2174</v>
      </c>
      <c r="C241" s="1864"/>
      <c r="D241" s="1864"/>
      <c r="E241" s="1864"/>
      <c r="F241" s="1856">
        <v>0.05</v>
      </c>
    </row>
    <row r="242" spans="1:6" ht="24.75" thickBot="1">
      <c r="A242" s="1850" t="s">
        <v>1415</v>
      </c>
      <c r="B242" s="1854" t="s">
        <v>2175</v>
      </c>
      <c r="C242" s="1864"/>
      <c r="D242" s="1864"/>
      <c r="E242" s="1864"/>
      <c r="F242" s="1856">
        <v>0.05</v>
      </c>
    </row>
    <row r="243" spans="1:6" ht="24.75" thickBot="1">
      <c r="A243" s="1850" t="s">
        <v>1415</v>
      </c>
      <c r="B243" s="1854" t="s">
        <v>2176</v>
      </c>
      <c r="C243" s="1864"/>
      <c r="D243" s="1864"/>
      <c r="E243" s="1864"/>
      <c r="F243" s="1856">
        <v>0.05</v>
      </c>
    </row>
    <row r="244" spans="1:6" ht="24.75" thickBot="1">
      <c r="A244" s="1858" t="s">
        <v>1415</v>
      </c>
      <c r="B244" s="1865" t="s">
        <v>2177</v>
      </c>
      <c r="C244" s="1861"/>
      <c r="D244" s="1861"/>
      <c r="E244" s="1861"/>
      <c r="F244" s="1866">
        <v>0.05</v>
      </c>
    </row>
    <row r="245" spans="1:6" ht="14.25" thickBot="1">
      <c r="A245" s="1850" t="s">
        <v>1417</v>
      </c>
      <c r="B245" s="1851" t="s">
        <v>2178</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2179</v>
      </c>
      <c r="C247" s="1855">
        <v>0.15</v>
      </c>
      <c r="D247" s="1855">
        <v>0.15</v>
      </c>
      <c r="E247" s="1855">
        <v>0.15</v>
      </c>
      <c r="F247" s="1856">
        <v>0.15</v>
      </c>
    </row>
    <row r="248" spans="1:6" ht="14.25" thickBot="1">
      <c r="A248" s="1850" t="s">
        <v>1417</v>
      </c>
      <c r="B248" s="1854" t="s">
        <v>2180</v>
      </c>
      <c r="C248" s="1855">
        <v>0.15</v>
      </c>
      <c r="D248" s="1855">
        <v>0.15</v>
      </c>
      <c r="E248" s="1855">
        <v>0.15</v>
      </c>
      <c r="F248" s="1856">
        <v>0.14000000000000001</v>
      </c>
    </row>
    <row r="249" spans="1:6" ht="14.25" thickBot="1">
      <c r="A249" s="1850" t="s">
        <v>1417</v>
      </c>
      <c r="B249" s="1854" t="s">
        <v>2181</v>
      </c>
      <c r="C249" s="1855">
        <v>0.15</v>
      </c>
      <c r="D249" s="1855">
        <v>0.14899999999999999</v>
      </c>
      <c r="E249" s="1855">
        <v>0.15</v>
      </c>
      <c r="F249" s="1856">
        <v>0.1</v>
      </c>
    </row>
    <row r="250" spans="1:6" ht="14.25" thickBot="1">
      <c r="A250" s="1850" t="s">
        <v>1417</v>
      </c>
      <c r="B250" s="1854" t="s">
        <v>2182</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2183</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2184</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2185</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2186</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2187</v>
      </c>
      <c r="C273" s="1855">
        <v>0.14199999999999999</v>
      </c>
      <c r="D273" s="1855">
        <v>0.14299999999999999</v>
      </c>
      <c r="E273" s="1855">
        <v>0.15</v>
      </c>
      <c r="F273" s="1856">
        <v>0.1</v>
      </c>
    </row>
    <row r="274" spans="1:6" ht="14.25" thickBot="1">
      <c r="A274" s="1850" t="s">
        <v>1417</v>
      </c>
      <c r="B274" s="1854" t="s">
        <v>2188</v>
      </c>
      <c r="C274" s="1855">
        <v>0.14799999999999999</v>
      </c>
      <c r="D274" s="1855">
        <v>0.14799999999999999</v>
      </c>
      <c r="E274" s="1855">
        <v>0.15</v>
      </c>
      <c r="F274" s="1856">
        <v>6.7000000000000004E-2</v>
      </c>
    </row>
    <row r="275" spans="1:6" ht="14.25" thickBot="1">
      <c r="A275" s="1850" t="s">
        <v>1417</v>
      </c>
      <c r="B275" s="1854" t="s">
        <v>2189</v>
      </c>
      <c r="C275" s="1855">
        <v>0.15</v>
      </c>
      <c r="D275" s="1855">
        <v>0.15</v>
      </c>
      <c r="E275" s="1855">
        <v>0.15</v>
      </c>
      <c r="F275" s="1856">
        <v>0.15</v>
      </c>
    </row>
    <row r="276" spans="1:6" ht="14.25" thickBot="1">
      <c r="A276" s="1850" t="s">
        <v>1417</v>
      </c>
      <c r="B276" s="1854" t="s">
        <v>2190</v>
      </c>
      <c r="C276" s="1855">
        <v>0.14499999999999999</v>
      </c>
      <c r="D276" s="1855">
        <v>0.14299999999999999</v>
      </c>
      <c r="E276" s="1855">
        <v>0.15</v>
      </c>
      <c r="F276" s="1856">
        <v>5.8999999999999997E-2</v>
      </c>
    </row>
    <row r="277" spans="1:6" ht="14.25" thickBot="1">
      <c r="A277" s="1850" t="s">
        <v>1417</v>
      </c>
      <c r="B277" s="1854" t="s">
        <v>2191</v>
      </c>
      <c r="C277" s="1855">
        <v>0.15</v>
      </c>
      <c r="D277" s="1855">
        <v>0.15</v>
      </c>
      <c r="E277" s="1855">
        <v>0.15</v>
      </c>
      <c r="F277" s="1856">
        <v>0.121</v>
      </c>
    </row>
    <row r="278" spans="1:6" ht="14.25" thickBot="1">
      <c r="A278" s="1850" t="s">
        <v>1417</v>
      </c>
      <c r="B278" s="1854" t="s">
        <v>2192</v>
      </c>
      <c r="C278" s="1855">
        <v>0.15</v>
      </c>
      <c r="D278" s="1855">
        <v>0.15</v>
      </c>
      <c r="E278" s="1855">
        <v>0.15</v>
      </c>
      <c r="F278" s="1856">
        <v>0.13800000000000001</v>
      </c>
    </row>
    <row r="279" spans="1:6" ht="24.75" thickBot="1">
      <c r="A279" s="1850" t="s">
        <v>1417</v>
      </c>
      <c r="B279" s="1854" t="s">
        <v>2193</v>
      </c>
      <c r="C279" s="1864"/>
      <c r="D279" s="1864"/>
      <c r="E279" s="1864"/>
      <c r="F279" s="1856">
        <v>0.05</v>
      </c>
    </row>
    <row r="280" spans="1:6" ht="24.75" thickBot="1">
      <c r="A280" s="1850" t="s">
        <v>1417</v>
      </c>
      <c r="B280" s="1854" t="s">
        <v>2194</v>
      </c>
      <c r="C280" s="1864"/>
      <c r="D280" s="1864"/>
      <c r="E280" s="1864"/>
      <c r="F280" s="1856">
        <v>0.05</v>
      </c>
    </row>
    <row r="281" spans="1:6" ht="24.75" thickBot="1">
      <c r="A281" s="1850" t="s">
        <v>1417</v>
      </c>
      <c r="B281" s="1854" t="s">
        <v>2195</v>
      </c>
      <c r="C281" s="1864"/>
      <c r="D281" s="1864"/>
      <c r="E281" s="1864"/>
      <c r="F281" s="1856">
        <v>0.05</v>
      </c>
    </row>
    <row r="282" spans="1:6" ht="24.75" thickBot="1">
      <c r="A282" s="1850" t="s">
        <v>1417</v>
      </c>
      <c r="B282" s="1854" t="s">
        <v>2196</v>
      </c>
      <c r="C282" s="1864"/>
      <c r="D282" s="1864"/>
      <c r="E282" s="1864"/>
      <c r="F282" s="1856">
        <v>0.05</v>
      </c>
    </row>
    <row r="283" spans="1:6" ht="24.75" thickBot="1">
      <c r="A283" s="1850" t="s">
        <v>1417</v>
      </c>
      <c r="B283" s="1854" t="s">
        <v>2197</v>
      </c>
      <c r="C283" s="1864"/>
      <c r="D283" s="1864"/>
      <c r="E283" s="1864"/>
      <c r="F283" s="1856">
        <v>0.05</v>
      </c>
    </row>
    <row r="284" spans="1:6" ht="24.75" thickBot="1">
      <c r="A284" s="1850" t="s">
        <v>1417</v>
      </c>
      <c r="B284" s="1854" t="s">
        <v>2198</v>
      </c>
      <c r="C284" s="1864"/>
      <c r="D284" s="1864"/>
      <c r="E284" s="1864"/>
      <c r="F284" s="1856">
        <v>0.05</v>
      </c>
    </row>
    <row r="285" spans="1:6" ht="24.75" thickBot="1">
      <c r="A285" s="1850" t="s">
        <v>1417</v>
      </c>
      <c r="B285" s="1854" t="s">
        <v>2199</v>
      </c>
      <c r="C285" s="1864"/>
      <c r="D285" s="1864"/>
      <c r="E285" s="1864"/>
      <c r="F285" s="1856">
        <v>0.05</v>
      </c>
    </row>
    <row r="286" spans="1:6" ht="24.75" thickBot="1">
      <c r="A286" s="1850" t="s">
        <v>1417</v>
      </c>
      <c r="B286" s="1854" t="s">
        <v>2200</v>
      </c>
      <c r="C286" s="1864"/>
      <c r="D286" s="1864"/>
      <c r="E286" s="1864"/>
      <c r="F286" s="1856">
        <v>0.05</v>
      </c>
    </row>
    <row r="287" spans="1:6" ht="24.75" thickBot="1">
      <c r="A287" s="1850" t="s">
        <v>1417</v>
      </c>
      <c r="B287" s="1854" t="s">
        <v>2201</v>
      </c>
      <c r="C287" s="1864"/>
      <c r="D287" s="1864"/>
      <c r="E287" s="1864"/>
      <c r="F287" s="1856">
        <v>0.05</v>
      </c>
    </row>
    <row r="288" spans="1:6" ht="24.75" thickBot="1">
      <c r="A288" s="1850" t="s">
        <v>1417</v>
      </c>
      <c r="B288" s="1854" t="s">
        <v>2202</v>
      </c>
      <c r="C288" s="1864"/>
      <c r="D288" s="1864"/>
      <c r="E288" s="1864"/>
      <c r="F288" s="1856">
        <v>0.05</v>
      </c>
    </row>
    <row r="289" spans="1:6" ht="24.75" thickBot="1">
      <c r="A289" s="1858" t="s">
        <v>1417</v>
      </c>
      <c r="B289" s="1865" t="s">
        <v>2203</v>
      </c>
      <c r="C289" s="1861"/>
      <c r="D289" s="1861"/>
      <c r="E289" s="1861"/>
      <c r="F289" s="1866">
        <v>0.05</v>
      </c>
    </row>
    <row r="290" spans="1:6" ht="14.25" thickBot="1">
      <c r="A290" s="1850" t="s">
        <v>1421</v>
      </c>
      <c r="B290" s="1851" t="s">
        <v>2204</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2205</v>
      </c>
      <c r="C292" s="1855">
        <v>0.15</v>
      </c>
      <c r="D292" s="1855">
        <v>0.15</v>
      </c>
      <c r="E292" s="1855">
        <v>0.15</v>
      </c>
      <c r="F292" s="1856">
        <v>0.14699999999999999</v>
      </c>
    </row>
    <row r="293" spans="1:6" ht="14.25" thickBot="1">
      <c r="A293" s="1850" t="s">
        <v>1421</v>
      </c>
      <c r="B293" s="1854" t="s">
        <v>2206</v>
      </c>
      <c r="C293" s="1864"/>
      <c r="D293" s="1864"/>
      <c r="E293" s="1864"/>
      <c r="F293" s="1856">
        <v>0.1</v>
      </c>
    </row>
    <row r="294" spans="1:6" ht="14.25" thickBot="1">
      <c r="A294" s="1850" t="s">
        <v>1421</v>
      </c>
      <c r="B294" s="1854" t="s">
        <v>2207</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2208</v>
      </c>
      <c r="C296" s="1855">
        <v>0.15</v>
      </c>
      <c r="D296" s="1855">
        <v>0.15</v>
      </c>
      <c r="E296" s="1855">
        <v>0.15</v>
      </c>
      <c r="F296" s="1856">
        <v>0.15</v>
      </c>
    </row>
    <row r="297" spans="1:6" ht="14.25" thickBot="1">
      <c r="A297" s="1850" t="s">
        <v>1421</v>
      </c>
      <c r="B297" s="1854" t="s">
        <v>2209</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2210</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2211</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2212</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2213</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2214</v>
      </c>
      <c r="C310" s="1855">
        <v>0.15</v>
      </c>
      <c r="D310" s="1855">
        <v>0.15</v>
      </c>
      <c r="E310" s="1855">
        <v>0.15</v>
      </c>
      <c r="F310" s="1856">
        <v>0.13700000000000001</v>
      </c>
    </row>
    <row r="311" spans="1:6" ht="14.25" thickBot="1">
      <c r="A311" s="1850" t="s">
        <v>1421</v>
      </c>
      <c r="B311" s="1854" t="s">
        <v>2215</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2216</v>
      </c>
      <c r="C313" s="1855">
        <v>0.15</v>
      </c>
      <c r="D313" s="1855">
        <v>0.15</v>
      </c>
      <c r="E313" s="1855">
        <v>0.15</v>
      </c>
      <c r="F313" s="1856">
        <v>0.15</v>
      </c>
    </row>
    <row r="314" spans="1:6" ht="24.75" thickBot="1">
      <c r="A314" s="1850" t="s">
        <v>1421</v>
      </c>
      <c r="B314" s="1854" t="s">
        <v>2217</v>
      </c>
      <c r="C314" s="1864"/>
      <c r="D314" s="1864"/>
      <c r="E314" s="1864"/>
      <c r="F314" s="1856">
        <v>0.05</v>
      </c>
    </row>
    <row r="315" spans="1:6" ht="24.75" thickBot="1">
      <c r="A315" s="1850" t="s">
        <v>1421</v>
      </c>
      <c r="B315" s="1854" t="s">
        <v>2218</v>
      </c>
      <c r="C315" s="1864"/>
      <c r="D315" s="1864"/>
      <c r="E315" s="1864"/>
      <c r="F315" s="1856">
        <v>0.05</v>
      </c>
    </row>
    <row r="316" spans="1:6" ht="24.75" thickBot="1">
      <c r="A316" s="1858" t="s">
        <v>1421</v>
      </c>
      <c r="B316" s="1865" t="s">
        <v>2219</v>
      </c>
      <c r="C316" s="1861"/>
      <c r="D316" s="1861"/>
      <c r="E316" s="1861"/>
      <c r="F316" s="1866">
        <v>0.05</v>
      </c>
    </row>
    <row r="317" spans="1:6" ht="14.25" thickBot="1">
      <c r="A317" s="1850" t="s">
        <v>2220</v>
      </c>
      <c r="B317" s="1851" t="s">
        <v>2221</v>
      </c>
      <c r="C317" s="1852">
        <v>0.15</v>
      </c>
      <c r="D317" s="1852">
        <v>0.15</v>
      </c>
      <c r="E317" s="1852">
        <v>0.15</v>
      </c>
      <c r="F317" s="1853">
        <v>0.15</v>
      </c>
    </row>
    <row r="318" spans="1:6" ht="14.25" thickBot="1">
      <c r="A318" s="1850" t="s">
        <v>2220</v>
      </c>
      <c r="B318" s="1854" t="s">
        <v>2222</v>
      </c>
      <c r="C318" s="1855">
        <v>0.107</v>
      </c>
      <c r="D318" s="1855">
        <v>0.11</v>
      </c>
      <c r="E318" s="1855">
        <v>0.112</v>
      </c>
      <c r="F318" s="1863"/>
    </row>
    <row r="319" spans="1:6" ht="14.25" thickBot="1">
      <c r="A319" s="1850" t="s">
        <v>2220</v>
      </c>
      <c r="B319" s="1854" t="s">
        <v>2223</v>
      </c>
      <c r="C319" s="1855">
        <v>0.15</v>
      </c>
      <c r="D319" s="1855">
        <v>0.15</v>
      </c>
      <c r="E319" s="1855">
        <v>0.15</v>
      </c>
      <c r="F319" s="1856">
        <v>0.15</v>
      </c>
    </row>
    <row r="320" spans="1:6" ht="14.25" thickBot="1">
      <c r="A320" s="1850" t="s">
        <v>2220</v>
      </c>
      <c r="B320" s="1854" t="s">
        <v>1109</v>
      </c>
      <c r="C320" s="1855">
        <v>0.15</v>
      </c>
      <c r="D320" s="1855">
        <v>0.15</v>
      </c>
      <c r="E320" s="1855">
        <v>0.15</v>
      </c>
      <c r="F320" s="1863"/>
    </row>
    <row r="321" spans="1:6" ht="14.25" thickBot="1">
      <c r="A321" s="1850" t="s">
        <v>2220</v>
      </c>
      <c r="B321" s="1854" t="s">
        <v>2224</v>
      </c>
      <c r="C321" s="1855">
        <v>0.15</v>
      </c>
      <c r="D321" s="1855">
        <v>0.15</v>
      </c>
      <c r="E321" s="1855">
        <v>0.15</v>
      </c>
      <c r="F321" s="1863"/>
    </row>
    <row r="322" spans="1:6" ht="14.25" thickBot="1">
      <c r="A322" s="1850" t="s">
        <v>2220</v>
      </c>
      <c r="B322" s="1854" t="s">
        <v>2225</v>
      </c>
      <c r="C322" s="1855">
        <v>0.15</v>
      </c>
      <c r="D322" s="1855">
        <v>0.15</v>
      </c>
      <c r="E322" s="1855">
        <v>0.15</v>
      </c>
      <c r="F322" s="1856">
        <v>0.15</v>
      </c>
    </row>
    <row r="323" spans="1:6" ht="14.25" thickBot="1">
      <c r="A323" s="1850" t="s">
        <v>2220</v>
      </c>
      <c r="B323" s="1854" t="s">
        <v>2226</v>
      </c>
      <c r="C323" s="1855">
        <v>0.15</v>
      </c>
      <c r="D323" s="1855">
        <v>0.15</v>
      </c>
      <c r="E323" s="1855">
        <v>0.15</v>
      </c>
      <c r="F323" s="1863"/>
    </row>
    <row r="324" spans="1:6" ht="14.25" thickBot="1">
      <c r="A324" s="1850" t="s">
        <v>2220</v>
      </c>
      <c r="B324" s="1854" t="s">
        <v>2227</v>
      </c>
      <c r="C324" s="1855">
        <v>0.15</v>
      </c>
      <c r="D324" s="1855">
        <v>0.15</v>
      </c>
      <c r="E324" s="1855">
        <v>0.15</v>
      </c>
      <c r="F324" s="1863"/>
    </row>
    <row r="325" spans="1:6" ht="14.25" thickBot="1">
      <c r="A325" s="1850" t="s">
        <v>2220</v>
      </c>
      <c r="B325" s="1854" t="s">
        <v>2228</v>
      </c>
      <c r="C325" s="1855">
        <v>0.15</v>
      </c>
      <c r="D325" s="1855">
        <v>0.15</v>
      </c>
      <c r="E325" s="1855">
        <v>0.15</v>
      </c>
      <c r="F325" s="1856">
        <v>0.14699999999999999</v>
      </c>
    </row>
    <row r="326" spans="1:6" ht="14.25" thickBot="1">
      <c r="A326" s="1850" t="s">
        <v>2220</v>
      </c>
      <c r="B326" s="1854" t="s">
        <v>1178</v>
      </c>
      <c r="C326" s="1855">
        <v>0.15</v>
      </c>
      <c r="D326" s="1855">
        <v>0.15</v>
      </c>
      <c r="E326" s="1855">
        <v>0.15</v>
      </c>
      <c r="F326" s="1863"/>
    </row>
    <row r="327" spans="1:6" ht="14.25" thickBot="1">
      <c r="A327" s="1850" t="s">
        <v>2220</v>
      </c>
      <c r="B327" s="1854" t="s">
        <v>2229</v>
      </c>
      <c r="C327" s="1855">
        <v>0.15</v>
      </c>
      <c r="D327" s="1855">
        <v>0.15</v>
      </c>
      <c r="E327" s="1855">
        <v>0.15</v>
      </c>
      <c r="F327" s="1856">
        <v>0.15</v>
      </c>
    </row>
    <row r="328" spans="1:6" ht="14.25" thickBot="1">
      <c r="A328" s="1850" t="s">
        <v>2220</v>
      </c>
      <c r="B328" s="1854" t="s">
        <v>1198</v>
      </c>
      <c r="C328" s="1855">
        <v>0.15</v>
      </c>
      <c r="D328" s="1855">
        <v>0.15</v>
      </c>
      <c r="E328" s="1855">
        <v>0.15</v>
      </c>
      <c r="F328" s="1856">
        <v>0.14099999999999999</v>
      </c>
    </row>
    <row r="329" spans="1:6" ht="14.25" thickBot="1">
      <c r="A329" s="1850" t="s">
        <v>2220</v>
      </c>
      <c r="B329" s="1854" t="s">
        <v>1208</v>
      </c>
      <c r="C329" s="1855">
        <v>0.15</v>
      </c>
      <c r="D329" s="1855">
        <v>0.15</v>
      </c>
      <c r="E329" s="1855">
        <v>0.15</v>
      </c>
      <c r="F329" s="1856">
        <v>0.15</v>
      </c>
    </row>
    <row r="330" spans="1:6" ht="14.25" thickBot="1">
      <c r="A330" s="1850" t="s">
        <v>2220</v>
      </c>
      <c r="B330" s="1854" t="s">
        <v>1218</v>
      </c>
      <c r="C330" s="1855">
        <v>0.15</v>
      </c>
      <c r="D330" s="1855">
        <v>0.15</v>
      </c>
      <c r="E330" s="1855">
        <v>0.15</v>
      </c>
      <c r="F330" s="1863"/>
    </row>
    <row r="331" spans="1:6" ht="14.25" thickBot="1">
      <c r="A331" s="1850" t="s">
        <v>2220</v>
      </c>
      <c r="B331" s="1854" t="s">
        <v>2230</v>
      </c>
      <c r="C331" s="1855">
        <v>0.15</v>
      </c>
      <c r="D331" s="1855">
        <v>0.15</v>
      </c>
      <c r="E331" s="1855">
        <v>0.15</v>
      </c>
      <c r="F331" s="1856">
        <v>0.15</v>
      </c>
    </row>
    <row r="332" spans="1:6" ht="14.25" thickBot="1">
      <c r="A332" s="1850" t="s">
        <v>2220</v>
      </c>
      <c r="B332" s="1854" t="s">
        <v>1238</v>
      </c>
      <c r="C332" s="1855">
        <v>0.15</v>
      </c>
      <c r="D332" s="1855">
        <v>0.15</v>
      </c>
      <c r="E332" s="1855">
        <v>0.15</v>
      </c>
      <c r="F332" s="1856">
        <v>0.15</v>
      </c>
    </row>
    <row r="333" spans="1:6" ht="14.25" thickBot="1">
      <c r="A333" s="1850" t="s">
        <v>2220</v>
      </c>
      <c r="B333" s="1854" t="s">
        <v>2231</v>
      </c>
      <c r="C333" s="1855">
        <v>0.15</v>
      </c>
      <c r="D333" s="1855">
        <v>0.15</v>
      </c>
      <c r="E333" s="1855">
        <v>0.15</v>
      </c>
      <c r="F333" s="1856">
        <v>0.14099999999999999</v>
      </c>
    </row>
    <row r="334" spans="1:6" ht="14.25" thickBot="1">
      <c r="A334" s="1850" t="s">
        <v>2220</v>
      </c>
      <c r="B334" s="1854" t="s">
        <v>1258</v>
      </c>
      <c r="C334" s="1855">
        <v>0.15</v>
      </c>
      <c r="D334" s="1855">
        <v>0.15</v>
      </c>
      <c r="E334" s="1855">
        <v>0.15</v>
      </c>
      <c r="F334" s="1856">
        <v>0.15</v>
      </c>
    </row>
    <row r="335" spans="1:6" ht="14.25" thickBot="1">
      <c r="A335" s="1850" t="s">
        <v>2220</v>
      </c>
      <c r="B335" s="1854" t="s">
        <v>1268</v>
      </c>
      <c r="C335" s="1855">
        <v>0.15</v>
      </c>
      <c r="D335" s="1855">
        <v>0.15</v>
      </c>
      <c r="E335" s="1855">
        <v>0.15</v>
      </c>
      <c r="F335" s="1863"/>
    </row>
    <row r="336" spans="1:6" ht="14.25" thickBot="1">
      <c r="A336" s="1850" t="s">
        <v>2220</v>
      </c>
      <c r="B336" s="1854" t="s">
        <v>2232</v>
      </c>
      <c r="C336" s="1855">
        <v>0.15</v>
      </c>
      <c r="D336" s="1855">
        <v>0.15</v>
      </c>
      <c r="E336" s="1855">
        <v>0.15</v>
      </c>
      <c r="F336" s="1856">
        <v>0.11799999999999999</v>
      </c>
    </row>
    <row r="337" spans="1:6" ht="14.25" thickBot="1">
      <c r="A337" s="1858" t="s">
        <v>2220</v>
      </c>
      <c r="B337" s="1865" t="s">
        <v>1286</v>
      </c>
      <c r="C337" s="1861"/>
      <c r="D337" s="1861"/>
      <c r="E337" s="1861"/>
      <c r="F337" s="1866">
        <v>0.14299999999999999</v>
      </c>
    </row>
    <row r="338" spans="1:6" ht="14.25" thickBot="1">
      <c r="A338" s="1850" t="s">
        <v>2233</v>
      </c>
      <c r="B338" s="1851" t="s">
        <v>2234</v>
      </c>
      <c r="C338" s="1852">
        <v>0.15</v>
      </c>
      <c r="D338" s="1852">
        <v>0.15</v>
      </c>
      <c r="E338" s="1852">
        <v>0.15</v>
      </c>
      <c r="F338" s="1874"/>
    </row>
    <row r="339" spans="1:6" ht="14.25" thickBot="1">
      <c r="A339" s="1850" t="s">
        <v>2233</v>
      </c>
      <c r="B339" s="1854" t="s">
        <v>2235</v>
      </c>
      <c r="C339" s="1855">
        <v>0.15</v>
      </c>
      <c r="D339" s="1855">
        <v>0.15</v>
      </c>
      <c r="E339" s="1855">
        <v>0.15</v>
      </c>
      <c r="F339" s="1863"/>
    </row>
    <row r="340" spans="1:6" ht="14.25" thickBot="1">
      <c r="A340" s="1850" t="s">
        <v>2233</v>
      </c>
      <c r="B340" s="1854" t="s">
        <v>2236</v>
      </c>
      <c r="C340" s="1855">
        <v>0.15</v>
      </c>
      <c r="D340" s="1855">
        <v>0.15</v>
      </c>
      <c r="E340" s="1855">
        <v>0.15</v>
      </c>
      <c r="F340" s="1863"/>
    </row>
    <row r="341" spans="1:6" ht="14.25" thickBot="1">
      <c r="A341" s="1850" t="s">
        <v>2237</v>
      </c>
      <c r="B341" s="1854" t="s">
        <v>2238</v>
      </c>
      <c r="C341" s="1855">
        <v>0.15</v>
      </c>
      <c r="D341" s="1855">
        <v>0.15</v>
      </c>
      <c r="E341" s="1855">
        <v>0.15</v>
      </c>
      <c r="F341" s="1856">
        <v>0.15</v>
      </c>
    </row>
    <row r="342" spans="1:6" ht="14.25" thickBot="1">
      <c r="A342" s="1850" t="s">
        <v>2233</v>
      </c>
      <c r="B342" s="1854" t="s">
        <v>2239</v>
      </c>
      <c r="C342" s="1855">
        <v>0.15</v>
      </c>
      <c r="D342" s="1855">
        <v>0.15</v>
      </c>
      <c r="E342" s="1855">
        <v>0.15</v>
      </c>
      <c r="F342" s="1856">
        <v>0.15</v>
      </c>
    </row>
    <row r="343" spans="1:6" ht="14.25" thickBot="1">
      <c r="A343" s="1850" t="s">
        <v>2233</v>
      </c>
      <c r="B343" s="1854" t="s">
        <v>2240</v>
      </c>
      <c r="C343" s="1855">
        <v>0.15</v>
      </c>
      <c r="D343" s="1855">
        <v>0.15</v>
      </c>
      <c r="E343" s="1855">
        <v>0.15</v>
      </c>
      <c r="F343" s="1856">
        <v>0.15</v>
      </c>
    </row>
    <row r="344" spans="1:6" ht="14.25" thickBot="1">
      <c r="A344" s="1858" t="s">
        <v>2233</v>
      </c>
      <c r="B344" s="1865" t="s">
        <v>2241</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2955</v>
      </c>
      <c r="B1" s="3127"/>
      <c r="C1" s="3127"/>
      <c r="D1" s="3127"/>
      <c r="E1" s="3127"/>
      <c r="F1" s="3127"/>
    </row>
    <row r="2" spans="1:6" ht="14.25">
      <c r="A2" s="3128" t="s">
        <v>2949</v>
      </c>
      <c r="B2" s="3129" t="e">
        <f ca="1">SUMIF(B7:B14,"&lt;&gt;#ref!",B7:B14)</f>
        <v>#DIV/0!</v>
      </c>
      <c r="C2" s="3128" t="s">
        <v>2950</v>
      </c>
      <c r="D2" s="3127"/>
      <c r="E2" s="3127"/>
      <c r="F2" s="3127"/>
    </row>
    <row r="3" spans="1:6" ht="14.25">
      <c r="A3" s="3128" t="s">
        <v>2952</v>
      </c>
      <c r="B3" s="3129" t="e">
        <f ca="1">ROUND(B2*10000/E3,0)</f>
        <v>#DIV/0!</v>
      </c>
      <c r="C3" s="3128" t="s">
        <v>2082</v>
      </c>
      <c r="D3" s="3128" t="s">
        <v>2951</v>
      </c>
      <c r="E3" s="3129" t="e">
        <f ca="1">SUM(E7:E14)</f>
        <v>#REF!</v>
      </c>
      <c r="F3" s="3127"/>
    </row>
    <row r="4" spans="1:6" ht="14.25">
      <c r="A4" s="3128" t="s">
        <v>2959</v>
      </c>
      <c r="B4" s="3129" t="e">
        <f ca="1">ROUND(B2*10000/E4,0)</f>
        <v>#DIV/0!</v>
      </c>
      <c r="C4" s="3128" t="s">
        <v>2082</v>
      </c>
      <c r="D4" s="3128" t="s">
        <v>2960</v>
      </c>
      <c r="E4" s="3129" t="e">
        <f ca="1">SUM(F7:F14)</f>
        <v>#REF!</v>
      </c>
      <c r="F4" s="3127"/>
    </row>
    <row r="5" spans="1:6" ht="14.25">
      <c r="A5" s="3130"/>
      <c r="B5" s="1876"/>
      <c r="C5" s="1876"/>
      <c r="D5" s="1876"/>
      <c r="E5" s="1876"/>
      <c r="F5" s="3127"/>
    </row>
    <row r="6" spans="1:6" ht="28.5">
      <c r="A6" s="3131" t="s">
        <v>2956</v>
      </c>
      <c r="B6" s="3128" t="s">
        <v>2953</v>
      </c>
      <c r="C6" s="3129"/>
      <c r="D6" s="1876"/>
      <c r="E6" s="3128" t="s">
        <v>2954</v>
      </c>
      <c r="F6" s="3128" t="s">
        <v>2958</v>
      </c>
    </row>
    <row r="7" spans="1:6" ht="14.25">
      <c r="A7" s="256" t="s">
        <v>2957</v>
      </c>
      <c r="B7" s="3132" t="e">
        <f ca="1">SUMIF(INDIRECT("'"&amp;A7&amp;"'"&amp;"!A:A"),"总价",INDIRECT("'"&amp;A7&amp;"'"&amp;"!B:B"))</f>
        <v>#DIV/0!</v>
      </c>
      <c r="C7" s="3128" t="s">
        <v>2950</v>
      </c>
      <c r="D7" s="1876"/>
      <c r="E7" s="3133">
        <f ca="1">SUMIF(INDIRECT("'"&amp;A7&amp;"'"&amp;"!C:C"),"建筑面积",INDIRECT("'"&amp;A7&amp;"'"&amp;"!D:D"))</f>
        <v>0</v>
      </c>
      <c r="F7" s="3133">
        <f ca="1">SUMIF(INDIRECT("'"&amp;A7&amp;"'"&amp;"!E:E"),"土地面积",INDIRECT("'"&amp;A7&amp;"'"&amp;"!F:F"))</f>
        <v>0</v>
      </c>
    </row>
    <row r="8" spans="1:6" ht="14.25">
      <c r="A8" s="256"/>
      <c r="B8" s="3132" t="e">
        <f t="shared" ref="B8:B14" ca="1" si="0">SUMIF(INDIRECT("'"&amp;A8&amp;"'"&amp;"!A:A"),"总价",INDIRECT("'"&amp;A8&amp;"'"&amp;"!B:B"))</f>
        <v>#REF!</v>
      </c>
      <c r="C8" s="3128" t="s">
        <v>2950</v>
      </c>
      <c r="D8" s="1876"/>
      <c r="E8" s="3133" t="e">
        <f t="shared" ref="E8:E14" ca="1" si="1">SUMIF(INDIRECT("'"&amp;A8&amp;"'"&amp;"!C:C"),"建筑面积",INDIRECT("'"&amp;A8&amp;"'"&amp;"!D:D"))</f>
        <v>#REF!</v>
      </c>
      <c r="F8" s="3133" t="e">
        <f t="shared" ref="F8:F14" ca="1" si="2">SUMIF(INDIRECT("'"&amp;A8&amp;"'"&amp;"!E:E"),"土地面积",INDIRECT("'"&amp;A8&amp;"'"&amp;"!F:F"))</f>
        <v>#REF!</v>
      </c>
    </row>
    <row r="9" spans="1:6" ht="14.25">
      <c r="A9" s="256"/>
      <c r="B9" s="3132" t="e">
        <f t="shared" ca="1" si="0"/>
        <v>#REF!</v>
      </c>
      <c r="C9" s="3128" t="s">
        <v>2950</v>
      </c>
      <c r="D9" s="1876"/>
      <c r="E9" s="3133" t="e">
        <f t="shared" ca="1" si="1"/>
        <v>#REF!</v>
      </c>
      <c r="F9" s="3133" t="e">
        <f t="shared" ca="1" si="2"/>
        <v>#REF!</v>
      </c>
    </row>
    <row r="10" spans="1:6" ht="14.25">
      <c r="A10" s="256"/>
      <c r="B10" s="3132" t="e">
        <f t="shared" ca="1" si="0"/>
        <v>#REF!</v>
      </c>
      <c r="C10" s="3128" t="s">
        <v>2950</v>
      </c>
      <c r="D10" s="1876"/>
      <c r="E10" s="3133" t="e">
        <f t="shared" ca="1" si="1"/>
        <v>#REF!</v>
      </c>
      <c r="F10" s="3133" t="e">
        <f t="shared" ca="1" si="2"/>
        <v>#REF!</v>
      </c>
    </row>
    <row r="11" spans="1:6" ht="14.25">
      <c r="A11" s="256"/>
      <c r="B11" s="3132" t="e">
        <f t="shared" ca="1" si="0"/>
        <v>#REF!</v>
      </c>
      <c r="C11" s="3128" t="s">
        <v>2950</v>
      </c>
      <c r="D11" s="1876"/>
      <c r="E11" s="3133" t="e">
        <f t="shared" ca="1" si="1"/>
        <v>#REF!</v>
      </c>
      <c r="F11" s="3133" t="e">
        <f t="shared" ca="1" si="2"/>
        <v>#REF!</v>
      </c>
    </row>
    <row r="12" spans="1:6" ht="14.25">
      <c r="A12" s="256"/>
      <c r="B12" s="3132" t="e">
        <f t="shared" ca="1" si="0"/>
        <v>#REF!</v>
      </c>
      <c r="C12" s="3128" t="s">
        <v>2950</v>
      </c>
      <c r="D12" s="1876"/>
      <c r="E12" s="3133" t="e">
        <f t="shared" ca="1" si="1"/>
        <v>#REF!</v>
      </c>
      <c r="F12" s="3133" t="e">
        <f t="shared" ca="1" si="2"/>
        <v>#REF!</v>
      </c>
    </row>
    <row r="13" spans="1:6" ht="14.25">
      <c r="A13" s="256"/>
      <c r="B13" s="3132" t="e">
        <f t="shared" ca="1" si="0"/>
        <v>#REF!</v>
      </c>
      <c r="C13" s="3128" t="s">
        <v>2950</v>
      </c>
      <c r="D13" s="1876"/>
      <c r="E13" s="3133" t="e">
        <f t="shared" ca="1" si="1"/>
        <v>#REF!</v>
      </c>
      <c r="F13" s="3133" t="e">
        <f t="shared" ca="1" si="2"/>
        <v>#REF!</v>
      </c>
    </row>
    <row r="14" spans="1:6" ht="14.25">
      <c r="A14" s="3126"/>
      <c r="B14" s="3132" t="e">
        <f t="shared" ca="1" si="0"/>
        <v>#REF!</v>
      </c>
      <c r="C14" s="3128" t="s">
        <v>2950</v>
      </c>
      <c r="D14" s="1876"/>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1903</v>
      </c>
      <c r="B36" s="1648" t="s">
        <v>1904</v>
      </c>
    </row>
    <row r="37" spans="1:9" ht="28.5" customHeight="1">
      <c r="A37" s="1648"/>
      <c r="B37" s="3526" t="str">
        <f>项目基本情况!B1</f>
        <v>北京市朝阳区管庄乡塔营村1208-605地块F1住宅混合公建用地项目出让国有建设用地使用权抵押价格预评估</v>
      </c>
      <c r="C37" s="3526"/>
      <c r="D37" s="3526"/>
      <c r="E37" s="3526"/>
      <c r="F37" s="3526"/>
      <c r="G37" s="3526"/>
      <c r="H37" s="3526"/>
      <c r="I37" s="3526"/>
    </row>
    <row r="38" spans="1:9">
      <c r="A38" s="1650"/>
      <c r="B38" s="1650"/>
    </row>
    <row r="39" spans="1:9">
      <c r="A39" s="1648" t="s">
        <v>1903</v>
      </c>
      <c r="B39" s="1648" t="s">
        <v>2050</v>
      </c>
    </row>
    <row r="40" spans="1:9">
      <c r="A40" s="1648"/>
      <c r="B40" s="1648" t="str">
        <f>项目基本情况!B5</f>
        <v>北京诚志置业有限公司</v>
      </c>
    </row>
    <row r="41" spans="1:9">
      <c r="A41" s="1648"/>
      <c r="B41" s="1648"/>
    </row>
    <row r="42" spans="1:9">
      <c r="A42" s="1648" t="s">
        <v>1903</v>
      </c>
      <c r="B42" s="1648" t="s">
        <v>2051</v>
      </c>
    </row>
    <row r="43" spans="1:9">
      <c r="A43" s="1648"/>
      <c r="B43" s="1648" t="s">
        <v>1905</v>
      </c>
    </row>
    <row r="44" spans="1:9">
      <c r="A44" s="1648"/>
      <c r="B44" s="1648"/>
    </row>
    <row r="45" spans="1:9">
      <c r="A45" s="1648" t="s">
        <v>1903</v>
      </c>
      <c r="B45" s="1648" t="s">
        <v>2049</v>
      </c>
    </row>
    <row r="46" spans="1:9" s="1648" customFormat="1" ht="12.75">
      <c r="B46" s="1648" t="str">
        <f>项目基本情况!K4</f>
        <v>土地估价师、土地估价师</v>
      </c>
    </row>
    <row r="47" spans="1:9">
      <c r="A47" s="1648"/>
      <c r="B47" s="1648"/>
    </row>
    <row r="48" spans="1:9">
      <c r="A48" s="1648" t="s">
        <v>1903</v>
      </c>
      <c r="B48" s="1648" t="s">
        <v>2052</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6" t="s">
        <v>2379</v>
      </c>
      <c r="F1" s="2407">
        <f ca="1">J54</f>
        <v>0</v>
      </c>
      <c r="G1" s="770">
        <f>MATCH(C1,'数据-取费表'!A6:A16,0)+5</f>
        <v>11</v>
      </c>
      <c r="H1" s="1346"/>
      <c r="I1" s="2046"/>
      <c r="J1" s="2046"/>
      <c r="K1" s="2047"/>
      <c r="L1" s="2046"/>
      <c r="M1" s="2046"/>
      <c r="N1" s="2048"/>
      <c r="O1" s="2048"/>
      <c r="P1" s="2048"/>
      <c r="Q1" s="2048"/>
      <c r="R1" s="2048"/>
      <c r="S1" s="2048"/>
      <c r="T1" s="2048"/>
      <c r="U1" s="2048"/>
      <c r="V1" s="2048"/>
      <c r="W1" s="2048"/>
      <c r="X1" s="2048"/>
      <c r="Y1" s="2048"/>
    </row>
    <row r="2" spans="1:25" ht="18" customHeight="1">
      <c r="A2" s="1638" t="s">
        <v>630</v>
      </c>
      <c r="B2" s="771">
        <f ca="1">IF(ISERROR(C45+J31),0,C45+J31)</f>
        <v>0</v>
      </c>
      <c r="C2" s="1347"/>
      <c r="D2" s="2050"/>
      <c r="E2" s="2051"/>
      <c r="F2" s="2051"/>
      <c r="G2" s="1584"/>
      <c r="H2" s="1359"/>
      <c r="I2" s="2052"/>
      <c r="J2" s="2052"/>
      <c r="K2" s="2053"/>
      <c r="L2" s="2052"/>
      <c r="M2" s="2052"/>
    </row>
    <row r="3" spans="1:25" ht="18" customHeight="1">
      <c r="A3" s="1639" t="s">
        <v>1688</v>
      </c>
      <c r="B3" s="1385">
        <f ca="1">ROUND(B2*10000/'数据-汇总表'!E3,0)</f>
        <v>0</v>
      </c>
      <c r="C3" s="1347"/>
      <c r="D3" s="2050"/>
      <c r="E3" s="2051"/>
      <c r="F3" s="2051"/>
      <c r="G3" s="1584"/>
      <c r="H3" s="772" t="s">
        <v>696</v>
      </c>
      <c r="I3" s="2052"/>
      <c r="J3" s="2052"/>
      <c r="K3" s="2053"/>
      <c r="L3" s="2052"/>
      <c r="M3" s="2052"/>
    </row>
    <row r="4" spans="1:25" ht="18" customHeight="1">
      <c r="A4" s="1640" t="s">
        <v>697</v>
      </c>
      <c r="B4" s="1348">
        <f ca="1">ROUND(B2*10000/'数据-汇总表'!D3,0)</f>
        <v>0</v>
      </c>
      <c r="C4" s="424"/>
      <c r="D4" s="2050"/>
      <c r="E4" s="2051"/>
      <c r="F4" s="2051"/>
      <c r="G4" s="1584"/>
      <c r="H4" s="772"/>
      <c r="I4" s="2052"/>
      <c r="J4" s="2052"/>
      <c r="K4" s="2053"/>
      <c r="L4" s="2052"/>
      <c r="M4" s="2052"/>
    </row>
    <row r="5" spans="1:25" ht="18" customHeight="1" thickBot="1">
      <c r="A5" s="1641"/>
      <c r="B5" s="426">
        <f ca="1">ROUND(B2/('数据-汇总表'!D3/666.67),0)</f>
        <v>0</v>
      </c>
      <c r="C5" s="427" t="s">
        <v>698</v>
      </c>
      <c r="D5" s="2050"/>
      <c r="E5" s="2051"/>
      <c r="F5" s="2051"/>
      <c r="G5" s="1584"/>
      <c r="H5" s="772"/>
      <c r="I5" s="2052"/>
      <c r="J5" s="2052"/>
      <c r="K5" s="2053"/>
      <c r="L5" s="2052"/>
      <c r="M5" s="2052"/>
    </row>
    <row r="6" spans="1:25" ht="18" customHeight="1">
      <c r="A6" s="1823" t="s">
        <v>699</v>
      </c>
      <c r="B6" s="1815" t="s">
        <v>700</v>
      </c>
      <c r="C6" s="1815" t="s">
        <v>633</v>
      </c>
      <c r="D6" s="1815" t="s">
        <v>634</v>
      </c>
      <c r="E6" s="775" t="s">
        <v>635</v>
      </c>
      <c r="F6" s="776"/>
      <c r="G6" s="1586"/>
      <c r="H6" s="1823" t="s">
        <v>631</v>
      </c>
      <c r="I6" s="1815" t="s">
        <v>632</v>
      </c>
      <c r="J6" s="1815" t="s">
        <v>633</v>
      </c>
      <c r="K6" s="1815" t="s">
        <v>634</v>
      </c>
      <c r="L6" s="775" t="s">
        <v>635</v>
      </c>
      <c r="M6" s="776"/>
    </row>
    <row r="7" spans="1:25" ht="18" customHeight="1">
      <c r="A7" s="777">
        <v>1</v>
      </c>
      <c r="B7" s="778" t="s">
        <v>2464</v>
      </c>
      <c r="C7" s="52">
        <f ca="1">C8+C12+C14</f>
        <v>0</v>
      </c>
      <c r="D7" s="2515" t="s">
        <v>2467</v>
      </c>
      <c r="E7" s="2509"/>
      <c r="F7" s="2510"/>
      <c r="G7" s="1586"/>
      <c r="H7" s="777">
        <v>1</v>
      </c>
      <c r="I7" s="778" t="s">
        <v>2464</v>
      </c>
      <c r="J7" s="52">
        <f ca="1">J8+J12+J14</f>
        <v>0</v>
      </c>
      <c r="K7" s="2515" t="s">
        <v>2467</v>
      </c>
      <c r="L7" s="2509"/>
      <c r="M7" s="2510"/>
    </row>
    <row r="8" spans="1:25" ht="18" customHeight="1">
      <c r="A8" s="1825" t="s">
        <v>1826</v>
      </c>
      <c r="B8" s="3774" t="s">
        <v>2469</v>
      </c>
      <c r="C8" s="1820">
        <f ca="1">ROUND(F8*F10*F9*(1-F11)/10000,0)</f>
        <v>0</v>
      </c>
      <c r="D8" s="1817" t="s">
        <v>2541</v>
      </c>
      <c r="E8" s="60" t="s">
        <v>638</v>
      </c>
      <c r="F8" s="781">
        <f ca="1">INDIRECT("'数据-取费表'!u"&amp;$G$1)</f>
        <v>0</v>
      </c>
      <c r="G8" s="1586"/>
      <c r="H8" s="2523" t="s">
        <v>1826</v>
      </c>
      <c r="I8" s="3774" t="s">
        <v>2469</v>
      </c>
      <c r="J8" s="779">
        <f ca="1">ROUND(M8*M10*M9*(1-M11)/10000,0)</f>
        <v>0</v>
      </c>
      <c r="K8" s="337" t="s">
        <v>2541</v>
      </c>
      <c r="L8" s="780" t="s">
        <v>1740</v>
      </c>
      <c r="M8" s="781">
        <f ca="1">INDIRECT("'数据-取费表'!z"&amp;$G$1)</f>
        <v>0</v>
      </c>
    </row>
    <row r="9" spans="1:25" ht="18" customHeight="1">
      <c r="A9" s="2519"/>
      <c r="B9" s="3775"/>
      <c r="C9" s="1821"/>
      <c r="D9" s="1818"/>
      <c r="E9" s="60" t="s">
        <v>639</v>
      </c>
      <c r="F9" s="781">
        <f ca="1">IF(INDIRECT("'数据-取费表'!ah"&amp;$G$1)="",INDIRECT("'数据-取费表'!k"&amp;$G$1),INDIRECT("'数据-取费表'!ah"&amp;$G$1))</f>
        <v>0</v>
      </c>
      <c r="G9" s="1586"/>
      <c r="H9" s="2508"/>
      <c r="I9" s="3775"/>
      <c r="J9" s="784"/>
      <c r="K9" s="785"/>
      <c r="L9" s="780" t="s">
        <v>1741</v>
      </c>
      <c r="M9" s="781">
        <f ca="1">F9</f>
        <v>0</v>
      </c>
    </row>
    <row r="10" spans="1:25" ht="18" customHeight="1">
      <c r="A10" s="2512"/>
      <c r="B10" s="3776"/>
      <c r="C10" s="1821"/>
      <c r="D10" s="1818"/>
      <c r="E10" s="60" t="s">
        <v>640</v>
      </c>
      <c r="F10" s="781">
        <f ca="1">INDIRECT("'数据-取费表'!ai"&amp;$G$1)</f>
        <v>0</v>
      </c>
      <c r="G10" s="1586"/>
      <c r="H10" s="2508"/>
      <c r="I10" s="3776"/>
      <c r="J10" s="784"/>
      <c r="K10" s="785"/>
      <c r="L10" s="780" t="s">
        <v>1742</v>
      </c>
      <c r="M10" s="781">
        <f ca="1">INDIRECT("'数据-取费表'!ai"&amp;$G$1)</f>
        <v>0</v>
      </c>
    </row>
    <row r="11" spans="1:25" ht="18" customHeight="1">
      <c r="A11" s="782"/>
      <c r="B11" s="3777"/>
      <c r="C11" s="1821"/>
      <c r="D11" s="1818"/>
      <c r="E11" s="60" t="s">
        <v>641</v>
      </c>
      <c r="F11" s="790">
        <f ca="1">INDIRECT("'数据-取费表'!w"&amp;$G$1)</f>
        <v>0</v>
      </c>
      <c r="G11" s="1586"/>
      <c r="H11" s="2524"/>
      <c r="I11" s="3776"/>
      <c r="J11" s="784"/>
      <c r="K11" s="785"/>
      <c r="L11" s="791" t="s">
        <v>1743</v>
      </c>
      <c r="M11" s="792">
        <f ca="1">INDIRECT("'数据-取费表'!ab"&amp;$G$1)</f>
        <v>0</v>
      </c>
    </row>
    <row r="12" spans="1:25" ht="18" customHeight="1">
      <c r="A12" s="1825" t="s">
        <v>1827</v>
      </c>
      <c r="B12" s="2513" t="s">
        <v>2465</v>
      </c>
      <c r="C12" s="795">
        <f ca="1">ROUND(IF(F12="押一",F8*F10*F9/12*F13,IF(F12="押二",F8*F10*F9/12*2*F13,IF(F12="押三",F8*F10*F9/12*3*F13,C13*F13)))/10000,0)</f>
        <v>0</v>
      </c>
      <c r="D12" s="2520" t="s">
        <v>2472</v>
      </c>
      <c r="E12" s="2517" t="s">
        <v>2470</v>
      </c>
      <c r="F12" s="2640"/>
      <c r="G12" s="1586"/>
      <c r="H12" s="2580" t="s">
        <v>1827</v>
      </c>
      <c r="I12" s="2585" t="s">
        <v>2465</v>
      </c>
      <c r="J12" s="779">
        <f ca="1">ROUND(IF(M12="押一",M8*M10*M9/12*M13,IF(M12="押二",M8*M10*M9/12*2*M13,IF(M12="押三",M8*M10*M9/12*3*M13,J13*M13)))/10000,0)</f>
        <v>0</v>
      </c>
      <c r="K12" s="2520" t="s">
        <v>2472</v>
      </c>
      <c r="L12" s="2517" t="s">
        <v>2470</v>
      </c>
      <c r="M12" s="2640"/>
    </row>
    <row r="13" spans="1:25" ht="18" customHeight="1">
      <c r="A13" s="786"/>
      <c r="B13" s="2514" t="s">
        <v>2580</v>
      </c>
      <c r="C13" s="2518"/>
      <c r="D13" s="785"/>
      <c r="E13" s="2517" t="s">
        <v>2462</v>
      </c>
      <c r="F13" s="792">
        <f ca="1">'数据-取费表'!B39</f>
        <v>1.4999999999999999E-2</v>
      </c>
      <c r="G13" s="1586"/>
      <c r="H13" s="2581"/>
      <c r="I13" s="2514" t="s">
        <v>2580</v>
      </c>
      <c r="J13" s="2518"/>
      <c r="K13" s="2582"/>
      <c r="L13" s="2517" t="s">
        <v>2462</v>
      </c>
      <c r="M13" s="2511">
        <f ca="1">'数据-取费表'!B39</f>
        <v>1.4999999999999999E-2</v>
      </c>
    </row>
    <row r="14" spans="1:25" ht="18" customHeight="1" thickBot="1">
      <c r="A14" s="2556" t="s">
        <v>2474</v>
      </c>
      <c r="B14" s="2557" t="s">
        <v>2466</v>
      </c>
      <c r="C14" s="2558"/>
      <c r="D14" s="2559"/>
      <c r="E14" s="2560"/>
      <c r="F14" s="2561"/>
      <c r="G14" s="1586"/>
      <c r="H14" s="2570" t="s">
        <v>2474</v>
      </c>
      <c r="I14" s="2583" t="s">
        <v>2466</v>
      </c>
      <c r="J14" s="2584"/>
      <c r="K14" s="2559"/>
      <c r="L14" s="2560"/>
      <c r="M14" s="2573"/>
    </row>
    <row r="15" spans="1:25" ht="18" customHeight="1" thickTop="1">
      <c r="A15" s="1824" t="s">
        <v>1876</v>
      </c>
      <c r="B15" s="1822" t="s">
        <v>642</v>
      </c>
      <c r="C15" s="788">
        <f ca="1">ROUND(C31*F15,0)</f>
        <v>0</v>
      </c>
      <c r="D15" s="1829" t="s">
        <v>643</v>
      </c>
      <c r="E15" s="791" t="s">
        <v>644</v>
      </c>
      <c r="F15" s="796">
        <f ca="1">INDIRECT("'数据-取费表'!y"&amp;$G$1)</f>
        <v>0</v>
      </c>
      <c r="G15" s="1586"/>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6"/>
      <c r="H16" s="799" t="s">
        <v>2073</v>
      </c>
      <c r="I16" s="2226" t="s">
        <v>2832</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0.03</v>
      </c>
      <c r="G17" s="1587"/>
      <c r="H17" s="799" t="s">
        <v>2074</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6"/>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7"/>
      <c r="H19" s="799" t="s">
        <v>2073</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7"/>
      <c r="H20" s="799" t="s">
        <v>1833</v>
      </c>
      <c r="I20" s="780" t="s">
        <v>661</v>
      </c>
      <c r="J20" s="52">
        <f ca="1">ROUND(J7*M20/1.05,1)</f>
        <v>0</v>
      </c>
      <c r="K20" s="1972" t="s">
        <v>662</v>
      </c>
      <c r="L20" s="780" t="s">
        <v>650</v>
      </c>
      <c r="M20" s="805">
        <f>'数据-取费表'!B41</f>
        <v>5.6000000000000001E-2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6"/>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0.02</v>
      </c>
      <c r="G22" s="1587"/>
      <c r="H22" s="1827" t="s">
        <v>1852</v>
      </c>
      <c r="I22" s="1817" t="s">
        <v>669</v>
      </c>
      <c r="J22" s="53">
        <f ca="1">ROUND(M22*M23/10000,0)</f>
        <v>0</v>
      </c>
      <c r="K22" s="810" t="s">
        <v>670</v>
      </c>
      <c r="L22" s="780" t="s">
        <v>671</v>
      </c>
      <c r="M22" s="636">
        <f>'数据-取费表'!B52</f>
        <v>1.5</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0.01</v>
      </c>
      <c r="G23" s="1587"/>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91" t="str">
        <f>IF(F25&lt;=1,"单利计息。","复利计息。")&amp;"建造成本、管理费用、销售费用产生的利息。"</f>
        <v>复利计息。建造成本、管理费用、销售费用产生的利息。</v>
      </c>
      <c r="E24" s="1977"/>
      <c r="F24" s="55"/>
      <c r="G24" s="1586"/>
      <c r="H24" s="1826" t="s">
        <v>2074</v>
      </c>
      <c r="I24" s="780" t="s">
        <v>677</v>
      </c>
      <c r="J24" s="52">
        <f ca="1">ROUND(J16*M24,0)</f>
        <v>0</v>
      </c>
      <c r="K24" s="1972" t="s">
        <v>678</v>
      </c>
      <c r="L24" s="780" t="s">
        <v>650</v>
      </c>
      <c r="M24" s="813">
        <f ca="1">INDIRECT("'数据-取费表'!Ak"&amp;$G$1)</f>
        <v>0</v>
      </c>
    </row>
    <row r="25" spans="1:25" s="2059" customFormat="1" ht="18" customHeight="1">
      <c r="A25" s="799" t="s">
        <v>1877</v>
      </c>
      <c r="B25" s="780" t="s">
        <v>2442</v>
      </c>
      <c r="C25" s="52">
        <f ca="1">ROUND(IF('数据-取费表'!B22&lt;=1,(C21+C22)*F26*F25/2,(C21+C22)*(POWER((1+F26),F25/2)-1)),0)</f>
        <v>0</v>
      </c>
      <c r="D25" s="2590" t="str">
        <f>IF(F25&lt;=1,"(建造成本+管理费用)×利率×(建设周期÷2)","(建造成本+管理费用)×((1+利率)^(建设周期÷2)-1)")</f>
        <v>(建造成本+管理费用)×((1+利率)^(建设周期÷2)-1)</v>
      </c>
      <c r="E25" s="780" t="s">
        <v>679</v>
      </c>
      <c r="F25" s="636">
        <f>'数据-取费表'!B20</f>
        <v>2</v>
      </c>
      <c r="G25" s="1587"/>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5.0000000000000001E-4</v>
      </c>
      <c r="D26" s="2590" t="str">
        <f>IF(F25&lt;=1,"销售费用×利率×(建设周期÷2)","销售费用×((1+利率)^(建设周期÷2)-1)")</f>
        <v>销售费用×((1+利率)^(建设周期÷2)-1)</v>
      </c>
      <c r="E26" s="780" t="s">
        <v>683</v>
      </c>
      <c r="F26" s="815">
        <f ca="1">'数据-取费表'!B40</f>
        <v>4.7500000000000001E-2</v>
      </c>
      <c r="G26" s="1587"/>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6"/>
      <c r="H27" s="793" t="s">
        <v>1830</v>
      </c>
      <c r="I27" s="3031" t="s">
        <v>2829</v>
      </c>
      <c r="J27" s="795">
        <f ca="1">J7-J18</f>
        <v>0</v>
      </c>
      <c r="K27" s="1974" t="s">
        <v>701</v>
      </c>
      <c r="L27" s="1976"/>
      <c r="M27" s="816"/>
    </row>
    <row r="28" spans="1:25" ht="18" customHeight="1">
      <c r="A28" s="799" t="s">
        <v>1877</v>
      </c>
      <c r="B28" s="780" t="s">
        <v>2443</v>
      </c>
      <c r="C28" s="52">
        <f ca="1">ROUND((C21+C22)*F28,0)</f>
        <v>0</v>
      </c>
      <c r="D28" s="808" t="s">
        <v>702</v>
      </c>
      <c r="E28" s="791" t="s">
        <v>703</v>
      </c>
      <c r="F28" s="790">
        <f ca="1">INDIRECT("'数据-取费表'!q"&amp;$G$1)</f>
        <v>0</v>
      </c>
      <c r="G28" s="1586"/>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6"/>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5.33E-2</v>
      </c>
      <c r="D30" s="808" t="s">
        <v>710</v>
      </c>
      <c r="E30" s="780" t="s">
        <v>650</v>
      </c>
      <c r="F30" s="805">
        <f>'数据-取费表'!B41</f>
        <v>5.6000000000000001E-2</v>
      </c>
      <c r="G30" s="1587"/>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1885</v>
      </c>
      <c r="B31" s="2560" t="s">
        <v>2830</v>
      </c>
      <c r="C31" s="2563">
        <f ca="1">ROUND((C21+C22+C25+C28)/(1-F23-C26-C29-C30),0)</f>
        <v>0</v>
      </c>
      <c r="D31" s="2564"/>
      <c r="E31" s="2565"/>
      <c r="F31" s="2566"/>
      <c r="G31" s="1587"/>
      <c r="H31" s="819" t="s">
        <v>1874</v>
      </c>
      <c r="I31" s="3032" t="s">
        <v>2831</v>
      </c>
      <c r="J31" s="821">
        <f ca="1">ROUND(J28/(1+F45)^F46,0)</f>
        <v>0</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6"/>
      <c r="F32" s="2510"/>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5.6000000000000001E-2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1.5</v>
      </c>
      <c r="G36" s="2057"/>
      <c r="H36" s="2060"/>
      <c r="I36" s="3773"/>
      <c r="J36" s="2074"/>
      <c r="K36" s="2075"/>
      <c r="L36" s="2074"/>
      <c r="M36" s="2074"/>
    </row>
    <row r="37" spans="1:18" ht="18" customHeight="1">
      <c r="A37" s="811"/>
      <c r="B37" s="789"/>
      <c r="C37" s="68"/>
      <c r="D37" s="812"/>
      <c r="E37" s="780" t="s">
        <v>675</v>
      </c>
      <c r="F37" s="781">
        <f ca="1">INDIRECT("'数据-取费表'!r"&amp;$G$1)</f>
        <v>0</v>
      </c>
      <c r="G37" s="2057"/>
      <c r="H37" s="2060"/>
      <c r="I37" s="3773"/>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9" t="s">
        <v>1881</v>
      </c>
      <c r="B40" s="2565" t="s">
        <v>667</v>
      </c>
      <c r="C40" s="2563">
        <f ca="1">ROUND(C7*F40,1)</f>
        <v>0</v>
      </c>
      <c r="D40" s="2564" t="s">
        <v>684</v>
      </c>
      <c r="E40" s="2565" t="s">
        <v>650</v>
      </c>
      <c r="F40" s="2561">
        <f ca="1">INDIRECT("'数据-取费表'!Am"&amp;$G$1)</f>
        <v>0</v>
      </c>
      <c r="G40" s="2057"/>
      <c r="H40" s="2072"/>
      <c r="I40" s="2076"/>
      <c r="J40" s="1983"/>
      <c r="K40" s="2078"/>
      <c r="L40" s="2072"/>
      <c r="M40" s="2072"/>
    </row>
    <row r="41" spans="1:18" ht="18" customHeight="1" thickTop="1">
      <c r="A41" s="1824">
        <v>4</v>
      </c>
      <c r="B41" s="1822" t="s">
        <v>693</v>
      </c>
      <c r="C41" s="1349"/>
      <c r="D41" s="1350"/>
      <c r="E41" s="1350"/>
      <c r="F41" s="1351"/>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2" t="s">
        <v>713</v>
      </c>
      <c r="E43" s="3146" t="s">
        <v>2968</v>
      </c>
      <c r="F43" s="3147">
        <f ca="1">INDIRECT("'数据-取费表'!j"&amp;$G$1)</f>
        <v>0</v>
      </c>
      <c r="G43" s="2057"/>
      <c r="H43" s="2057"/>
      <c r="I43" s="2057"/>
      <c r="J43" s="2057"/>
      <c r="K43" s="2078"/>
      <c r="L43" s="2057"/>
      <c r="M43" s="2057"/>
    </row>
    <row r="44" spans="1:18" ht="18" customHeight="1">
      <c r="A44" s="799" t="s">
        <v>1880</v>
      </c>
      <c r="B44" s="831" t="s">
        <v>714</v>
      </c>
      <c r="C44" s="1353">
        <f ca="1">C42-C43</f>
        <v>0</v>
      </c>
      <c r="D44" s="459" t="s">
        <v>715</v>
      </c>
      <c r="E44" s="460"/>
      <c r="F44" s="461"/>
      <c r="G44" s="2057"/>
      <c r="H44" s="2057"/>
      <c r="I44" s="2057"/>
      <c r="J44" s="2057"/>
      <c r="K44" s="2078"/>
      <c r="L44" s="2057"/>
      <c r="M44" s="2057"/>
    </row>
    <row r="45" spans="1:18" ht="18" customHeight="1">
      <c r="A45" s="799" t="s">
        <v>1881</v>
      </c>
      <c r="B45" s="1352" t="s">
        <v>716</v>
      </c>
      <c r="C45" s="3057">
        <f ca="1">ROUND(-PV(F45,F46,C44,0),0)</f>
        <v>0</v>
      </c>
      <c r="D45" s="1354" t="s">
        <v>717</v>
      </c>
      <c r="E45" s="802" t="s">
        <v>718</v>
      </c>
      <c r="F45" s="826">
        <f ca="1">INDIRECT("'数据-取费表'!h"&amp;$G$1)</f>
        <v>0</v>
      </c>
      <c r="G45" s="2057"/>
      <c r="H45" s="2057"/>
      <c r="I45" s="2057"/>
      <c r="J45" s="2057"/>
      <c r="K45" s="2078"/>
      <c r="L45" s="2057"/>
      <c r="M45" s="2057"/>
    </row>
    <row r="46" spans="1:18" ht="18" customHeight="1" thickBot="1">
      <c r="A46" s="827"/>
      <c r="B46" s="1355"/>
      <c r="C46" s="1356"/>
      <c r="D46" s="1357"/>
      <c r="E46" s="3148" t="s">
        <v>2971</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2347</v>
      </c>
      <c r="J47" s="2374"/>
      <c r="K47" s="2375"/>
      <c r="L47" s="2376" t="str">
        <f ca="1">IF(M48="住宅",0,IF(L49&gt;J52,L61,J61))</f>
        <v>0</v>
      </c>
      <c r="O47" s="2413" t="s">
        <v>2415</v>
      </c>
      <c r="P47" s="1586"/>
      <c r="Q47" s="1598"/>
      <c r="R47" s="1586"/>
    </row>
    <row r="48" spans="1:18" s="2054" customFormat="1" ht="18" customHeight="1" thickBot="1">
      <c r="A48" s="2079"/>
      <c r="C48" s="2082"/>
      <c r="D48" s="2083"/>
      <c r="E48" s="2083"/>
      <c r="F48" s="2084"/>
      <c r="G48" s="2085"/>
      <c r="I48" s="2377" t="s">
        <v>2348</v>
      </c>
      <c r="J48" s="2382"/>
      <c r="K48" s="2383" t="s">
        <v>2354</v>
      </c>
      <c r="L48" s="2384">
        <f ca="1">INDIRECT("'数据-取费表'!d"&amp;$G$1)</f>
        <v>0</v>
      </c>
      <c r="M48" s="3143" t="str">
        <f>IF(ISNUMBER(FIND("住宅",C1)),"住宅","非住宅")</f>
        <v>非住宅</v>
      </c>
      <c r="O48" s="2414" t="s">
        <v>2380</v>
      </c>
      <c r="P48" s="2415" t="s">
        <v>2381</v>
      </c>
      <c r="Q48" s="2416" t="s">
        <v>2382</v>
      </c>
      <c r="R48" s="2415" t="s">
        <v>2383</v>
      </c>
    </row>
    <row r="49" spans="1:18" s="2054" customFormat="1" ht="18" customHeight="1" thickBot="1">
      <c r="A49" s="2079"/>
      <c r="D49" s="2086"/>
      <c r="E49" s="2087"/>
      <c r="F49" s="2084"/>
      <c r="G49" s="2085"/>
      <c r="H49" s="2088"/>
      <c r="I49" s="2378" t="s">
        <v>2349</v>
      </c>
      <c r="J49" s="2385"/>
      <c r="K49" s="2386" t="s">
        <v>2356</v>
      </c>
      <c r="L49" s="2387">
        <f ca="1">INDIRECT("'数据-取费表'!f"&amp;$G$1)</f>
        <v>0</v>
      </c>
      <c r="O49" s="2417" t="s">
        <v>2384</v>
      </c>
      <c r="P49" s="2418" t="s">
        <v>2410</v>
      </c>
      <c r="Q49" s="2419">
        <f ca="1">C41+J31</f>
        <v>0</v>
      </c>
      <c r="R49" s="2418" t="s">
        <v>2385</v>
      </c>
    </row>
    <row r="50" spans="1:18" s="2054" customFormat="1" ht="18" customHeight="1" thickBot="1">
      <c r="A50" s="2079"/>
      <c r="D50" s="2089"/>
      <c r="E50" s="2089"/>
      <c r="F50" s="2083"/>
      <c r="G50" s="2090"/>
      <c r="H50" s="2088"/>
      <c r="I50" s="2378" t="s">
        <v>2350</v>
      </c>
      <c r="J50" s="2388"/>
      <c r="K50" s="2389" t="s">
        <v>2357</v>
      </c>
      <c r="L50" s="2390"/>
      <c r="O50" s="2417" t="s">
        <v>2386</v>
      </c>
      <c r="P50" s="2418" t="s">
        <v>2411</v>
      </c>
      <c r="Q50" s="2419" t="str">
        <f ca="1">J61</f>
        <v>0</v>
      </c>
      <c r="R50" s="2418" t="s">
        <v>2387</v>
      </c>
    </row>
    <row r="51" spans="1:18" s="2054" customFormat="1" ht="18" customHeight="1" thickBot="1">
      <c r="A51" s="2091"/>
      <c r="D51" s="2089"/>
      <c r="E51" s="2089"/>
      <c r="F51" s="2080"/>
      <c r="H51" s="2088"/>
      <c r="I51" s="2378" t="s">
        <v>2351</v>
      </c>
      <c r="J51" s="2391">
        <f>SUMPRODUCT((I64:I66=J48)*(J63:L63=J49)*(J64:L66))</f>
        <v>0</v>
      </c>
      <c r="K51" s="2389" t="s">
        <v>2358</v>
      </c>
      <c r="L51" s="2390"/>
      <c r="O51" s="2420" t="s">
        <v>2388</v>
      </c>
      <c r="P51" s="2418" t="s">
        <v>2412</v>
      </c>
      <c r="Q51" s="2419">
        <f ca="1">C31</f>
        <v>0</v>
      </c>
      <c r="R51" s="2418" t="s">
        <v>2385</v>
      </c>
    </row>
    <row r="52" spans="1:18" s="2054" customFormat="1" ht="18" customHeight="1" thickBot="1">
      <c r="A52" s="2091"/>
      <c r="F52" s="2080"/>
      <c r="I52" s="2379" t="s">
        <v>2352</v>
      </c>
      <c r="J52" s="2392">
        <f>IF(J50="",J51,J50+J51-YEAR('数据-取费表'!B3))</f>
        <v>0</v>
      </c>
      <c r="K52" s="2378" t="s">
        <v>2359</v>
      </c>
      <c r="L52" s="2393">
        <f ca="1">ROUND(-PV(INDIRECT("'数据-取费表'!h"&amp;$G$1),L49,(C40-C14*J36),0),0)</f>
        <v>0</v>
      </c>
      <c r="O52" s="2420" t="s">
        <v>2389</v>
      </c>
      <c r="P52" s="2418" t="s">
        <v>2390</v>
      </c>
      <c r="Q52" s="2421" t="e">
        <f ca="1">J59</f>
        <v>#VALUE!</v>
      </c>
      <c r="R52" s="2422"/>
    </row>
    <row r="53" spans="1:18" s="2054" customFormat="1" ht="18" customHeight="1" thickBot="1">
      <c r="A53" s="2091"/>
      <c r="F53" s="2080"/>
      <c r="I53" s="2380" t="s">
        <v>2426</v>
      </c>
      <c r="J53" s="2394"/>
      <c r="K53" s="2380" t="s">
        <v>2425</v>
      </c>
      <c r="L53" s="2394"/>
      <c r="O53" s="2420" t="s">
        <v>2391</v>
      </c>
      <c r="P53" s="2418" t="s">
        <v>2392</v>
      </c>
      <c r="Q53" s="2421">
        <f>J53</f>
        <v>0</v>
      </c>
      <c r="R53" s="2422"/>
    </row>
    <row r="54" spans="1:18" s="2054" customFormat="1" ht="43.5" thickBot="1">
      <c r="A54" s="2091"/>
      <c r="I54" s="2381" t="s">
        <v>2353</v>
      </c>
      <c r="J54" s="2395">
        <f ca="1">IF(M48="住宅",J52,IF(J52&gt;L49,L49-'数据-取费表'!B25,J52))</f>
        <v>0</v>
      </c>
      <c r="K54" s="3778"/>
      <c r="L54" s="3779"/>
      <c r="O54" s="2420" t="s">
        <v>2393</v>
      </c>
      <c r="P54" s="2418" t="s">
        <v>2394</v>
      </c>
      <c r="Q54" s="2419">
        <f ca="1">J54</f>
        <v>0</v>
      </c>
      <c r="R54" s="2418" t="s">
        <v>2395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2396</v>
      </c>
      <c r="P55" s="2418" t="s">
        <v>2413</v>
      </c>
      <c r="Q55" s="2419">
        <f ca="1">Q49+Q50</f>
        <v>0</v>
      </c>
      <c r="R55" s="2422" t="s">
        <v>2397</v>
      </c>
    </row>
    <row r="56" spans="1:18" s="2054" customFormat="1" ht="16.5" thickBot="1">
      <c r="A56" s="2091"/>
      <c r="B56" s="2092"/>
      <c r="C56" s="2092"/>
      <c r="I56" s="3120" t="s">
        <v>2360</v>
      </c>
      <c r="J56" s="3144" t="e">
        <f ca="1">ROUND(IF(J48="钢混",J58/J51,1-(1-2%)*(J51-J58)/J51),3)</f>
        <v>#VALUE!</v>
      </c>
      <c r="K56" s="2396" t="s">
        <v>2361</v>
      </c>
      <c r="L56" s="2397"/>
      <c r="O56" s="2423" t="s">
        <v>2416</v>
      </c>
      <c r="P56" s="1586"/>
      <c r="Q56" s="1598"/>
      <c r="R56" s="1586"/>
    </row>
    <row r="57" spans="1:18" s="2054" customFormat="1" ht="43.5" thickBot="1">
      <c r="A57" s="2091"/>
      <c r="B57" s="2092"/>
      <c r="C57" s="2092"/>
      <c r="I57" s="2398" t="s">
        <v>2362</v>
      </c>
      <c r="J57" s="3143" t="s">
        <v>1680</v>
      </c>
      <c r="K57" s="2378" t="s">
        <v>2367</v>
      </c>
      <c r="L57" s="2387">
        <f ca="1">IF(L49&lt;J52,"——",L49-J52)</f>
        <v>0</v>
      </c>
      <c r="O57" s="2414" t="s">
        <v>2380</v>
      </c>
      <c r="P57" s="2415" t="s">
        <v>2381</v>
      </c>
      <c r="Q57" s="2416" t="s">
        <v>2382</v>
      </c>
      <c r="R57" s="2415" t="s">
        <v>2383</v>
      </c>
    </row>
    <row r="58" spans="1:18" s="2054" customFormat="1" ht="29.25" thickBot="1">
      <c r="A58" s="2091"/>
      <c r="B58" s="2092"/>
      <c r="C58" s="2092"/>
      <c r="I58" s="2399" t="s">
        <v>2363</v>
      </c>
      <c r="J58" s="2401" t="str">
        <f ca="1">IF(OR(M48="住宅",J52&lt;L49,J57="是"),"——",J52-L49)</f>
        <v>——</v>
      </c>
      <c r="K58" s="2378" t="s">
        <v>2368</v>
      </c>
      <c r="L58" s="2387">
        <f ca="1">IF(L49&lt;J52,"——",IF(L56="比较法",L50,IF(L56="基准地价",L51,L52)))</f>
        <v>0</v>
      </c>
      <c r="O58" s="2417" t="s">
        <v>2384</v>
      </c>
      <c r="P58" s="2418" t="s">
        <v>2410</v>
      </c>
      <c r="Q58" s="2419">
        <f ca="1">C41+J31</f>
        <v>0</v>
      </c>
      <c r="R58" s="2418" t="s">
        <v>2385</v>
      </c>
    </row>
    <row r="59" spans="1:18" s="2054" customFormat="1" ht="29.25" thickBot="1">
      <c r="A59" s="2091"/>
      <c r="B59" s="2092"/>
      <c r="C59" s="2092"/>
      <c r="I59" s="2399" t="s">
        <v>2364</v>
      </c>
      <c r="J59" s="3145" t="e">
        <f ca="1">IF(J56&lt;0.4,0.4,J56)</f>
        <v>#VALUE!</v>
      </c>
      <c r="K59" s="2378" t="s">
        <v>2369</v>
      </c>
      <c r="L59" s="2387">
        <f ca="1">IF(ISERROR(POWER(1+L53,L48-L49)*(POWER(1+L53,L49)-1)/(POWER(1+L53,L48)-1)),0,POWER(1+L53,L48-L49)*(POWER(1+L53,L49)-1)/(POWER(1+L53,L48)-1))</f>
        <v>0</v>
      </c>
      <c r="O59" s="2417" t="s">
        <v>2386</v>
      </c>
      <c r="P59" s="2418" t="s">
        <v>2417</v>
      </c>
      <c r="Q59" s="2419" t="e">
        <f ca="1">L61</f>
        <v>#DIV/0!</v>
      </c>
      <c r="R59" s="2422" t="s">
        <v>2419</v>
      </c>
    </row>
    <row r="60" spans="1:18" s="2054" customFormat="1" ht="29.25" thickBot="1">
      <c r="A60" s="2091"/>
      <c r="B60" s="2092"/>
      <c r="C60" s="2092"/>
      <c r="I60" s="2399" t="s">
        <v>2365</v>
      </c>
      <c r="J60" s="2401" t="str">
        <f ca="1">IF(OR(M48="住宅",J52&lt;L49,J57="是"),"——",ROUND(C30*J59,0))</f>
        <v>——</v>
      </c>
      <c r="K60" s="2378" t="s">
        <v>2370</v>
      </c>
      <c r="L60" s="2387">
        <f ca="1">IF(ISERROR(POWER(1+L53,L48-J52)*(POWER(1+L53,J52)-1)/(POWER(1+L53,L48)-1)),0,POWER(1+L53,L48-J52)*(POWER(1+L53,J52)-1)/(POWER(1+L53,L48)-1))</f>
        <v>0</v>
      </c>
      <c r="O60" s="2420" t="s">
        <v>2388</v>
      </c>
      <c r="P60" s="2418" t="s">
        <v>2418</v>
      </c>
      <c r="Q60" s="2419">
        <f>IF(L56="比较法",L50,IF(L56="基准地价",L51,0))</f>
        <v>0</v>
      </c>
      <c r="R60" s="2418" t="s">
        <v>2385</v>
      </c>
    </row>
    <row r="61" spans="1:18" s="2054" customFormat="1" ht="15.75" thickBot="1">
      <c r="A61" s="2091"/>
      <c r="B61" s="2092"/>
      <c r="C61" s="2092"/>
      <c r="I61" s="2400" t="s">
        <v>2366</v>
      </c>
      <c r="J61" s="2402" t="str">
        <f ca="1">IF(OR(M48="住宅",J52&lt;L49,J57="是"),"0",ROUND(J60/(1+J53)^J54,0))</f>
        <v>0</v>
      </c>
      <c r="K61" s="2403" t="s">
        <v>2371</v>
      </c>
      <c r="L61" s="2402" t="e">
        <f ca="1">IF(OR(M48="住宅",L49&lt;J52),0,ROUND(L58*(L59/L60-1),0))</f>
        <v>#DIV/0!</v>
      </c>
      <c r="O61" s="2420" t="s">
        <v>2389</v>
      </c>
      <c r="P61" s="2418" t="s">
        <v>2398</v>
      </c>
      <c r="Q61" s="2421">
        <f>L53</f>
        <v>0</v>
      </c>
      <c r="R61" s="2422"/>
    </row>
    <row r="62" spans="1:18" s="2054" customFormat="1" ht="20.25" thickBot="1">
      <c r="A62" s="2091"/>
      <c r="B62" s="2092"/>
      <c r="C62" s="2092"/>
      <c r="K62" s="2081"/>
      <c r="O62" s="2420" t="s">
        <v>2391</v>
      </c>
      <c r="P62" s="2418" t="s">
        <v>2399</v>
      </c>
      <c r="Q62" s="2419">
        <f ca="1">L59</f>
        <v>0</v>
      </c>
      <c r="R62" s="2422" t="s">
        <v>2400</v>
      </c>
    </row>
    <row r="63" spans="1:18" s="2054" customFormat="1" ht="20.25" thickBot="1">
      <c r="A63" s="2091"/>
      <c r="B63" s="2092"/>
      <c r="C63" s="2092"/>
      <c r="I63" s="2404" t="s">
        <v>2372</v>
      </c>
      <c r="J63" s="2405" t="s">
        <v>2373</v>
      </c>
      <c r="K63" s="2405" t="s">
        <v>2374</v>
      </c>
      <c r="L63" s="2405" t="s">
        <v>2355</v>
      </c>
      <c r="M63" s="3122" t="s">
        <v>2947</v>
      </c>
      <c r="O63" s="2420" t="s">
        <v>2393</v>
      </c>
      <c r="P63" s="2418" t="s">
        <v>2401</v>
      </c>
      <c r="Q63" s="2419">
        <f ca="1">L60</f>
        <v>0</v>
      </c>
      <c r="R63" s="2422" t="s">
        <v>2402</v>
      </c>
    </row>
    <row r="64" spans="1:18" s="2054" customFormat="1" ht="15.75" thickBot="1">
      <c r="A64" s="2091"/>
      <c r="B64" s="2092"/>
      <c r="C64" s="2092"/>
      <c r="I64" s="2404" t="s">
        <v>2375</v>
      </c>
      <c r="J64" s="2405">
        <v>70</v>
      </c>
      <c r="K64" s="2405">
        <v>50</v>
      </c>
      <c r="L64" s="2405">
        <v>80</v>
      </c>
      <c r="M64" s="3123">
        <v>0.02</v>
      </c>
      <c r="O64" s="2417" t="s">
        <v>2396</v>
      </c>
      <c r="P64" s="2418" t="s">
        <v>2413</v>
      </c>
      <c r="Q64" s="2419" t="e">
        <f ca="1">Q58+Q59</f>
        <v>#DIV/0!</v>
      </c>
      <c r="R64" s="2422" t="s">
        <v>2397</v>
      </c>
    </row>
    <row r="65" spans="1:18" s="2054" customFormat="1" ht="16.5" thickBot="1">
      <c r="A65" s="2091"/>
      <c r="B65" s="2092"/>
      <c r="C65" s="2092"/>
      <c r="I65" s="2404" t="s">
        <v>2376</v>
      </c>
      <c r="J65" s="2405">
        <v>50</v>
      </c>
      <c r="K65" s="2405">
        <v>35</v>
      </c>
      <c r="L65" s="2405">
        <v>60</v>
      </c>
      <c r="M65" s="3124">
        <v>0</v>
      </c>
      <c r="O65" s="2423" t="s">
        <v>2420</v>
      </c>
      <c r="P65" s="1586"/>
      <c r="Q65" s="1598"/>
      <c r="R65" s="1586"/>
    </row>
    <row r="66" spans="1:18" s="2054" customFormat="1" ht="15.75" thickBot="1">
      <c r="A66" s="2091"/>
      <c r="B66" s="2092"/>
      <c r="C66" s="2092"/>
      <c r="I66" s="2404" t="s">
        <v>2377</v>
      </c>
      <c r="J66" s="2405">
        <v>40</v>
      </c>
      <c r="K66" s="2405">
        <v>30</v>
      </c>
      <c r="L66" s="2405">
        <v>50</v>
      </c>
      <c r="M66" s="3123">
        <v>0.02</v>
      </c>
      <c r="O66" s="2414" t="s">
        <v>2380</v>
      </c>
      <c r="P66" s="2415" t="s">
        <v>2381</v>
      </c>
      <c r="Q66" s="2416" t="s">
        <v>2382</v>
      </c>
      <c r="R66" s="2415" t="s">
        <v>2383</v>
      </c>
    </row>
    <row r="67" spans="1:18" s="2054" customFormat="1" ht="15.75" thickBot="1">
      <c r="A67" s="2091"/>
      <c r="B67" s="2092"/>
      <c r="C67" s="2092"/>
      <c r="K67" s="2081"/>
      <c r="O67" s="2417" t="s">
        <v>2384</v>
      </c>
      <c r="P67" s="2418" t="s">
        <v>2410</v>
      </c>
      <c r="Q67" s="2419">
        <f ca="1">C41+J31</f>
        <v>0</v>
      </c>
      <c r="R67" s="2418" t="s">
        <v>2385</v>
      </c>
    </row>
    <row r="68" spans="1:18" s="2054" customFormat="1" ht="20.25" thickBot="1">
      <c r="A68" s="2091"/>
      <c r="B68" s="2092"/>
      <c r="C68" s="2092"/>
      <c r="K68" s="2081"/>
      <c r="O68" s="2417" t="s">
        <v>2386</v>
      </c>
      <c r="P68" s="2418" t="s">
        <v>2417</v>
      </c>
      <c r="Q68" s="2419" t="e">
        <f ca="1">L61</f>
        <v>#DIV/0!</v>
      </c>
      <c r="R68" s="2422" t="s">
        <v>2419</v>
      </c>
    </row>
    <row r="69" spans="1:18" s="2054" customFormat="1" ht="21.75" thickBot="1">
      <c r="A69" s="2091"/>
      <c r="B69" s="2092"/>
      <c r="C69" s="2092"/>
      <c r="K69" s="2081"/>
      <c r="O69" s="2420" t="s">
        <v>2388</v>
      </c>
      <c r="P69" s="2418" t="s">
        <v>2418</v>
      </c>
      <c r="Q69" s="2424">
        <f ca="1">L52</f>
        <v>0</v>
      </c>
      <c r="R69" s="2425" t="s">
        <v>2421</v>
      </c>
    </row>
    <row r="70" spans="1:18" s="2054" customFormat="1" ht="20.25" thickBot="1">
      <c r="A70" s="2091"/>
      <c r="B70" s="2092"/>
      <c r="C70" s="2092"/>
      <c r="K70" s="2081"/>
      <c r="O70" s="2420" t="s">
        <v>2389</v>
      </c>
      <c r="P70" s="2426" t="s">
        <v>2403</v>
      </c>
      <c r="Q70" s="2419">
        <f ca="1">ROUND(Q71-Q72*Q73,0)</f>
        <v>0</v>
      </c>
      <c r="R70" s="2422"/>
    </row>
    <row r="71" spans="1:18" s="2054" customFormat="1" ht="15.75" thickBot="1">
      <c r="A71" s="2091"/>
      <c r="B71" s="2092"/>
      <c r="C71" s="2092"/>
      <c r="K71" s="2081"/>
      <c r="O71" s="2420" t="s">
        <v>2404</v>
      </c>
      <c r="P71" s="2426" t="s">
        <v>2405</v>
      </c>
      <c r="Q71" s="2419">
        <f ca="1">C42</f>
        <v>0</v>
      </c>
      <c r="R71" s="2418" t="s">
        <v>2385</v>
      </c>
    </row>
    <row r="72" spans="1:18" s="2054" customFormat="1" ht="15.75" thickBot="1">
      <c r="A72" s="2091"/>
      <c r="B72" s="2092"/>
      <c r="C72" s="2092"/>
      <c r="K72" s="2081"/>
      <c r="O72" s="2420" t="s">
        <v>2406</v>
      </c>
      <c r="P72" s="2426" t="s">
        <v>2407</v>
      </c>
      <c r="Q72" s="2419">
        <f ca="1">C15</f>
        <v>0</v>
      </c>
      <c r="R72" s="2418" t="s">
        <v>2385</v>
      </c>
    </row>
    <row r="73" spans="1:18" s="2054" customFormat="1" ht="15.75" thickBot="1">
      <c r="A73" s="2091"/>
      <c r="B73" s="2092"/>
      <c r="C73" s="2092"/>
      <c r="K73" s="2081"/>
      <c r="O73" s="2420" t="s">
        <v>2408</v>
      </c>
      <c r="P73" s="2426" t="s">
        <v>2409</v>
      </c>
      <c r="Q73" s="2421">
        <f ca="1">F43</f>
        <v>0</v>
      </c>
      <c r="R73" s="2422"/>
    </row>
    <row r="74" spans="1:18" s="2054" customFormat="1" ht="15.75" thickBot="1">
      <c r="A74" s="2091"/>
      <c r="B74" s="2092"/>
      <c r="C74" s="2092"/>
      <c r="K74" s="2081"/>
      <c r="O74" s="2420" t="s">
        <v>2391</v>
      </c>
      <c r="P74" s="2418" t="s">
        <v>2398</v>
      </c>
      <c r="Q74" s="2421">
        <f>L53</f>
        <v>0</v>
      </c>
      <c r="R74" s="2422"/>
    </row>
    <row r="75" spans="1:18" s="2054" customFormat="1" ht="20.25" thickBot="1">
      <c r="A75" s="2091"/>
      <c r="B75" s="2092"/>
      <c r="C75" s="2092"/>
      <c r="K75" s="2081"/>
      <c r="O75" s="2420" t="s">
        <v>2393</v>
      </c>
      <c r="P75" s="2418" t="s">
        <v>2399</v>
      </c>
      <c r="Q75" s="2419">
        <f ca="1">L59</f>
        <v>0</v>
      </c>
      <c r="R75" s="2422" t="s">
        <v>2400</v>
      </c>
    </row>
    <row r="76" spans="1:18" s="2054" customFormat="1" ht="20.25" thickBot="1">
      <c r="A76" s="2091"/>
      <c r="B76" s="2092"/>
      <c r="C76" s="2092"/>
      <c r="K76" s="2081"/>
      <c r="O76" s="2420" t="s">
        <v>2422</v>
      </c>
      <c r="P76" s="2418" t="s">
        <v>2401</v>
      </c>
      <c r="Q76" s="2419">
        <f ca="1">L60</f>
        <v>0</v>
      </c>
      <c r="R76" s="2422" t="s">
        <v>2402</v>
      </c>
    </row>
    <row r="77" spans="1:18" s="2054" customFormat="1" ht="15.75" thickBot="1">
      <c r="A77" s="2091"/>
      <c r="B77" s="2092"/>
      <c r="C77" s="2092"/>
      <c r="K77" s="2081"/>
      <c r="O77" s="2417" t="s">
        <v>2396</v>
      </c>
      <c r="P77" s="2418" t="s">
        <v>2413</v>
      </c>
      <c r="Q77" s="2419" t="e">
        <f ca="1">Q67+Q68</f>
        <v>#DIV/0!</v>
      </c>
      <c r="R77" s="2422" t="s">
        <v>2397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3379</v>
      </c>
      <c r="D1" s="3149" t="s">
        <v>3382</v>
      </c>
      <c r="E1" s="2406" t="s">
        <v>2379</v>
      </c>
      <c r="F1" s="2407">
        <f ca="1">J53</f>
        <v>37.32</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175</v>
      </c>
      <c r="C2" s="2052"/>
      <c r="D2" s="2050"/>
      <c r="E2" s="2051"/>
      <c r="F2" s="2051"/>
      <c r="G2" s="1584"/>
      <c r="H2" s="2052"/>
      <c r="I2" s="2052"/>
      <c r="J2" s="2052"/>
      <c r="K2" s="2053"/>
      <c r="L2" s="2052"/>
      <c r="M2" s="2052"/>
    </row>
    <row r="3" spans="1:33" ht="18" customHeight="1" thickBot="1">
      <c r="A3" s="829" t="s">
        <v>1729</v>
      </c>
      <c r="B3" s="830">
        <f ca="1">IF(ISERROR(B2*10000/F43),0,ROUND(B2*10000/F43,0))</f>
        <v>42683</v>
      </c>
      <c r="C3" s="2052"/>
      <c r="D3" s="2050"/>
      <c r="E3" s="2051"/>
      <c r="F3" s="2051"/>
      <c r="G3" s="1584"/>
      <c r="H3" s="772" t="s">
        <v>696</v>
      </c>
      <c r="I3" s="1359"/>
      <c r="J3" s="1359"/>
      <c r="K3" s="1585"/>
      <c r="L3" s="1359"/>
      <c r="M3" s="1359"/>
    </row>
    <row r="4" spans="1:33" ht="18" customHeight="1">
      <c r="A4" s="773" t="s">
        <v>1730</v>
      </c>
      <c r="B4" s="774" t="s">
        <v>1731</v>
      </c>
      <c r="C4" s="774" t="s">
        <v>1732</v>
      </c>
      <c r="D4" s="774" t="s">
        <v>634</v>
      </c>
      <c r="E4" s="775" t="s">
        <v>1733</v>
      </c>
      <c r="F4" s="776"/>
      <c r="G4" s="1586"/>
      <c r="H4" s="773" t="s">
        <v>1734</v>
      </c>
      <c r="I4" s="774" t="s">
        <v>1735</v>
      </c>
      <c r="J4" s="774" t="s">
        <v>1736</v>
      </c>
      <c r="K4" s="774" t="s">
        <v>1737</v>
      </c>
      <c r="L4" s="775" t="s">
        <v>1738</v>
      </c>
      <c r="M4" s="776"/>
    </row>
    <row r="5" spans="1:33" ht="18" customHeight="1">
      <c r="A5" s="777">
        <v>1</v>
      </c>
      <c r="B5" s="778" t="s">
        <v>2464</v>
      </c>
      <c r="C5" s="54">
        <f ca="1">C6+C10+C12</f>
        <v>9</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9</v>
      </c>
      <c r="D6" s="2516" t="s">
        <v>2468</v>
      </c>
      <c r="E6" s="780" t="s">
        <v>1740</v>
      </c>
      <c r="F6" s="781">
        <f ca="1">INDIRECT("'数据-取费表'!u"&amp;$G$1)</f>
        <v>6</v>
      </c>
      <c r="G6" s="1586"/>
      <c r="H6" s="2523" t="s">
        <v>2475</v>
      </c>
      <c r="I6" s="3774" t="s">
        <v>2469</v>
      </c>
      <c r="J6" s="779">
        <f ca="1">ROUND(M6*M8*M7*(1-M9)/10000,0)</f>
        <v>0</v>
      </c>
      <c r="K6" s="337" t="s">
        <v>1739</v>
      </c>
      <c r="L6" s="780" t="s">
        <v>1740</v>
      </c>
      <c r="M6" s="781">
        <f ca="1">INDIRECT("'数据-取费表'!z"&amp;$G$1)</f>
        <v>0</v>
      </c>
    </row>
    <row r="7" spans="1:33" ht="18" customHeight="1">
      <c r="A7" s="2519"/>
      <c r="B7" s="3775"/>
      <c r="C7" s="784"/>
      <c r="D7" s="785"/>
      <c r="E7" s="780" t="s">
        <v>1741</v>
      </c>
      <c r="F7" s="781">
        <f ca="1">IF(INDIRECT("'数据-取费表'!ah"&amp;$G$1)="",INDIRECT("'数据-取费表'!k"&amp;$G$1),INDIRECT("'数据-取费表'!ah"&amp;$G$1))</f>
        <v>41</v>
      </c>
      <c r="G7" s="1586"/>
      <c r="H7" s="2508"/>
      <c r="I7" s="3775"/>
      <c r="J7" s="784"/>
      <c r="K7" s="785"/>
      <c r="L7" s="780" t="s">
        <v>1741</v>
      </c>
      <c r="M7" s="781">
        <f ca="1">F7</f>
        <v>41</v>
      </c>
    </row>
    <row r="8" spans="1:33" ht="18" customHeight="1">
      <c r="A8" s="2512"/>
      <c r="B8" s="3776"/>
      <c r="C8" s="784"/>
      <c r="D8" s="785"/>
      <c r="E8" s="780" t="s">
        <v>1742</v>
      </c>
      <c r="F8" s="781">
        <f ca="1">INDIRECT("'数据-取费表'!ai"&amp;$G$1)</f>
        <v>365</v>
      </c>
      <c r="G8" s="1586"/>
      <c r="H8" s="2508"/>
      <c r="I8" s="3776"/>
      <c r="J8" s="784"/>
      <c r="K8" s="785"/>
      <c r="L8" s="780" t="s">
        <v>1742</v>
      </c>
      <c r="M8" s="781">
        <f ca="1">INDIRECT("'数据-取费表'!ai"&amp;$G$1)</f>
        <v>365</v>
      </c>
    </row>
    <row r="9" spans="1:33" ht="18" customHeight="1">
      <c r="A9" s="782"/>
      <c r="B9" s="3777"/>
      <c r="C9" s="784"/>
      <c r="D9" s="785"/>
      <c r="E9" s="780" t="s">
        <v>1743</v>
      </c>
      <c r="F9" s="790">
        <f ca="1">INDIRECT("'数据-取费表'!w"&amp;$G$1)</f>
        <v>0.05</v>
      </c>
      <c r="G9" s="1586"/>
      <c r="H9" s="2524"/>
      <c r="I9" s="3776"/>
      <c r="J9" s="784"/>
      <c r="K9" s="785"/>
      <c r="L9" s="791" t="s">
        <v>1743</v>
      </c>
      <c r="M9" s="792">
        <f ca="1">INDIRECT("'数据-取费表'!ab"&amp;$G$1)</f>
        <v>0</v>
      </c>
    </row>
    <row r="10" spans="1:33" ht="18" customHeight="1">
      <c r="A10" s="1825" t="s">
        <v>2473</v>
      </c>
      <c r="B10" s="2513" t="s">
        <v>2465</v>
      </c>
      <c r="C10" s="795">
        <f ca="1">ROUND(IF(F10="押一",F6*F8*F7/12*F11,IF(F10="押二",F6*F8*F7/12*2*F11,IF(F10="押三",F6*F8*F7/12*3*F11,C11*F11)))/10000,0)</f>
        <v>0</v>
      </c>
      <c r="D10" s="2520" t="s">
        <v>2472</v>
      </c>
      <c r="E10" s="2517" t="s">
        <v>2470</v>
      </c>
      <c r="F10" s="2640" t="s">
        <v>3380</v>
      </c>
      <c r="G10" s="1586"/>
      <c r="H10" s="2580" t="s">
        <v>2476</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2471</v>
      </c>
      <c r="F11" s="792">
        <f ca="1">'数据-取费表'!B39</f>
        <v>1.4999999999999999E-2</v>
      </c>
      <c r="G11" s="1586"/>
      <c r="H11" s="2581"/>
      <c r="I11" s="2514" t="s">
        <v>2580</v>
      </c>
      <c r="J11" s="2518"/>
      <c r="K11" s="2582"/>
      <c r="L11" s="2517" t="s">
        <v>2471</v>
      </c>
      <c r="M11" s="2511">
        <f ca="1">'数据-取费表'!B39</f>
        <v>1.4999999999999999E-2</v>
      </c>
    </row>
    <row r="12" spans="1:33" ht="18" customHeight="1" thickBot="1">
      <c r="A12" s="2556" t="s">
        <v>2474</v>
      </c>
      <c r="B12" s="2557" t="s">
        <v>2466</v>
      </c>
      <c r="C12" s="2558"/>
      <c r="D12" s="2559"/>
      <c r="E12" s="2560"/>
      <c r="F12" s="2561"/>
      <c r="G12" s="1586"/>
      <c r="H12" s="2570" t="s">
        <v>2477</v>
      </c>
      <c r="I12" s="2583" t="s">
        <v>2466</v>
      </c>
      <c r="J12" s="2584"/>
      <c r="K12" s="2559"/>
      <c r="L12" s="2560"/>
      <c r="M12" s="2573"/>
    </row>
    <row r="13" spans="1:33" ht="18" customHeight="1" thickTop="1">
      <c r="A13" s="1824">
        <v>2</v>
      </c>
      <c r="B13" s="1822" t="s">
        <v>1744</v>
      </c>
      <c r="C13" s="788">
        <f ca="1">ROUND(C29*F13,0)</f>
        <v>16</v>
      </c>
      <c r="D13" s="1829" t="s">
        <v>2301</v>
      </c>
      <c r="E13" s="1829" t="s">
        <v>1746</v>
      </c>
      <c r="F13" s="2555">
        <f ca="1">INDIRECT("'数据-取费表'!y"&amp;$G$1)</f>
        <v>1</v>
      </c>
      <c r="G13" s="1586"/>
      <c r="H13" s="1824">
        <v>2</v>
      </c>
      <c r="I13" s="1822" t="s">
        <v>1744</v>
      </c>
      <c r="J13" s="1814">
        <f ca="1">ROUND(J14*J15,0)</f>
        <v>0</v>
      </c>
      <c r="K13" s="1816" t="s">
        <v>1745</v>
      </c>
      <c r="L13" s="2571"/>
      <c r="M13" s="2572"/>
    </row>
    <row r="14" spans="1:33" ht="18" customHeight="1">
      <c r="A14" s="1642" t="s">
        <v>1886</v>
      </c>
      <c r="B14" s="780" t="s">
        <v>646</v>
      </c>
      <c r="C14" s="800">
        <f ca="1">INDIRECT("'数据-取费表'!m"&amp;$G$1)+INDIRECT("'数据-取费表'!t"&amp;$G$1)</f>
        <v>12</v>
      </c>
      <c r="D14" s="1974" t="s">
        <v>1747</v>
      </c>
      <c r="E14" s="1975"/>
      <c r="F14" s="801"/>
      <c r="G14" s="1586"/>
      <c r="H14" s="1643" t="s">
        <v>1832</v>
      </c>
      <c r="I14" s="2226" t="s">
        <v>2833</v>
      </c>
      <c r="J14" s="52">
        <f ca="1">C29</f>
        <v>16</v>
      </c>
      <c r="K14" s="25"/>
      <c r="L14" s="797"/>
      <c r="M14" s="798"/>
    </row>
    <row r="15" spans="1:33" s="2059" customFormat="1" ht="18" customHeight="1" thickBot="1">
      <c r="A15" s="1642" t="s">
        <v>1887</v>
      </c>
      <c r="B15" s="780" t="s">
        <v>648</v>
      </c>
      <c r="C15" s="52">
        <f ca="1">ROUND(C14*F15,0)</f>
        <v>0</v>
      </c>
      <c r="D15" s="802" t="s">
        <v>1748</v>
      </c>
      <c r="E15" s="802" t="s">
        <v>1749</v>
      </c>
      <c r="F15" s="803">
        <f>'数据-取费表'!B33</f>
        <v>0.03</v>
      </c>
      <c r="G15" s="1587"/>
      <c r="H15" s="2570" t="s">
        <v>1891</v>
      </c>
      <c r="I15" s="2565" t="s">
        <v>1746</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1888</v>
      </c>
      <c r="B16" s="780" t="s">
        <v>651</v>
      </c>
      <c r="C16" s="52">
        <f ca="1">ROUND(INDIRECT("'数据-取费表'!m"&amp;$G$1)*F16,0)</f>
        <v>0</v>
      </c>
      <c r="D16" s="780" t="s">
        <v>1748</v>
      </c>
      <c r="E16" s="780" t="s">
        <v>1749</v>
      </c>
      <c r="F16" s="805">
        <f ca="1">IF(INDIRECT("'数据-取费表'!c"&amp;$G$1)="住宅",'数据-取费表'!B34,0)</f>
        <v>0</v>
      </c>
      <c r="G16" s="1586"/>
      <c r="H16" s="1824" t="s">
        <v>1750</v>
      </c>
      <c r="I16" s="1822" t="s">
        <v>1751</v>
      </c>
      <c r="J16" s="788">
        <f ca="1">ROUND(J17+J22+J23+J24,0)</f>
        <v>0</v>
      </c>
      <c r="K16" s="1816" t="s">
        <v>1752</v>
      </c>
      <c r="L16" s="2505"/>
      <c r="M16" s="2510"/>
    </row>
    <row r="17" spans="1:33" s="2059" customFormat="1" ht="18" customHeight="1">
      <c r="A17" s="1642" t="s">
        <v>1889</v>
      </c>
      <c r="B17" s="780" t="s">
        <v>654</v>
      </c>
      <c r="C17" s="52">
        <f ca="1">ROUND(F17*(F43+INDIRECT("'数据-取费表'!S"&amp;$G$1))/10000,0)</f>
        <v>1</v>
      </c>
      <c r="D17" s="780" t="s">
        <v>1753</v>
      </c>
      <c r="E17" s="780" t="s">
        <v>1754</v>
      </c>
      <c r="F17" s="55">
        <f>'数据-取费表'!B35</f>
        <v>200</v>
      </c>
      <c r="G17" s="1587"/>
      <c r="H17" s="1643" t="s">
        <v>1832</v>
      </c>
      <c r="I17" s="780" t="s">
        <v>657</v>
      </c>
      <c r="J17" s="52">
        <f ca="1">ROUND(IF(项目基本情况!B11="自然人",J5*M17,J18+J19+J20),0)</f>
        <v>0</v>
      </c>
      <c r="K17" s="2504" t="s">
        <v>1755</v>
      </c>
      <c r="L17" s="2503" t="s">
        <v>1756</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0</v>
      </c>
      <c r="D18" s="780" t="s">
        <v>1748</v>
      </c>
      <c r="E18" s="780" t="s">
        <v>1749</v>
      </c>
      <c r="F18" s="805">
        <f>'数据-取费表'!B36</f>
        <v>1.4999999999999999E-2</v>
      </c>
      <c r="G18" s="1587"/>
      <c r="H18" s="1642" t="s">
        <v>1886</v>
      </c>
      <c r="I18" s="780" t="s">
        <v>1757</v>
      </c>
      <c r="J18" s="52">
        <f ca="1">ROUND(J5*M18/1.05,1)</f>
        <v>0</v>
      </c>
      <c r="K18" s="2503" t="s">
        <v>1758</v>
      </c>
      <c r="L18" s="780" t="s">
        <v>1749</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1832</v>
      </c>
      <c r="B19" s="780" t="s">
        <v>663</v>
      </c>
      <c r="C19" s="52">
        <f ca="1">SUM(C14:C18)</f>
        <v>13</v>
      </c>
      <c r="D19" s="257" t="s">
        <v>1759</v>
      </c>
      <c r="E19" s="1977"/>
      <c r="F19" s="55"/>
      <c r="G19" s="1586"/>
      <c r="H19" s="1642" t="s">
        <v>1887</v>
      </c>
      <c r="I19" s="780" t="s">
        <v>1760</v>
      </c>
      <c r="J19" s="52">
        <f ca="1">IF(K19="按租金收入计税",ROUND(J5*M19,1),ROUND(C29*F33*0.7,1))</f>
        <v>0.1</v>
      </c>
      <c r="K19" s="807" t="s">
        <v>666</v>
      </c>
      <c r="L19" s="780" t="s">
        <v>1749</v>
      </c>
      <c r="M19" s="805">
        <f>IF(K19="按租金收入计税",'数据-取费表'!B51,'数据-取费表'!B50)</f>
        <v>1.2E-2</v>
      </c>
    </row>
    <row r="20" spans="1:33" s="2059" customFormat="1" ht="18" customHeight="1">
      <c r="A20" s="1643" t="s">
        <v>1891</v>
      </c>
      <c r="B20" s="780" t="s">
        <v>667</v>
      </c>
      <c r="C20" s="52">
        <f ca="1">ROUND(C19*F20,0)</f>
        <v>0</v>
      </c>
      <c r="D20" s="808" t="s">
        <v>1761</v>
      </c>
      <c r="E20" s="780" t="s">
        <v>1749</v>
      </c>
      <c r="F20" s="805">
        <f>'数据-取费表'!B37</f>
        <v>0.02</v>
      </c>
      <c r="G20" s="1587"/>
      <c r="H20" s="1645" t="s">
        <v>1882</v>
      </c>
      <c r="I20" s="337" t="s">
        <v>1762</v>
      </c>
      <c r="J20" s="53">
        <f ca="1">ROUND(M20*M21/10000,0)</f>
        <v>0</v>
      </c>
      <c r="K20" s="810" t="s">
        <v>1763</v>
      </c>
      <c r="L20" s="780" t="s">
        <v>1764</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1765</v>
      </c>
      <c r="C21" s="52" t="s">
        <v>1766</v>
      </c>
      <c r="D21" s="808" t="s">
        <v>2302</v>
      </c>
      <c r="E21" s="780" t="s">
        <v>1767</v>
      </c>
      <c r="F21" s="805">
        <f>'数据-取费表'!B38</f>
        <v>0.01</v>
      </c>
      <c r="G21" s="1587"/>
      <c r="H21" s="2525"/>
      <c r="I21" s="789"/>
      <c r="J21" s="68"/>
      <c r="K21" s="812"/>
      <c r="L21" s="780" t="s">
        <v>1768</v>
      </c>
      <c r="M21" s="781">
        <f ca="1">INDIRECT("'数据-取费表'!r"&amp;$G$1)</f>
        <v>15.95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1769</v>
      </c>
      <c r="C22" s="52"/>
      <c r="D22" s="2591" t="str">
        <f>IF(F23&lt;=1,"单利计息。","复利计息。")&amp;"建造成本、管理费用、销售费用产生的利息。"</f>
        <v>复利计息。建造成本、管理费用、销售费用产生的利息。</v>
      </c>
      <c r="E22" s="1977"/>
      <c r="F22" s="55"/>
      <c r="G22" s="1586"/>
      <c r="H22" s="1643" t="s">
        <v>1891</v>
      </c>
      <c r="I22" s="780" t="s">
        <v>1770</v>
      </c>
      <c r="J22" s="52">
        <f ca="1">ROUND(J14*M22,0)</f>
        <v>0</v>
      </c>
      <c r="K22" s="2503" t="s">
        <v>1771</v>
      </c>
      <c r="L22" s="780" t="s">
        <v>1749</v>
      </c>
      <c r="M22" s="813">
        <f ca="1">INDIRECT("'数据-取费表'!Ak"&amp;$G$1)</f>
        <v>1.4999999999999999E-2</v>
      </c>
    </row>
    <row r="23" spans="1:33" s="2059" customFormat="1" ht="18" customHeight="1">
      <c r="A23" s="1642" t="s">
        <v>1833</v>
      </c>
      <c r="B23" s="780" t="s">
        <v>2542</v>
      </c>
      <c r="C23" s="52">
        <f ca="1">ROUND(IF('数据-取费表'!B22&lt;=1,(C19+C20)*F24*F23/2,(C19+C20)*(POWER((1+F24),F23/2)-1)),0)</f>
        <v>1</v>
      </c>
      <c r="D23" s="2590" t="str">
        <f>IF(F23&lt;=1,"(建造成本+管理费用)×利率×(建设周期÷2)","(建造成本+管理费用)×((1+利率)^(建设周期÷2)-1)")</f>
        <v>(建造成本+管理费用)×((1+利率)^(建设周期÷2)-1)</v>
      </c>
      <c r="E23" s="780" t="s">
        <v>1772</v>
      </c>
      <c r="F23" s="636">
        <f>'数据-取费表'!B20</f>
        <v>2</v>
      </c>
      <c r="G23" s="1587"/>
      <c r="H23" s="1643" t="s">
        <v>1892</v>
      </c>
      <c r="I23" s="780" t="s">
        <v>680</v>
      </c>
      <c r="J23" s="52">
        <f ca="1">ROUND(J13*M23,0)</f>
        <v>0</v>
      </c>
      <c r="K23" s="2503" t="s">
        <v>1773</v>
      </c>
      <c r="L23" s="780" t="s">
        <v>1749</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1774</v>
      </c>
      <c r="C24" s="52">
        <f ca="1">ROUND(IF('数据-取费表'!B22&lt;=1,F21*F24*F23/2,F21*(POWER((1+F24),F23/2)-1)),4)</f>
        <v>5.0000000000000001E-4</v>
      </c>
      <c r="D24" s="2590" t="str">
        <f>IF(F23&lt;=1,"销售费用×利率×(建设周期÷2)","销售费用×((1+利率)^(建设周期÷2)-1)")</f>
        <v>销售费用×((1+利率)^(建设周期÷2)-1)</v>
      </c>
      <c r="E24" s="780" t="s">
        <v>1775</v>
      </c>
      <c r="F24" s="815">
        <f ca="1">'数据-取费表'!B40</f>
        <v>4.7500000000000001E-2</v>
      </c>
      <c r="G24" s="1587"/>
      <c r="H24" s="2570" t="s">
        <v>1893</v>
      </c>
      <c r="I24" s="2565" t="s">
        <v>667</v>
      </c>
      <c r="J24" s="2563">
        <f ca="1">ROUND(J5*M24,0)</f>
        <v>0</v>
      </c>
      <c r="K24" s="2564" t="s">
        <v>1776</v>
      </c>
      <c r="L24" s="2565" t="s">
        <v>1749</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1777</v>
      </c>
      <c r="E25" s="1977"/>
      <c r="F25" s="55"/>
      <c r="G25" s="1586"/>
      <c r="H25" s="1824" t="s">
        <v>1778</v>
      </c>
      <c r="I25" s="3030" t="s">
        <v>2829</v>
      </c>
      <c r="J25" s="788">
        <f ca="1">J5-J16</f>
        <v>0</v>
      </c>
      <c r="K25" s="2567" t="s">
        <v>1779</v>
      </c>
      <c r="L25" s="2568"/>
      <c r="M25" s="2569"/>
    </row>
    <row r="26" spans="1:33" ht="18" customHeight="1">
      <c r="A26" s="1642" t="s">
        <v>1833</v>
      </c>
      <c r="B26" s="780" t="s">
        <v>2443</v>
      </c>
      <c r="C26" s="52">
        <f ca="1">ROUND((C19+C20)*F26,0)</f>
        <v>1</v>
      </c>
      <c r="D26" s="808" t="s">
        <v>1780</v>
      </c>
      <c r="E26" s="791" t="s">
        <v>1781</v>
      </c>
      <c r="F26" s="790">
        <f ca="1">INDIRECT("'数据-取费表'!q"&amp;$G$1)</f>
        <v>0.1</v>
      </c>
      <c r="G26" s="1586"/>
      <c r="H26" s="2521" t="s">
        <v>1782</v>
      </c>
      <c r="I26" s="2227" t="s">
        <v>2834</v>
      </c>
      <c r="J26" s="779">
        <f ca="1">IF(J5&lt;&gt;0,ROUND(J25*(1-((1+M28)/(1+M26))^M27)/(M26-M28),0),0)</f>
        <v>0</v>
      </c>
      <c r="K26" s="810" t="s">
        <v>1783</v>
      </c>
      <c r="L26" s="780" t="s">
        <v>2424</v>
      </c>
      <c r="M26" s="790">
        <f ca="1">INDIRECT("'数据-取费表'!I"&amp;$G$1)</f>
        <v>0.06</v>
      </c>
    </row>
    <row r="27" spans="1:33" ht="18" customHeight="1">
      <c r="A27" s="1642" t="s">
        <v>1834</v>
      </c>
      <c r="B27" s="780" t="s">
        <v>687</v>
      </c>
      <c r="C27" s="52">
        <f ca="1">ROUND(F21*F26,4)</f>
        <v>1E-3</v>
      </c>
      <c r="D27" s="808" t="s">
        <v>1784</v>
      </c>
      <c r="E27" s="802"/>
      <c r="F27" s="803"/>
      <c r="G27" s="1586"/>
      <c r="H27" s="2522"/>
      <c r="I27" s="783"/>
      <c r="J27" s="784"/>
      <c r="K27" s="817" t="s">
        <v>1785</v>
      </c>
      <c r="L27" s="780" t="s">
        <v>1786</v>
      </c>
      <c r="M27" s="818">
        <f ca="1">INDIRECT("'数据-取费表'!ag"&amp;$G$1)</f>
        <v>0</v>
      </c>
    </row>
    <row r="28" spans="1:33" s="2059" customFormat="1" ht="18" customHeight="1">
      <c r="A28" s="1644" t="s">
        <v>1843</v>
      </c>
      <c r="B28" s="780" t="s">
        <v>688</v>
      </c>
      <c r="C28" s="52">
        <f>ROUND(F28/(1+'数据-取费表'!C42),4)</f>
        <v>5.33E-2</v>
      </c>
      <c r="D28" s="808" t="s">
        <v>2303</v>
      </c>
      <c r="E28" s="780" t="s">
        <v>1787</v>
      </c>
      <c r="F28" s="805">
        <f>'数据-取费表'!B41</f>
        <v>5.6000000000000001E-2</v>
      </c>
      <c r="G28" s="1587"/>
      <c r="H28" s="1824"/>
      <c r="I28" s="787"/>
      <c r="J28" s="788"/>
      <c r="K28" s="812"/>
      <c r="L28" s="780" t="s">
        <v>1788</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16</v>
      </c>
      <c r="D29" s="2564"/>
      <c r="E29" s="2565"/>
      <c r="F29" s="2566"/>
      <c r="G29" s="1587"/>
      <c r="H29" s="819" t="s">
        <v>1789</v>
      </c>
      <c r="I29" s="820" t="s">
        <v>1790</v>
      </c>
      <c r="J29" s="821">
        <f ca="1">ROUND(J26/(1+F40)^F41,0)</f>
        <v>0</v>
      </c>
      <c r="K29" s="822" t="s">
        <v>1791</v>
      </c>
      <c r="L29" s="823"/>
      <c r="M29" s="824">
        <f ca="1">INDIRECT("'数据-取费表'!k"&amp;$G$1)</f>
        <v>41</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1</v>
      </c>
      <c r="D30" s="1816" t="s">
        <v>1793</v>
      </c>
      <c r="E30" s="2505"/>
      <c r="F30" s="2510"/>
      <c r="G30" s="2057"/>
      <c r="H30" s="2060"/>
      <c r="I30" s="2061"/>
      <c r="J30" s="2062"/>
      <c r="K30" s="2063"/>
      <c r="L30" s="2064"/>
      <c r="M30" s="2065"/>
    </row>
    <row r="31" spans="1:33" ht="18" customHeight="1">
      <c r="A31" s="1643" t="s">
        <v>1832</v>
      </c>
      <c r="B31" s="780" t="s">
        <v>657</v>
      </c>
      <c r="C31" s="52">
        <f ca="1">ROUND(IF(项目基本情况!B11="自然人",C5*F31,C32+C33+C34),1)</f>
        <v>0.6</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1796</v>
      </c>
      <c r="C32" s="52">
        <f ca="1">ROUND(C5*F32/1.05,1)</f>
        <v>0.5</v>
      </c>
      <c r="D32" s="1972" t="s">
        <v>1797</v>
      </c>
      <c r="E32" s="780" t="s">
        <v>1798</v>
      </c>
      <c r="F32" s="805">
        <f>'数据-取费表'!B41</f>
        <v>5.6000000000000001E-2</v>
      </c>
      <c r="G32" s="2057"/>
      <c r="H32" s="2066"/>
      <c r="I32" s="2067"/>
      <c r="J32" s="2068"/>
      <c r="K32" s="2069"/>
      <c r="L32" s="2070"/>
      <c r="M32" s="2071"/>
    </row>
    <row r="33" spans="1:18" ht="18" customHeight="1">
      <c r="A33" s="1642" t="s">
        <v>1834</v>
      </c>
      <c r="B33" s="780" t="s">
        <v>1799</v>
      </c>
      <c r="C33" s="52">
        <f ca="1">IF(D33="按租金收入计税",ROUND(C5*F33,1),IF(D33="按房产原值计税",ROUND(C29*F33*0.7,1),INDIRECT("'数据-取费表'!Aj"&amp;$G$1)))</f>
        <v>0.1</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5" t="s">
        <v>1835</v>
      </c>
      <c r="B34" s="337" t="s">
        <v>1800</v>
      </c>
      <c r="C34" s="53">
        <f ca="1">ROUND(F34*F35/10000,1)</f>
        <v>0</v>
      </c>
      <c r="D34" s="810" t="s">
        <v>1801</v>
      </c>
      <c r="E34" s="780" t="s">
        <v>1802</v>
      </c>
      <c r="F34" s="636">
        <f>'数据-取费表'!B52</f>
        <v>1.5</v>
      </c>
      <c r="G34" s="2057"/>
      <c r="H34" s="2060"/>
      <c r="I34" s="831" t="s">
        <v>1815</v>
      </c>
      <c r="J34" s="832"/>
      <c r="K34" s="2075"/>
      <c r="L34" s="2074"/>
      <c r="M34" s="2074"/>
    </row>
    <row r="35" spans="1:18" ht="18" customHeight="1">
      <c r="A35" s="811"/>
      <c r="B35" s="789"/>
      <c r="C35" s="68"/>
      <c r="D35" s="812"/>
      <c r="E35" s="780" t="s">
        <v>1803</v>
      </c>
      <c r="F35" s="781">
        <f ca="1">INDIRECT("'数据-取费表'!r"&amp;$G$1)</f>
        <v>15.95</v>
      </c>
      <c r="G35" s="2057"/>
      <c r="H35" s="2060"/>
      <c r="I35" s="833" t="s">
        <v>1816</v>
      </c>
      <c r="J35" s="834">
        <f ca="1">ROUND(C13*J36,0)</f>
        <v>1</v>
      </c>
      <c r="K35" s="2073"/>
      <c r="L35" s="2072"/>
      <c r="M35" s="2072"/>
    </row>
    <row r="36" spans="1:18" ht="18" customHeight="1">
      <c r="A36" s="1643" t="s">
        <v>1891</v>
      </c>
      <c r="B36" s="780" t="s">
        <v>1804</v>
      </c>
      <c r="C36" s="52">
        <f ca="1">ROUND(C29*F36,1)</f>
        <v>0.2</v>
      </c>
      <c r="D36" s="1972" t="s">
        <v>1805</v>
      </c>
      <c r="E36" s="780" t="s">
        <v>1798</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0</v>
      </c>
      <c r="D37" s="1972" t="s">
        <v>1806</v>
      </c>
      <c r="E37" s="780" t="s">
        <v>1798</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0.1</v>
      </c>
      <c r="D38" s="2564" t="s">
        <v>1807</v>
      </c>
      <c r="E38" s="2565" t="s">
        <v>1798</v>
      </c>
      <c r="F38" s="2561">
        <f ca="1">INDIRECT("'数据-取费表'!Am"&amp;$G$1)</f>
        <v>0.01</v>
      </c>
      <c r="G38" s="2057"/>
      <c r="H38" s="2072"/>
      <c r="I38" s="839" t="s">
        <v>1819</v>
      </c>
      <c r="J38" s="840"/>
      <c r="K38" s="2078"/>
      <c r="L38" s="2072"/>
      <c r="M38" s="2072"/>
    </row>
    <row r="39" spans="1:18" ht="24.6" customHeight="1" thickTop="1">
      <c r="A39" s="1824" t="s">
        <v>1896</v>
      </c>
      <c r="B39" s="3030" t="s">
        <v>2829</v>
      </c>
      <c r="C39" s="788">
        <f ca="1">C5-C30</f>
        <v>8</v>
      </c>
      <c r="D39" s="2567" t="s">
        <v>1808</v>
      </c>
      <c r="E39" s="2568"/>
      <c r="F39" s="2569"/>
      <c r="G39" s="2057"/>
      <c r="H39" s="2072"/>
      <c r="I39" s="833" t="s">
        <v>1820</v>
      </c>
      <c r="J39" s="841">
        <f ca="1">ROUND(J35/C39,3)</f>
        <v>0.125</v>
      </c>
      <c r="K39" s="2078"/>
      <c r="L39" s="2072"/>
      <c r="M39" s="2072"/>
    </row>
    <row r="40" spans="1:18" ht="18" customHeight="1">
      <c r="A40" s="777" t="s">
        <v>1897</v>
      </c>
      <c r="B40" s="2227" t="s">
        <v>2305</v>
      </c>
      <c r="C40" s="779">
        <f ca="1">ROUND(C39*(1-((1+F42)/(1+F40))^F41)/(F40-F42),0)</f>
        <v>175</v>
      </c>
      <c r="D40" s="810" t="s">
        <v>1809</v>
      </c>
      <c r="E40" s="780" t="s">
        <v>2424</v>
      </c>
      <c r="F40" s="790">
        <f ca="1">INDIRECT("'数据-取费表'!I"&amp;$G$1)</f>
        <v>0.06</v>
      </c>
      <c r="G40" s="2057"/>
      <c r="H40" s="2057"/>
      <c r="I40" s="833" t="s">
        <v>1821</v>
      </c>
      <c r="J40" s="841">
        <f ca="1">1-J39</f>
        <v>0.875</v>
      </c>
      <c r="K40" s="2078"/>
      <c r="L40" s="2057"/>
      <c r="M40" s="2057"/>
    </row>
    <row r="41" spans="1:18" ht="18" customHeight="1">
      <c r="A41" s="782"/>
      <c r="B41" s="783"/>
      <c r="C41" s="784"/>
      <c r="D41" s="817" t="s">
        <v>1810</v>
      </c>
      <c r="E41" s="780" t="s">
        <v>2970</v>
      </c>
      <c r="F41" s="818">
        <f ca="1">IF(INDIRECT("'数据-取费表'!af"&amp;$G$1)=0,INDIRECT("'数据-取费表'!ae"&amp;$G$1),INDIRECT("'数据-取费表'!af"&amp;$G$1))</f>
        <v>37.32</v>
      </c>
      <c r="G41" s="2057"/>
      <c r="H41" s="1983"/>
      <c r="I41" s="839" t="s">
        <v>1822</v>
      </c>
      <c r="J41" s="842"/>
      <c r="K41" s="2077"/>
      <c r="L41" s="1983"/>
      <c r="M41" s="1983"/>
    </row>
    <row r="42" spans="1:18" ht="18" customHeight="1">
      <c r="A42" s="786"/>
      <c r="B42" s="787"/>
      <c r="C42" s="788"/>
      <c r="D42" s="812"/>
      <c r="E42" s="780" t="s">
        <v>1811</v>
      </c>
      <c r="F42" s="790">
        <f ca="1">INDIRECT("'数据-取费表'!v"&amp;$G$1)</f>
        <v>0.03</v>
      </c>
      <c r="G42" s="2057"/>
      <c r="H42" s="1983"/>
      <c r="I42" s="843" t="s">
        <v>1823</v>
      </c>
      <c r="J42" s="841">
        <f ca="1">ROUND(C13/C40,3)</f>
        <v>9.0999999999999998E-2</v>
      </c>
      <c r="K42" s="2077"/>
      <c r="L42" s="1983"/>
      <c r="M42" s="1983"/>
    </row>
    <row r="43" spans="1:18" ht="18" customHeight="1" thickBot="1">
      <c r="A43" s="819" t="s">
        <v>1789</v>
      </c>
      <c r="B43" s="820" t="s">
        <v>1812</v>
      </c>
      <c r="C43" s="821">
        <f ca="1">ROUND(C40*10000/F43,0)</f>
        <v>42683</v>
      </c>
      <c r="D43" s="822" t="s">
        <v>1813</v>
      </c>
      <c r="E43" s="823" t="s">
        <v>1814</v>
      </c>
      <c r="F43" s="824">
        <f ca="1">INDIRECT("'数据-取费表'!k"&amp;$G$1)</f>
        <v>41</v>
      </c>
      <c r="G43" s="2057"/>
      <c r="H43" s="1983"/>
      <c r="I43" s="843" t="s">
        <v>1824</v>
      </c>
      <c r="J43" s="844">
        <f ca="1">1-J42</f>
        <v>0.90900000000000003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-175</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40</v>
      </c>
      <c r="M47" s="1598" t="str">
        <f>IF(ISNUMBER(FIND("住宅",C1)),"住宅","非住宅")</f>
        <v>非住宅</v>
      </c>
      <c r="O47" s="2414" t="s">
        <v>2380</v>
      </c>
      <c r="P47" s="2415" t="s">
        <v>2381</v>
      </c>
      <c r="Q47" s="2416" t="s">
        <v>2382</v>
      </c>
      <c r="R47" s="2415" t="s">
        <v>2383</v>
      </c>
    </row>
    <row r="48" spans="1:18" s="2054" customFormat="1" ht="18" customHeight="1" thickBot="1">
      <c r="A48" s="2662" t="s">
        <v>2544</v>
      </c>
      <c r="B48" s="2663" t="s">
        <v>2545</v>
      </c>
      <c r="C48" s="2369">
        <f ca="1">ROUND(F48*F50*F49*(1-F51)/10000,0)</f>
        <v>0</v>
      </c>
      <c r="D48" s="2370" t="s">
        <v>637</v>
      </c>
      <c r="E48" s="2371" t="s">
        <v>2300</v>
      </c>
      <c r="F48" s="2372"/>
      <c r="G48" s="2085"/>
      <c r="I48" s="2378" t="s">
        <v>2349</v>
      </c>
      <c r="J48" s="2385" t="s">
        <v>2355</v>
      </c>
      <c r="K48" s="2386" t="s">
        <v>2356</v>
      </c>
      <c r="L48" s="2387">
        <f ca="1">INDIRECT("'数据-取费表'!f"&amp;$G$1)</f>
        <v>39.32</v>
      </c>
      <c r="O48" s="2417" t="s">
        <v>2384</v>
      </c>
      <c r="P48" s="2418" t="s">
        <v>2410</v>
      </c>
      <c r="Q48" s="2419">
        <f ca="1">C40+J29</f>
        <v>175</v>
      </c>
      <c r="R48" s="2418" t="s">
        <v>2385</v>
      </c>
    </row>
    <row r="49" spans="1:18" s="2054" customFormat="1" ht="18" customHeight="1" thickBot="1">
      <c r="A49" s="782"/>
      <c r="B49" s="783"/>
      <c r="C49" s="784"/>
      <c r="D49" s="785"/>
      <c r="E49" s="780" t="s">
        <v>1741</v>
      </c>
      <c r="F49" s="781">
        <f ca="1">F7</f>
        <v>41</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1742</v>
      </c>
      <c r="F50" s="781">
        <f ca="1">F8</f>
        <v>365</v>
      </c>
      <c r="G50" s="2090"/>
      <c r="H50" s="2088"/>
      <c r="I50" s="2378" t="s">
        <v>2351</v>
      </c>
      <c r="J50" s="2391">
        <f>SUMPRODUCT((I63:I65=J47)*(J62:L62=J48)*(J63:L65))</f>
        <v>60</v>
      </c>
      <c r="K50" s="2389" t="s">
        <v>2358</v>
      </c>
      <c r="L50" s="2390"/>
      <c r="O50" s="2420" t="s">
        <v>2388</v>
      </c>
      <c r="P50" s="2418" t="s">
        <v>2412</v>
      </c>
      <c r="Q50" s="2419">
        <f ca="1">C29</f>
        <v>16</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115</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37.32</v>
      </c>
      <c r="K53" s="3780" t="s">
        <v>2972</v>
      </c>
      <c r="L53" s="3781"/>
      <c r="O53" s="2420" t="s">
        <v>2393</v>
      </c>
      <c r="P53" s="2418" t="s">
        <v>2394</v>
      </c>
      <c r="Q53" s="2419">
        <f ca="1">J53</f>
        <v>37.32</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175</v>
      </c>
      <c r="R54" s="2422" t="s">
        <v>2397</v>
      </c>
    </row>
    <row r="55" spans="1:18" s="2054" customFormat="1" ht="18" customHeight="1" thickTop="1" thickBot="1">
      <c r="A55" s="793">
        <v>2</v>
      </c>
      <c r="B55" s="794" t="s">
        <v>645</v>
      </c>
      <c r="C55" s="795">
        <f ca="1">C13</f>
        <v>16</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2306</v>
      </c>
      <c r="C56" s="52">
        <f ca="1">C29</f>
        <v>16</v>
      </c>
      <c r="D56" s="2659"/>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1750</v>
      </c>
      <c r="B57" s="794" t="s">
        <v>652</v>
      </c>
      <c r="C57" s="795">
        <f ca="1">ROUND(C58+C63+C64+C65,0)</f>
        <v>0</v>
      </c>
      <c r="D57" s="25" t="s">
        <v>1752</v>
      </c>
      <c r="E57" s="2660"/>
      <c r="F57" s="55"/>
      <c r="I57" s="2399" t="s">
        <v>2363</v>
      </c>
      <c r="J57" s="2401" t="str">
        <f ca="1">IF(OR(M47="住宅",J51&lt;L48,J56="是"),"——",J51-L48)</f>
        <v>——</v>
      </c>
      <c r="K57" s="2378" t="s">
        <v>2368</v>
      </c>
      <c r="L57" s="2387" t="str">
        <f ca="1">IF(L48&lt;J51,"——",IF(L55="比较法",L49,IF(L55="基准地价",L50,L51)))</f>
        <v>——</v>
      </c>
      <c r="O57" s="2417" t="s">
        <v>2384</v>
      </c>
      <c r="P57" s="2418" t="s">
        <v>2414</v>
      </c>
      <c r="Q57" s="2419">
        <f ca="1">C40+J29</f>
        <v>175</v>
      </c>
      <c r="R57" s="2418" t="s">
        <v>2385</v>
      </c>
    </row>
    <row r="58" spans="1:18" s="2054" customFormat="1" ht="28.5" customHeight="1" thickBot="1">
      <c r="A58" s="1643" t="s">
        <v>1826</v>
      </c>
      <c r="B58" s="780" t="s">
        <v>657</v>
      </c>
      <c r="C58" s="52">
        <f ca="1">ROUND(IF(项目基本情况!B11="自然人",C47*F58,C59+C60+C61),1)</f>
        <v>0.1</v>
      </c>
      <c r="D58" s="2658" t="s">
        <v>658</v>
      </c>
      <c r="E58" s="2659"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2659" t="s">
        <v>1758</v>
      </c>
      <c r="E59" s="780" t="s">
        <v>1749</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1760</v>
      </c>
      <c r="C60" s="52">
        <f ca="1">IF(D60="按租金收入计税",ROUND(C47*F60,1),IF(D60="按房产原值计税",ROUND(C56*F60*0.7,1),INDIRECT("'数据-取费表'!Aj"&amp;$G$1)))</f>
        <v>0.1</v>
      </c>
      <c r="D60" s="2659" t="str">
        <f>D33</f>
        <v>按房产原值计税</v>
      </c>
      <c r="E60" s="780" t="s">
        <v>1749</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0</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15.95</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0.2</v>
      </c>
      <c r="D63" s="2659" t="s">
        <v>1805</v>
      </c>
      <c r="E63" s="780" t="s">
        <v>1749</v>
      </c>
      <c r="F63" s="813">
        <f t="shared" ca="1" si="0"/>
        <v>1.4999999999999999E-2</v>
      </c>
      <c r="I63" s="2404" t="s">
        <v>2375</v>
      </c>
      <c r="J63" s="2405">
        <v>70</v>
      </c>
      <c r="K63" s="2405">
        <v>50</v>
      </c>
      <c r="L63" s="2405">
        <v>80</v>
      </c>
      <c r="M63" s="3123">
        <v>0.02</v>
      </c>
      <c r="O63" s="2417" t="s">
        <v>2396</v>
      </c>
      <c r="P63" s="2418" t="s">
        <v>2413</v>
      </c>
      <c r="Q63" s="2419">
        <f ca="1">Q57+Q58</f>
        <v>175</v>
      </c>
      <c r="R63" s="2422" t="s">
        <v>2397</v>
      </c>
    </row>
    <row r="64" spans="1:18" s="2054" customFormat="1" ht="16.5" thickBot="1">
      <c r="A64" s="1643" t="s">
        <v>1892</v>
      </c>
      <c r="B64" s="780" t="s">
        <v>680</v>
      </c>
      <c r="C64" s="52">
        <f ca="1">ROUND(C55*F64,1)</f>
        <v>0</v>
      </c>
      <c r="D64" s="2659" t="s">
        <v>681</v>
      </c>
      <c r="E64" s="780" t="s">
        <v>1749</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2659" t="s">
        <v>684</v>
      </c>
      <c r="E65" s="780" t="s">
        <v>1749</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0</v>
      </c>
      <c r="D66" s="2658" t="s">
        <v>701</v>
      </c>
      <c r="E66" s="2657"/>
      <c r="F66" s="816"/>
      <c r="K66" s="2081"/>
      <c r="O66" s="2417" t="s">
        <v>2384</v>
      </c>
      <c r="P66" s="2418" t="s">
        <v>2414</v>
      </c>
      <c r="Q66" s="2419">
        <f ca="1">C40+J29</f>
        <v>175</v>
      </c>
      <c r="R66" s="2418" t="s">
        <v>2385</v>
      </c>
    </row>
    <row r="67" spans="1:18" s="2054" customFormat="1" ht="20.25" thickBot="1">
      <c r="A67" s="777" t="s">
        <v>1782</v>
      </c>
      <c r="B67" s="2227" t="s">
        <v>2305</v>
      </c>
      <c r="C67" s="779">
        <f ca="1">ROUND(C66*(1-((1+F69)/(1+F67))^F68)/(F67-F69),0)</f>
        <v>0</v>
      </c>
      <c r="D67" s="810" t="s">
        <v>705</v>
      </c>
      <c r="E67" s="780" t="s">
        <v>706</v>
      </c>
      <c r="F67" s="790">
        <f ca="1">F40</f>
        <v>0.06</v>
      </c>
      <c r="K67" s="2081"/>
      <c r="O67" s="2417" t="s">
        <v>2386</v>
      </c>
      <c r="P67" s="2418" t="s">
        <v>2417</v>
      </c>
      <c r="Q67" s="2419">
        <f ca="1">L60</f>
        <v>0</v>
      </c>
      <c r="R67" s="2422" t="s">
        <v>2419</v>
      </c>
    </row>
    <row r="68" spans="1:18" ht="21.75" thickBot="1">
      <c r="A68" s="782"/>
      <c r="B68" s="783"/>
      <c r="C68" s="784"/>
      <c r="D68" s="817" t="s">
        <v>1810</v>
      </c>
      <c r="E68" s="780" t="s">
        <v>1786</v>
      </c>
      <c r="F68" s="818">
        <f ca="1">F41</f>
        <v>37.32</v>
      </c>
      <c r="O68" s="2420" t="s">
        <v>2388</v>
      </c>
      <c r="P68" s="2418" t="s">
        <v>2418</v>
      </c>
      <c r="Q68" s="2424">
        <f ca="1">L51</f>
        <v>115</v>
      </c>
      <c r="R68" s="2425" t="s">
        <v>2421</v>
      </c>
    </row>
    <row r="69" spans="1:18" ht="20.25" thickBot="1">
      <c r="A69" s="786"/>
      <c r="B69" s="787"/>
      <c r="C69" s="788"/>
      <c r="D69" s="812"/>
      <c r="E69" s="780" t="s">
        <v>711</v>
      </c>
      <c r="F69" s="2366"/>
      <c r="O69" s="2420" t="s">
        <v>2389</v>
      </c>
      <c r="P69" s="2426" t="s">
        <v>2403</v>
      </c>
      <c r="Q69" s="2419">
        <f ca="1">ROUND(Q70-Q71*Q72,0)</f>
        <v>7</v>
      </c>
      <c r="R69" s="2422"/>
    </row>
    <row r="70" spans="1:18" ht="15.75" thickBot="1">
      <c r="A70" s="819" t="s">
        <v>1789</v>
      </c>
      <c r="B70" s="820" t="s">
        <v>1812</v>
      </c>
      <c r="C70" s="821">
        <f ca="1">ROUND(C67*10000/F70,0)</f>
        <v>0</v>
      </c>
      <c r="D70" s="822" t="s">
        <v>1813</v>
      </c>
      <c r="E70" s="823" t="s">
        <v>1814</v>
      </c>
      <c r="F70" s="824">
        <f ca="1">F43</f>
        <v>41</v>
      </c>
      <c r="O70" s="2420" t="s">
        <v>2404</v>
      </c>
      <c r="P70" s="2426" t="s">
        <v>2405</v>
      </c>
      <c r="Q70" s="2419">
        <f ca="1">C39</f>
        <v>8</v>
      </c>
      <c r="R70" s="2418" t="s">
        <v>2385</v>
      </c>
    </row>
    <row r="71" spans="1:18" ht="15.75" thickBot="1">
      <c r="O71" s="2420" t="s">
        <v>2406</v>
      </c>
      <c r="P71" s="2426" t="s">
        <v>2407</v>
      </c>
      <c r="Q71" s="2419">
        <f ca="1">C13</f>
        <v>16</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175</v>
      </c>
      <c r="R76" s="242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3246</v>
      </c>
      <c r="D1" s="3149" t="s">
        <v>3382</v>
      </c>
      <c r="E1" s="2406" t="s">
        <v>871</v>
      </c>
      <c r="F1" s="2407">
        <f ca="1">J53</f>
        <v>47.33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154344</v>
      </c>
      <c r="C2" s="2052"/>
      <c r="D2" s="2050"/>
      <c r="E2" s="2051"/>
      <c r="F2" s="2051"/>
      <c r="G2" s="1584"/>
      <c r="H2" s="2052"/>
      <c r="I2" s="2052"/>
      <c r="J2" s="2052"/>
      <c r="K2" s="2053"/>
      <c r="L2" s="2052"/>
      <c r="M2" s="2052"/>
    </row>
    <row r="3" spans="1:33" ht="18" customHeight="1" thickBot="1">
      <c r="A3" s="829" t="s">
        <v>796</v>
      </c>
      <c r="B3" s="830">
        <f ca="1">IF(ISERROR(B2*10000/F43),0,ROUND(B2*10000/F43,0))</f>
        <v>50172</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5875</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5867</v>
      </c>
      <c r="D6" s="2516" t="s">
        <v>2468</v>
      </c>
      <c r="E6" s="780" t="s">
        <v>638</v>
      </c>
      <c r="F6" s="781">
        <f ca="1">INDIRECT("'数据-取费表'!u"&amp;$G$1)</f>
        <v>5.5</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30762.799999999999</v>
      </c>
      <c r="G7" s="1586"/>
      <c r="H7" s="2508"/>
      <c r="I7" s="3775"/>
      <c r="J7" s="784"/>
      <c r="K7" s="785"/>
      <c r="L7" s="780" t="s">
        <v>639</v>
      </c>
      <c r="M7" s="781">
        <f ca="1">F7</f>
        <v>30762.799999999999</v>
      </c>
    </row>
    <row r="8" spans="1:33" ht="18" customHeight="1">
      <c r="A8" s="2512"/>
      <c r="B8" s="3776"/>
      <c r="C8" s="784"/>
      <c r="D8" s="785"/>
      <c r="E8" s="780" t="s">
        <v>640</v>
      </c>
      <c r="F8" s="781">
        <f ca="1">INDIRECT("'数据-取费表'!ai"&amp;$G$1)</f>
        <v>365</v>
      </c>
      <c r="G8" s="1586"/>
      <c r="H8" s="2508"/>
      <c r="I8" s="3776"/>
      <c r="J8" s="784"/>
      <c r="K8" s="785"/>
      <c r="L8" s="780" t="s">
        <v>640</v>
      </c>
      <c r="M8" s="781">
        <f ca="1">INDIRECT("'数据-取费表'!ai"&amp;$G$1)</f>
        <v>365</v>
      </c>
    </row>
    <row r="9" spans="1:33" ht="18" customHeight="1">
      <c r="A9" s="782"/>
      <c r="B9" s="3777"/>
      <c r="C9" s="784"/>
      <c r="D9" s="785"/>
      <c r="E9" s="780" t="s">
        <v>641</v>
      </c>
      <c r="F9" s="790">
        <f ca="1">INDIRECT("'数据-取费表'!w"&amp;$G$1)</f>
        <v>0.05</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8</v>
      </c>
      <c r="D10" s="2520" t="s">
        <v>2472</v>
      </c>
      <c r="E10" s="2517" t="s">
        <v>2470</v>
      </c>
      <c r="F10" s="2640" t="s">
        <v>3380</v>
      </c>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12839</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9105</v>
      </c>
      <c r="D14" s="3173" t="s">
        <v>647</v>
      </c>
      <c r="E14" s="3172"/>
      <c r="F14" s="801"/>
      <c r="G14" s="1586"/>
      <c r="H14" s="1643" t="s">
        <v>1826</v>
      </c>
      <c r="I14" s="2226" t="s">
        <v>2832</v>
      </c>
      <c r="J14" s="52">
        <f ca="1">C29</f>
        <v>12839</v>
      </c>
      <c r="K14" s="25"/>
      <c r="L14" s="797"/>
      <c r="M14" s="798"/>
    </row>
    <row r="15" spans="1:33" s="2059" customFormat="1" ht="18" customHeight="1" thickBot="1">
      <c r="A15" s="1642" t="s">
        <v>1834</v>
      </c>
      <c r="B15" s="780" t="s">
        <v>648</v>
      </c>
      <c r="C15" s="52">
        <f ca="1">ROUND(C14*F15,0)</f>
        <v>273</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303</v>
      </c>
      <c r="K16" s="1816" t="s">
        <v>653</v>
      </c>
      <c r="L16" s="3175"/>
      <c r="M16" s="2510"/>
    </row>
    <row r="17" spans="1:33" s="2059" customFormat="1" ht="18" customHeight="1">
      <c r="A17" s="1642" t="s">
        <v>1889</v>
      </c>
      <c r="B17" s="780" t="s">
        <v>654</v>
      </c>
      <c r="C17" s="52">
        <f ca="1">ROUND(F17*(F43+INDIRECT("'数据-取费表'!S"&amp;$G$1))/10000,0)</f>
        <v>744</v>
      </c>
      <c r="D17" s="780" t="s">
        <v>655</v>
      </c>
      <c r="E17" s="780" t="s">
        <v>656</v>
      </c>
      <c r="F17" s="55">
        <f>'数据-取费表'!B35</f>
        <v>200</v>
      </c>
      <c r="G17" s="1587"/>
      <c r="H17" s="1643" t="s">
        <v>1826</v>
      </c>
      <c r="I17" s="780" t="s">
        <v>657</v>
      </c>
      <c r="J17" s="52">
        <f ca="1">ROUND(IF(项目基本情况!B11="自然人",J5*M17,J18+J19+J20),0)</f>
        <v>110</v>
      </c>
      <c r="K17" s="3173" t="s">
        <v>658</v>
      </c>
      <c r="L17" s="3174"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137</v>
      </c>
      <c r="D18" s="780" t="s">
        <v>649</v>
      </c>
      <c r="E18" s="780" t="s">
        <v>650</v>
      </c>
      <c r="F18" s="805">
        <f>'数据-取费表'!B36</f>
        <v>1.4999999999999999E-2</v>
      </c>
      <c r="G18" s="1587"/>
      <c r="H18" s="1642" t="s">
        <v>1833</v>
      </c>
      <c r="I18" s="780" t="s">
        <v>661</v>
      </c>
      <c r="J18" s="52">
        <f ca="1">ROUND(J5*M18/1.05,1)</f>
        <v>0</v>
      </c>
      <c r="K18" s="3174"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10259</v>
      </c>
      <c r="D19" s="257" t="s">
        <v>664</v>
      </c>
      <c r="E19" s="3176"/>
      <c r="F19" s="55"/>
      <c r="G19" s="1586"/>
      <c r="H19" s="1642" t="s">
        <v>1834</v>
      </c>
      <c r="I19" s="780" t="s">
        <v>665</v>
      </c>
      <c r="J19" s="52">
        <f ca="1">IF(K19="按租金收入计税",ROUND(J5*M19,1),ROUND(C29*F33*0.7,1))</f>
        <v>107.8</v>
      </c>
      <c r="K19" s="807" t="s">
        <v>666</v>
      </c>
      <c r="L19" s="780" t="s">
        <v>650</v>
      </c>
      <c r="M19" s="805">
        <f>IF(K19="按租金收入计税",'数据-取费表'!B51,'数据-取费表'!B50)</f>
        <v>1.2E-2</v>
      </c>
    </row>
    <row r="20" spans="1:33" s="2059" customFormat="1" ht="18" customHeight="1">
      <c r="A20" s="1643" t="s">
        <v>1891</v>
      </c>
      <c r="B20" s="780" t="s">
        <v>667</v>
      </c>
      <c r="C20" s="52">
        <f ca="1">ROUND(C19*F20,0)</f>
        <v>205</v>
      </c>
      <c r="D20" s="808" t="s">
        <v>668</v>
      </c>
      <c r="E20" s="780" t="s">
        <v>650</v>
      </c>
      <c r="F20" s="805">
        <f>'数据-取费表'!B37</f>
        <v>0.02</v>
      </c>
      <c r="G20" s="1587"/>
      <c r="H20" s="1645" t="s">
        <v>1835</v>
      </c>
      <c r="I20" s="337" t="s">
        <v>669</v>
      </c>
      <c r="J20" s="53">
        <f ca="1">ROUND(M20*M21/10000,0)</f>
        <v>2</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11968.31</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6"/>
      <c r="F22" s="55"/>
      <c r="G22" s="1586"/>
      <c r="H22" s="1643" t="s">
        <v>1891</v>
      </c>
      <c r="I22" s="780" t="s">
        <v>677</v>
      </c>
      <c r="J22" s="52">
        <f ca="1">ROUND(J14*M22,0)</f>
        <v>193</v>
      </c>
      <c r="K22" s="3174"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497</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174"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6"/>
      <c r="F25" s="55"/>
      <c r="G25" s="1586"/>
      <c r="H25" s="1824" t="s">
        <v>1778</v>
      </c>
      <c r="I25" s="3030" t="s">
        <v>2829</v>
      </c>
      <c r="J25" s="788">
        <f ca="1">J5-J16</f>
        <v>-303</v>
      </c>
      <c r="K25" s="2567" t="s">
        <v>701</v>
      </c>
      <c r="L25" s="2568"/>
      <c r="M25" s="2569"/>
    </row>
    <row r="26" spans="1:33" ht="18" customHeight="1">
      <c r="A26" s="1642" t="s">
        <v>1833</v>
      </c>
      <c r="B26" s="780" t="s">
        <v>2443</v>
      </c>
      <c r="C26" s="52">
        <f ca="1">ROUND((C19+C20)*F26,0)</f>
        <v>1046</v>
      </c>
      <c r="D26" s="808" t="s">
        <v>702</v>
      </c>
      <c r="E26" s="791" t="s">
        <v>703</v>
      </c>
      <c r="F26" s="790">
        <f ca="1">INDIRECT("'数据-取费表'!q"&amp;$G$1)</f>
        <v>0.1</v>
      </c>
      <c r="G26" s="1586"/>
      <c r="H26" s="2521" t="s">
        <v>1782</v>
      </c>
      <c r="I26" s="2227" t="s">
        <v>2834</v>
      </c>
      <c r="J26" s="779">
        <f ca="1">IF(J5&lt;&gt;0,ROUND(J25*(1-((1+M28)/(1+M26))^M27)/(M26-M28),0),0)</f>
        <v>0</v>
      </c>
      <c r="K26" s="810" t="s">
        <v>705</v>
      </c>
      <c r="L26" s="780" t="s">
        <v>2424</v>
      </c>
      <c r="M26" s="790">
        <f ca="1">INDIRECT("'数据-取费表'!I"&amp;$G$1)</f>
        <v>5.5E-2</v>
      </c>
    </row>
    <row r="27" spans="1:33" ht="18" customHeight="1">
      <c r="A27" s="1642" t="s">
        <v>1834</v>
      </c>
      <c r="B27" s="780" t="s">
        <v>687</v>
      </c>
      <c r="C27" s="52">
        <f ca="1">ROUND(F21*F26,4)</f>
        <v>1E-3</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12839</v>
      </c>
      <c r="D29" s="2564"/>
      <c r="E29" s="2565"/>
      <c r="F29" s="2566"/>
      <c r="G29" s="1587"/>
      <c r="H29" s="819" t="s">
        <v>1789</v>
      </c>
      <c r="I29" s="820" t="s">
        <v>1790</v>
      </c>
      <c r="J29" s="821">
        <f ca="1">ROUND(J26/(1+F40)^F41,0)</f>
        <v>0</v>
      </c>
      <c r="K29" s="822" t="s">
        <v>689</v>
      </c>
      <c r="L29" s="823"/>
      <c r="M29" s="824">
        <f ca="1">INDIRECT("'数据-取费表'!k"&amp;$G$1)</f>
        <v>30762.799999999999</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694</v>
      </c>
      <c r="D30" s="1816" t="s">
        <v>653</v>
      </c>
      <c r="E30" s="3175"/>
      <c r="F30" s="2510"/>
      <c r="G30" s="2057"/>
      <c r="H30" s="2060"/>
      <c r="I30" s="2061"/>
      <c r="J30" s="2062"/>
      <c r="K30" s="2063"/>
      <c r="L30" s="2064"/>
      <c r="M30" s="2065"/>
    </row>
    <row r="31" spans="1:33" ht="18" customHeight="1">
      <c r="A31" s="1643" t="s">
        <v>1826</v>
      </c>
      <c r="B31" s="780" t="s">
        <v>657</v>
      </c>
      <c r="C31" s="52">
        <f ca="1">ROUND(IF(项目基本情况!B11="自然人",C5*F31,C32+C33+C34),1)</f>
        <v>422.9</v>
      </c>
      <c r="D31" s="3173" t="s">
        <v>658</v>
      </c>
      <c r="E31" s="3174"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313.3</v>
      </c>
      <c r="D32" s="3174"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107.8</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1.8</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11968.31</v>
      </c>
      <c r="G35" s="2057"/>
      <c r="H35" s="2060"/>
      <c r="I35" s="833" t="s">
        <v>1816</v>
      </c>
      <c r="J35" s="834">
        <f ca="1">ROUND(C13*J36,0)</f>
        <v>1027</v>
      </c>
      <c r="K35" s="2073"/>
      <c r="L35" s="2072"/>
      <c r="M35" s="2072"/>
    </row>
    <row r="36" spans="1:18" ht="18" customHeight="1">
      <c r="A36" s="1643" t="s">
        <v>1891</v>
      </c>
      <c r="B36" s="780" t="s">
        <v>677</v>
      </c>
      <c r="C36" s="52">
        <f ca="1">ROUND(C29*F36,1)</f>
        <v>192.6</v>
      </c>
      <c r="D36" s="3174"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19.3</v>
      </c>
      <c r="D37" s="3174"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58.8</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5181</v>
      </c>
      <c r="D39" s="2567" t="s">
        <v>701</v>
      </c>
      <c r="E39" s="2568"/>
      <c r="F39" s="2569"/>
      <c r="G39" s="2057"/>
      <c r="H39" s="2072"/>
      <c r="I39" s="833" t="s">
        <v>1820</v>
      </c>
      <c r="J39" s="841">
        <f ca="1">ROUND(J35/C39,3)</f>
        <v>0.19800000000000001</v>
      </c>
      <c r="K39" s="2078"/>
      <c r="L39" s="2072"/>
      <c r="M39" s="2072"/>
    </row>
    <row r="40" spans="1:18" ht="18" customHeight="1">
      <c r="A40" s="777" t="s">
        <v>1782</v>
      </c>
      <c r="B40" s="2227" t="s">
        <v>2305</v>
      </c>
      <c r="C40" s="779">
        <f ca="1">ROUND(C39*(1-((1+F42)/(1+F40))^F41)/(F40-F42),0)</f>
        <v>154344</v>
      </c>
      <c r="D40" s="810" t="s">
        <v>705</v>
      </c>
      <c r="E40" s="780" t="s">
        <v>2424</v>
      </c>
      <c r="F40" s="790">
        <f ca="1">INDIRECT("'数据-取费表'!I"&amp;$G$1)</f>
        <v>5.5E-2</v>
      </c>
      <c r="G40" s="2057"/>
      <c r="H40" s="2057"/>
      <c r="I40" s="833" t="s">
        <v>1821</v>
      </c>
      <c r="J40" s="841">
        <f ca="1">1-J39</f>
        <v>0.80200000000000005</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47.33</v>
      </c>
      <c r="G41" s="2057"/>
      <c r="H41" s="1983"/>
      <c r="I41" s="839" t="s">
        <v>1822</v>
      </c>
      <c r="J41" s="842"/>
      <c r="K41" s="2077"/>
      <c r="L41" s="1983"/>
      <c r="M41" s="1983"/>
    </row>
    <row r="42" spans="1:18" ht="18" customHeight="1">
      <c r="A42" s="786"/>
      <c r="B42" s="787"/>
      <c r="C42" s="788"/>
      <c r="D42" s="812"/>
      <c r="E42" s="780" t="s">
        <v>711</v>
      </c>
      <c r="F42" s="790">
        <f ca="1">INDIRECT("'数据-取费表'!v"&amp;$G$1)</f>
        <v>3.5000000000000003E-2</v>
      </c>
      <c r="G42" s="2057"/>
      <c r="H42" s="1983"/>
      <c r="I42" s="843" t="s">
        <v>1823</v>
      </c>
      <c r="J42" s="841">
        <f ca="1">ROUND(C13/C40,3)</f>
        <v>8.3000000000000004E-2</v>
      </c>
      <c r="K42" s="2077"/>
      <c r="L42" s="1983"/>
      <c r="M42" s="1983"/>
    </row>
    <row r="43" spans="1:18" ht="18" customHeight="1" thickBot="1">
      <c r="A43" s="819" t="s">
        <v>1789</v>
      </c>
      <c r="B43" s="820" t="s">
        <v>1812</v>
      </c>
      <c r="C43" s="821">
        <f ca="1">ROUND(C40*10000/F43,0)</f>
        <v>50172</v>
      </c>
      <c r="D43" s="822" t="s">
        <v>1813</v>
      </c>
      <c r="E43" s="823" t="s">
        <v>1814</v>
      </c>
      <c r="F43" s="824">
        <f ca="1">INDIRECT("'数据-取费表'!k"&amp;$G$1)</f>
        <v>30762.799999999999</v>
      </c>
      <c r="G43" s="2057"/>
      <c r="H43" s="1983"/>
      <c r="I43" s="843" t="s">
        <v>1824</v>
      </c>
      <c r="J43" s="844">
        <f ca="1">1-J42</f>
        <v>0.91700000000000004</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-159734</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49.33</v>
      </c>
      <c r="O48" s="2417" t="s">
        <v>2384</v>
      </c>
      <c r="P48" s="2418" t="s">
        <v>2410</v>
      </c>
      <c r="Q48" s="2419">
        <f ca="1">C40+J29</f>
        <v>154344</v>
      </c>
      <c r="R48" s="2418" t="s">
        <v>2385</v>
      </c>
    </row>
    <row r="49" spans="1:18" s="2054" customFormat="1" ht="18" customHeight="1" thickBot="1">
      <c r="A49" s="782"/>
      <c r="B49" s="783"/>
      <c r="C49" s="784"/>
      <c r="D49" s="785"/>
      <c r="E49" s="780" t="s">
        <v>639</v>
      </c>
      <c r="F49" s="781">
        <f ca="1">F7</f>
        <v>30762.799999999999</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365</v>
      </c>
      <c r="G50" s="2090"/>
      <c r="H50" s="2088"/>
      <c r="I50" s="2378" t="s">
        <v>2351</v>
      </c>
      <c r="J50" s="2391">
        <f>SUMPRODUCT((I63:I65=J47)*(J62:L62=J48)*(J63:L65))</f>
        <v>60</v>
      </c>
      <c r="K50" s="2389" t="s">
        <v>2358</v>
      </c>
      <c r="L50" s="2390"/>
      <c r="O50" s="2420" t="s">
        <v>2388</v>
      </c>
      <c r="P50" s="2418" t="s">
        <v>2412</v>
      </c>
      <c r="Q50" s="2419">
        <f ca="1">C29</f>
        <v>12839</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81783</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47.33</v>
      </c>
      <c r="K53" s="3780" t="s">
        <v>2972</v>
      </c>
      <c r="L53" s="3781"/>
      <c r="O53" s="2420" t="s">
        <v>2393</v>
      </c>
      <c r="P53" s="2418" t="s">
        <v>2394</v>
      </c>
      <c r="Q53" s="2419">
        <f ca="1">J53</f>
        <v>47.33</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154344</v>
      </c>
      <c r="R54" s="2422" t="s">
        <v>2397</v>
      </c>
    </row>
    <row r="55" spans="1:18" s="2054" customFormat="1" ht="18" customHeight="1" thickTop="1" thickBot="1">
      <c r="A55" s="793">
        <v>2</v>
      </c>
      <c r="B55" s="794" t="s">
        <v>645</v>
      </c>
      <c r="C55" s="795">
        <f ca="1">C13</f>
        <v>12839</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12839</v>
      </c>
      <c r="D56" s="3174"/>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322</v>
      </c>
      <c r="D57" s="25" t="s">
        <v>653</v>
      </c>
      <c r="E57" s="3176"/>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154344</v>
      </c>
      <c r="R57" s="2418" t="s">
        <v>2385</v>
      </c>
    </row>
    <row r="58" spans="1:18" s="2054" customFormat="1" ht="28.5" customHeight="1" thickBot="1">
      <c r="A58" s="1643" t="s">
        <v>1826</v>
      </c>
      <c r="B58" s="780" t="s">
        <v>657</v>
      </c>
      <c r="C58" s="52">
        <f ca="1">ROUND(IF(项目基本情况!B11="自然人",C47*F58,C59+C60+C61),1)</f>
        <v>109.6</v>
      </c>
      <c r="D58" s="3173" t="s">
        <v>658</v>
      </c>
      <c r="E58" s="3174"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174"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107.8</v>
      </c>
      <c r="D60" s="3174"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1.8</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11968.31</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192.6</v>
      </c>
      <c r="D63" s="3174" t="s">
        <v>692</v>
      </c>
      <c r="E63" s="780" t="s">
        <v>650</v>
      </c>
      <c r="F63" s="813">
        <f t="shared" ca="1" si="0"/>
        <v>1.4999999999999999E-2</v>
      </c>
      <c r="I63" s="2404" t="s">
        <v>2375</v>
      </c>
      <c r="J63" s="2405">
        <v>70</v>
      </c>
      <c r="K63" s="2405">
        <v>50</v>
      </c>
      <c r="L63" s="2405">
        <v>80</v>
      </c>
      <c r="M63" s="3123">
        <v>0.02</v>
      </c>
      <c r="O63" s="2417" t="s">
        <v>2396</v>
      </c>
      <c r="P63" s="2418" t="s">
        <v>2413</v>
      </c>
      <c r="Q63" s="2419">
        <f ca="1">Q57+Q58</f>
        <v>154344</v>
      </c>
      <c r="R63" s="2422" t="s">
        <v>2397</v>
      </c>
    </row>
    <row r="64" spans="1:18" s="2054" customFormat="1" ht="16.5" thickBot="1">
      <c r="A64" s="1643" t="s">
        <v>1892</v>
      </c>
      <c r="B64" s="780" t="s">
        <v>680</v>
      </c>
      <c r="C64" s="52">
        <f ca="1">ROUND(C55*F64,1)</f>
        <v>19.3</v>
      </c>
      <c r="D64" s="3174"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174"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-322</v>
      </c>
      <c r="D66" s="3173" t="s">
        <v>701</v>
      </c>
      <c r="E66" s="3171"/>
      <c r="F66" s="816"/>
      <c r="K66" s="2081"/>
      <c r="O66" s="2417" t="s">
        <v>2384</v>
      </c>
      <c r="P66" s="2418" t="s">
        <v>2410</v>
      </c>
      <c r="Q66" s="2419">
        <f ca="1">C40+J29</f>
        <v>154344</v>
      </c>
      <c r="R66" s="2418" t="s">
        <v>2385</v>
      </c>
    </row>
    <row r="67" spans="1:18" s="2054" customFormat="1" ht="20.25" thickBot="1">
      <c r="A67" s="777" t="s">
        <v>1782</v>
      </c>
      <c r="B67" s="2227" t="s">
        <v>2305</v>
      </c>
      <c r="C67" s="779">
        <f ca="1">ROUND(C66*(1-((1+F69)/(1+F67))^F68)/(F67-F69),0)</f>
        <v>-5390</v>
      </c>
      <c r="D67" s="810" t="s">
        <v>705</v>
      </c>
      <c r="E67" s="780" t="s">
        <v>706</v>
      </c>
      <c r="F67" s="790">
        <f ca="1">F40</f>
        <v>5.5E-2</v>
      </c>
      <c r="K67" s="2081"/>
      <c r="O67" s="2417" t="s">
        <v>2386</v>
      </c>
      <c r="P67" s="2418" t="s">
        <v>2417</v>
      </c>
      <c r="Q67" s="2419">
        <f ca="1">L60</f>
        <v>0</v>
      </c>
      <c r="R67" s="2422" t="s">
        <v>2419</v>
      </c>
    </row>
    <row r="68" spans="1:18" ht="21.75" thickBot="1">
      <c r="A68" s="782"/>
      <c r="B68" s="783"/>
      <c r="C68" s="784"/>
      <c r="D68" s="817" t="s">
        <v>1810</v>
      </c>
      <c r="E68" s="780" t="s">
        <v>709</v>
      </c>
      <c r="F68" s="818">
        <f ca="1">F41</f>
        <v>47.33</v>
      </c>
      <c r="O68" s="2420" t="s">
        <v>2388</v>
      </c>
      <c r="P68" s="2418" t="s">
        <v>2418</v>
      </c>
      <c r="Q68" s="2424">
        <f ca="1">L51</f>
        <v>81783</v>
      </c>
      <c r="R68" s="2425" t="s">
        <v>2421</v>
      </c>
    </row>
    <row r="69" spans="1:18" ht="20.25" thickBot="1">
      <c r="A69" s="786"/>
      <c r="B69" s="787"/>
      <c r="C69" s="788"/>
      <c r="D69" s="812"/>
      <c r="E69" s="780" t="s">
        <v>711</v>
      </c>
      <c r="F69" s="2366"/>
      <c r="O69" s="2420" t="s">
        <v>2389</v>
      </c>
      <c r="P69" s="2426" t="s">
        <v>2403</v>
      </c>
      <c r="Q69" s="2419">
        <f ca="1">ROUND(Q70-Q71*Q72,0)</f>
        <v>4154</v>
      </c>
      <c r="R69" s="2422"/>
    </row>
    <row r="70" spans="1:18" ht="15.75" thickBot="1">
      <c r="A70" s="819" t="s">
        <v>1789</v>
      </c>
      <c r="B70" s="820" t="s">
        <v>1812</v>
      </c>
      <c r="C70" s="821">
        <f ca="1">ROUND(C67*10000/F70,0)</f>
        <v>-1752</v>
      </c>
      <c r="D70" s="822" t="s">
        <v>1813</v>
      </c>
      <c r="E70" s="823" t="s">
        <v>1814</v>
      </c>
      <c r="F70" s="824">
        <f ca="1">F43</f>
        <v>30762.799999999999</v>
      </c>
      <c r="O70" s="2420" t="s">
        <v>2404</v>
      </c>
      <c r="P70" s="2426" t="s">
        <v>2405</v>
      </c>
      <c r="Q70" s="2419">
        <f ca="1">C39</f>
        <v>5181</v>
      </c>
      <c r="R70" s="2418" t="s">
        <v>2385</v>
      </c>
    </row>
    <row r="71" spans="1:18" ht="15.75" thickBot="1">
      <c r="O71" s="2420" t="s">
        <v>2406</v>
      </c>
      <c r="P71" s="2426" t="s">
        <v>2407</v>
      </c>
      <c r="Q71" s="2419">
        <f ca="1">C13</f>
        <v>12839</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154344</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K38" sqref="K38"/>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3235</v>
      </c>
      <c r="D1" s="3149" t="s">
        <v>3382</v>
      </c>
      <c r="E1" s="2406" t="s">
        <v>871</v>
      </c>
      <c r="F1" s="2407">
        <f ca="1">J53</f>
        <v>47.33</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8260</v>
      </c>
      <c r="C2" s="2052"/>
      <c r="D2" s="2050"/>
      <c r="E2" s="2051"/>
      <c r="F2" s="2051"/>
      <c r="G2" s="1584"/>
      <c r="H2" s="2052"/>
      <c r="I2" s="2052"/>
      <c r="J2" s="2052"/>
      <c r="K2" s="2053"/>
      <c r="L2" s="2052"/>
      <c r="M2" s="2052"/>
    </row>
    <row r="3" spans="1:33" ht="18" customHeight="1" thickBot="1">
      <c r="A3" s="829" t="s">
        <v>796</v>
      </c>
      <c r="B3" s="830">
        <f ca="1">IF(ISERROR(B2*10000/F43),0,ROUND(B2*10000/F43,0))</f>
        <v>12854</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422</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422</v>
      </c>
      <c r="D6" s="2516" t="s">
        <v>2468</v>
      </c>
      <c r="E6" s="780" t="s">
        <v>638</v>
      </c>
      <c r="F6" s="781">
        <f ca="1">INDIRECT("'数据-取费表'!u"&amp;$G$1)</f>
        <v>2</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6425.8</v>
      </c>
      <c r="G7" s="1586"/>
      <c r="H7" s="2508"/>
      <c r="I7" s="3775"/>
      <c r="J7" s="784"/>
      <c r="K7" s="785"/>
      <c r="L7" s="780" t="s">
        <v>639</v>
      </c>
      <c r="M7" s="781">
        <f ca="1">F7</f>
        <v>6425.8</v>
      </c>
    </row>
    <row r="8" spans="1:33" ht="18" customHeight="1">
      <c r="A8" s="2512"/>
      <c r="B8" s="3776"/>
      <c r="C8" s="784"/>
      <c r="D8" s="785"/>
      <c r="E8" s="780" t="s">
        <v>640</v>
      </c>
      <c r="F8" s="781">
        <f ca="1">INDIRECT("'数据-取费表'!ai"&amp;$G$1)</f>
        <v>365</v>
      </c>
      <c r="G8" s="1586"/>
      <c r="H8" s="2508"/>
      <c r="I8" s="3776"/>
      <c r="J8" s="784"/>
      <c r="K8" s="785"/>
      <c r="L8" s="780" t="s">
        <v>640</v>
      </c>
      <c r="M8" s="781">
        <f ca="1">INDIRECT("'数据-取费表'!ai"&amp;$G$1)</f>
        <v>365</v>
      </c>
    </row>
    <row r="9" spans="1:33" ht="18" customHeight="1">
      <c r="A9" s="782"/>
      <c r="B9" s="3777"/>
      <c r="C9" s="784"/>
      <c r="D9" s="785"/>
      <c r="E9" s="780" t="s">
        <v>641</v>
      </c>
      <c r="F9" s="790">
        <f ca="1">INDIRECT("'数据-取费表'!w"&amp;$G$1)</f>
        <v>0.1</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0</v>
      </c>
      <c r="D10" s="2520" t="s">
        <v>2472</v>
      </c>
      <c r="E10" s="2517" t="s">
        <v>2470</v>
      </c>
      <c r="F10" s="3519"/>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2516</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1901</v>
      </c>
      <c r="D14" s="3173" t="s">
        <v>647</v>
      </c>
      <c r="E14" s="3172"/>
      <c r="F14" s="801"/>
      <c r="G14" s="1586"/>
      <c r="H14" s="1643" t="s">
        <v>1826</v>
      </c>
      <c r="I14" s="2226" t="s">
        <v>2832</v>
      </c>
      <c r="J14" s="52">
        <f ca="1">C29</f>
        <v>2516</v>
      </c>
      <c r="K14" s="25"/>
      <c r="L14" s="797"/>
      <c r="M14" s="798"/>
    </row>
    <row r="15" spans="1:33" s="2059" customFormat="1" ht="18" customHeight="1" thickBot="1">
      <c r="A15" s="1642" t="s">
        <v>1834</v>
      </c>
      <c r="B15" s="780" t="s">
        <v>648</v>
      </c>
      <c r="C15" s="52">
        <f ca="1">ROUND(C14*F15,0)</f>
        <v>57</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59</v>
      </c>
      <c r="K16" s="1816" t="s">
        <v>653</v>
      </c>
      <c r="L16" s="3175"/>
      <c r="M16" s="2510"/>
    </row>
    <row r="17" spans="1:33" s="2059" customFormat="1" ht="18" customHeight="1">
      <c r="A17" s="1642" t="s">
        <v>1889</v>
      </c>
      <c r="B17" s="780" t="s">
        <v>654</v>
      </c>
      <c r="C17" s="52">
        <f ca="1">ROUND(F17*(F43+INDIRECT("'数据-取费表'!S"&amp;$G$1))/10000,0)</f>
        <v>155</v>
      </c>
      <c r="D17" s="780" t="s">
        <v>655</v>
      </c>
      <c r="E17" s="780" t="s">
        <v>656</v>
      </c>
      <c r="F17" s="55">
        <f>'数据-取费表'!B35</f>
        <v>200</v>
      </c>
      <c r="G17" s="1587"/>
      <c r="H17" s="1643" t="s">
        <v>1826</v>
      </c>
      <c r="I17" s="780" t="s">
        <v>657</v>
      </c>
      <c r="J17" s="52">
        <f ca="1">ROUND(IF(项目基本情况!B11="自然人",J5*M17,J18+J19+J20),0)</f>
        <v>21</v>
      </c>
      <c r="K17" s="3173" t="s">
        <v>658</v>
      </c>
      <c r="L17" s="3174"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29</v>
      </c>
      <c r="D18" s="780" t="s">
        <v>649</v>
      </c>
      <c r="E18" s="780" t="s">
        <v>650</v>
      </c>
      <c r="F18" s="805">
        <f>'数据-取费表'!B36</f>
        <v>1.4999999999999999E-2</v>
      </c>
      <c r="G18" s="1587"/>
      <c r="H18" s="1642" t="s">
        <v>1833</v>
      </c>
      <c r="I18" s="780" t="s">
        <v>661</v>
      </c>
      <c r="J18" s="52">
        <f ca="1">ROUND(J5*M18/1.05,1)</f>
        <v>0</v>
      </c>
      <c r="K18" s="3174"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2142</v>
      </c>
      <c r="D19" s="257" t="s">
        <v>664</v>
      </c>
      <c r="E19" s="3176"/>
      <c r="F19" s="55"/>
      <c r="G19" s="1586"/>
      <c r="H19" s="1642" t="s">
        <v>1834</v>
      </c>
      <c r="I19" s="780" t="s">
        <v>665</v>
      </c>
      <c r="J19" s="52">
        <f ca="1">IF(K19="按租金收入计税",ROUND(J5*M19,1),ROUND(C29*F33*0.7,1))</f>
        <v>21.1</v>
      </c>
      <c r="K19" s="807" t="s">
        <v>666</v>
      </c>
      <c r="L19" s="780" t="s">
        <v>650</v>
      </c>
      <c r="M19" s="805">
        <f>IF(K19="按租金收入计税",'数据-取费表'!B51,'数据-取费表'!B50)</f>
        <v>1.2E-2</v>
      </c>
    </row>
    <row r="20" spans="1:33" s="2059" customFormat="1" ht="18" customHeight="1">
      <c r="A20" s="1643" t="s">
        <v>1891</v>
      </c>
      <c r="B20" s="780" t="s">
        <v>667</v>
      </c>
      <c r="C20" s="52">
        <f ca="1">ROUND(C19*F20,0)</f>
        <v>43</v>
      </c>
      <c r="D20" s="808" t="s">
        <v>668</v>
      </c>
      <c r="E20" s="780" t="s">
        <v>650</v>
      </c>
      <c r="F20" s="805">
        <f>'数据-取费表'!B37</f>
        <v>0.02</v>
      </c>
      <c r="G20" s="1587"/>
      <c r="H20" s="1645" t="s">
        <v>1835</v>
      </c>
      <c r="I20" s="337" t="s">
        <v>669</v>
      </c>
      <c r="J20" s="53">
        <f ca="1">ROUND(M20*M21/10000,0)</f>
        <v>0</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2499.9700000000003</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6"/>
      <c r="F22" s="55"/>
      <c r="G22" s="1586"/>
      <c r="H22" s="1643" t="s">
        <v>1891</v>
      </c>
      <c r="I22" s="780" t="s">
        <v>677</v>
      </c>
      <c r="J22" s="52">
        <f ca="1">ROUND(J14*M22,0)</f>
        <v>38</v>
      </c>
      <c r="K22" s="3174"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104</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174"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6"/>
      <c r="F25" s="55"/>
      <c r="G25" s="1586"/>
      <c r="H25" s="1824" t="s">
        <v>1778</v>
      </c>
      <c r="I25" s="3030" t="s">
        <v>2829</v>
      </c>
      <c r="J25" s="788">
        <f ca="1">J5-J16</f>
        <v>-59</v>
      </c>
      <c r="K25" s="2567" t="s">
        <v>701</v>
      </c>
      <c r="L25" s="2568"/>
      <c r="M25" s="2569"/>
    </row>
    <row r="26" spans="1:33" ht="18" customHeight="1">
      <c r="A26" s="1642" t="s">
        <v>1833</v>
      </c>
      <c r="B26" s="780" t="s">
        <v>2443</v>
      </c>
      <c r="C26" s="52">
        <f ca="1">ROUND((C19+C20)*F26,0)</f>
        <v>66</v>
      </c>
      <c r="D26" s="808" t="s">
        <v>702</v>
      </c>
      <c r="E26" s="791" t="s">
        <v>703</v>
      </c>
      <c r="F26" s="790">
        <f ca="1">INDIRECT("'数据-取费表'!q"&amp;$G$1)</f>
        <v>0.03</v>
      </c>
      <c r="G26" s="1586"/>
      <c r="H26" s="2521" t="s">
        <v>1782</v>
      </c>
      <c r="I26" s="2227" t="s">
        <v>2834</v>
      </c>
      <c r="J26" s="779">
        <f ca="1">IF(J5&lt;&gt;0,ROUND(J25*(1-((1+M28)/(1+M26))^M27)/(M26-M28),0),0)</f>
        <v>0</v>
      </c>
      <c r="K26" s="810" t="s">
        <v>705</v>
      </c>
      <c r="L26" s="780" t="s">
        <v>2424</v>
      </c>
      <c r="M26" s="790">
        <f ca="1">INDIRECT("'数据-取费表'!I"&amp;$G$1)</f>
        <v>0.05</v>
      </c>
    </row>
    <row r="27" spans="1:33" ht="18" customHeight="1">
      <c r="A27" s="1642" t="s">
        <v>1834</v>
      </c>
      <c r="B27" s="780" t="s">
        <v>687</v>
      </c>
      <c r="C27" s="52">
        <f ca="1">ROUND(F21*F26,4)</f>
        <v>2.9999999999999997E-4</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2516</v>
      </c>
      <c r="D29" s="2564"/>
      <c r="E29" s="2565"/>
      <c r="F29" s="2566"/>
      <c r="G29" s="1587"/>
      <c r="H29" s="819" t="s">
        <v>1789</v>
      </c>
      <c r="I29" s="820" t="s">
        <v>1790</v>
      </c>
      <c r="J29" s="821">
        <f ca="1">ROUND(J26/(1+F40)^F41,0)</f>
        <v>0</v>
      </c>
      <c r="K29" s="822" t="s">
        <v>689</v>
      </c>
      <c r="L29" s="823"/>
      <c r="M29" s="824">
        <f ca="1">INDIRECT("'数据-取费表'!k"&amp;$G$1)</f>
        <v>6425.8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90</v>
      </c>
      <c r="D30" s="1816" t="s">
        <v>653</v>
      </c>
      <c r="E30" s="3175"/>
      <c r="F30" s="2510"/>
      <c r="G30" s="2057"/>
      <c r="H30" s="2060"/>
      <c r="I30" s="2061"/>
      <c r="J30" s="2062"/>
      <c r="K30" s="2063"/>
      <c r="L30" s="2064"/>
      <c r="M30" s="2065"/>
    </row>
    <row r="31" spans="1:33" ht="18" customHeight="1">
      <c r="A31" s="1643" t="s">
        <v>1826</v>
      </c>
      <c r="B31" s="780" t="s">
        <v>657</v>
      </c>
      <c r="C31" s="52">
        <f ca="1">ROUND(IF(项目基本情况!B11="自然人",C5*F31,C32+C33+C34),1)</f>
        <v>44</v>
      </c>
      <c r="D31" s="3173" t="s">
        <v>658</v>
      </c>
      <c r="E31" s="3174"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22.5</v>
      </c>
      <c r="D32" s="3174"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21.1</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0.4</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2499.9700000000003</v>
      </c>
      <c r="G35" s="2057"/>
      <c r="H35" s="2060"/>
      <c r="I35" s="833" t="s">
        <v>1816</v>
      </c>
      <c r="J35" s="834">
        <f ca="1">ROUND(C13*J36,0)</f>
        <v>201</v>
      </c>
      <c r="K35" s="2073"/>
      <c r="L35" s="2072"/>
      <c r="M35" s="2072"/>
    </row>
    <row r="36" spans="1:18" ht="18" customHeight="1">
      <c r="A36" s="1643" t="s">
        <v>1891</v>
      </c>
      <c r="B36" s="780" t="s">
        <v>677</v>
      </c>
      <c r="C36" s="52">
        <f ca="1">ROUND(C29*F36,1)</f>
        <v>37.700000000000003</v>
      </c>
      <c r="D36" s="3174"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3.8</v>
      </c>
      <c r="D37" s="3174"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4.2</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332</v>
      </c>
      <c r="D39" s="2567" t="s">
        <v>701</v>
      </c>
      <c r="E39" s="2568"/>
      <c r="F39" s="2569"/>
      <c r="G39" s="2057"/>
      <c r="H39" s="2072"/>
      <c r="I39" s="833" t="s">
        <v>1820</v>
      </c>
      <c r="J39" s="841">
        <f ca="1">ROUND(J35/C39,3)</f>
        <v>0.60499999999999998</v>
      </c>
      <c r="K39" s="2078"/>
      <c r="L39" s="2072"/>
      <c r="M39" s="2072"/>
    </row>
    <row r="40" spans="1:18" ht="18" customHeight="1">
      <c r="A40" s="777" t="s">
        <v>1782</v>
      </c>
      <c r="B40" s="2227" t="s">
        <v>2305</v>
      </c>
      <c r="C40" s="779">
        <f ca="1">ROUND(C39*(1-((1+F42)/(1+F40))^F41)/(F40-F42),0)</f>
        <v>8260</v>
      </c>
      <c r="D40" s="810" t="s">
        <v>705</v>
      </c>
      <c r="E40" s="780" t="s">
        <v>2424</v>
      </c>
      <c r="F40" s="790">
        <f ca="1">INDIRECT("'数据-取费表'!I"&amp;$G$1)</f>
        <v>0.05</v>
      </c>
      <c r="G40" s="2057"/>
      <c r="H40" s="2057"/>
      <c r="I40" s="833" t="s">
        <v>1821</v>
      </c>
      <c r="J40" s="841">
        <f ca="1">1-J39</f>
        <v>0.39500000000000002</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47.33</v>
      </c>
      <c r="G41" s="2057"/>
      <c r="H41" s="1983"/>
      <c r="I41" s="839" t="s">
        <v>1822</v>
      </c>
      <c r="J41" s="842"/>
      <c r="K41" s="2077"/>
      <c r="L41" s="1983"/>
      <c r="M41" s="1983"/>
    </row>
    <row r="42" spans="1:18" ht="18" customHeight="1">
      <c r="A42" s="786"/>
      <c r="B42" s="787"/>
      <c r="C42" s="788"/>
      <c r="D42" s="812"/>
      <c r="E42" s="780" t="s">
        <v>711</v>
      </c>
      <c r="F42" s="790">
        <f ca="1">INDIRECT("'数据-取费表'!v"&amp;$G$1)</f>
        <v>0.02</v>
      </c>
      <c r="G42" s="2057"/>
      <c r="H42" s="1983"/>
      <c r="I42" s="843" t="s">
        <v>1823</v>
      </c>
      <c r="J42" s="841">
        <f ca="1">ROUND(C13/C40,3)</f>
        <v>0.30499999999999999</v>
      </c>
      <c r="K42" s="2077"/>
      <c r="L42" s="1983"/>
      <c r="M42" s="1983"/>
    </row>
    <row r="43" spans="1:18" ht="18" customHeight="1" thickBot="1">
      <c r="A43" s="819" t="s">
        <v>1789</v>
      </c>
      <c r="B43" s="820" t="s">
        <v>1812</v>
      </c>
      <c r="C43" s="821">
        <f ca="1">ROUND(C40*10000/F43,0)</f>
        <v>12854</v>
      </c>
      <c r="D43" s="822" t="s">
        <v>1813</v>
      </c>
      <c r="E43" s="823" t="s">
        <v>1814</v>
      </c>
      <c r="F43" s="824">
        <f ca="1">INDIRECT("'数据-取费表'!k"&amp;$G$1)</f>
        <v>6425.8</v>
      </c>
      <c r="G43" s="2057"/>
      <c r="H43" s="1983"/>
      <c r="I43" s="843" t="s">
        <v>1824</v>
      </c>
      <c r="J43" s="844">
        <f ca="1">1-J42</f>
        <v>0.69500000000000006</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-9395</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49.33</v>
      </c>
      <c r="O48" s="2417" t="s">
        <v>2384</v>
      </c>
      <c r="P48" s="2418" t="s">
        <v>2410</v>
      </c>
      <c r="Q48" s="2419">
        <f ca="1">C40+J29</f>
        <v>8260</v>
      </c>
      <c r="R48" s="2418" t="s">
        <v>2385</v>
      </c>
    </row>
    <row r="49" spans="1:18" s="2054" customFormat="1" ht="18" customHeight="1" thickBot="1">
      <c r="A49" s="782"/>
      <c r="B49" s="783"/>
      <c r="C49" s="784"/>
      <c r="D49" s="785"/>
      <c r="E49" s="780" t="s">
        <v>639</v>
      </c>
      <c r="F49" s="781">
        <f ca="1">F7</f>
        <v>6425.8</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365</v>
      </c>
      <c r="G50" s="2090"/>
      <c r="H50" s="2088"/>
      <c r="I50" s="2378" t="s">
        <v>2351</v>
      </c>
      <c r="J50" s="2391">
        <f>SUMPRODUCT((I63:I65=J47)*(J62:L62=J48)*(J63:L65))</f>
        <v>60</v>
      </c>
      <c r="K50" s="2389" t="s">
        <v>2358</v>
      </c>
      <c r="L50" s="2390"/>
      <c r="O50" s="2420" t="s">
        <v>2388</v>
      </c>
      <c r="P50" s="2418" t="s">
        <v>2412</v>
      </c>
      <c r="Q50" s="2419">
        <f ca="1">C29</f>
        <v>2516</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2574</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47.33</v>
      </c>
      <c r="K53" s="3780" t="s">
        <v>2972</v>
      </c>
      <c r="L53" s="3781"/>
      <c r="O53" s="2420" t="s">
        <v>2393</v>
      </c>
      <c r="P53" s="2418" t="s">
        <v>2394</v>
      </c>
      <c r="Q53" s="2419">
        <f ca="1">J53</f>
        <v>47.33</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8260</v>
      </c>
      <c r="R54" s="2422" t="s">
        <v>2397</v>
      </c>
    </row>
    <row r="55" spans="1:18" s="2054" customFormat="1" ht="18" customHeight="1" thickTop="1" thickBot="1">
      <c r="A55" s="793">
        <v>2</v>
      </c>
      <c r="B55" s="794" t="s">
        <v>645</v>
      </c>
      <c r="C55" s="795">
        <f ca="1">C13</f>
        <v>2516</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2516</v>
      </c>
      <c r="D56" s="3174"/>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63</v>
      </c>
      <c r="D57" s="25" t="s">
        <v>653</v>
      </c>
      <c r="E57" s="3176"/>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8260</v>
      </c>
      <c r="R57" s="2418" t="s">
        <v>2385</v>
      </c>
    </row>
    <row r="58" spans="1:18" s="2054" customFormat="1" ht="28.5" customHeight="1" thickBot="1">
      <c r="A58" s="1643" t="s">
        <v>1826</v>
      </c>
      <c r="B58" s="780" t="s">
        <v>657</v>
      </c>
      <c r="C58" s="52">
        <f ca="1">ROUND(IF(项目基本情况!B11="自然人",C47*F58,C59+C60+C61),1)</f>
        <v>21.5</v>
      </c>
      <c r="D58" s="3173" t="s">
        <v>658</v>
      </c>
      <c r="E58" s="3174"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174"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21.1</v>
      </c>
      <c r="D60" s="3174"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0.4</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2499.9700000000003</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37.700000000000003</v>
      </c>
      <c r="D63" s="3174" t="s">
        <v>692</v>
      </c>
      <c r="E63" s="780" t="s">
        <v>650</v>
      </c>
      <c r="F63" s="813">
        <f t="shared" ca="1" si="0"/>
        <v>1.4999999999999999E-2</v>
      </c>
      <c r="I63" s="2404" t="s">
        <v>2375</v>
      </c>
      <c r="J63" s="2405">
        <v>70</v>
      </c>
      <c r="K63" s="2405">
        <v>50</v>
      </c>
      <c r="L63" s="2405">
        <v>80</v>
      </c>
      <c r="M63" s="3123">
        <v>0.02</v>
      </c>
      <c r="O63" s="2417" t="s">
        <v>2396</v>
      </c>
      <c r="P63" s="2418" t="s">
        <v>2413</v>
      </c>
      <c r="Q63" s="2419">
        <f ca="1">Q57+Q58</f>
        <v>8260</v>
      </c>
      <c r="R63" s="2422" t="s">
        <v>2397</v>
      </c>
    </row>
    <row r="64" spans="1:18" s="2054" customFormat="1" ht="16.5" thickBot="1">
      <c r="A64" s="1643" t="s">
        <v>1892</v>
      </c>
      <c r="B64" s="780" t="s">
        <v>680</v>
      </c>
      <c r="C64" s="52">
        <f ca="1">ROUND(C55*F64,1)</f>
        <v>3.8</v>
      </c>
      <c r="D64" s="3174"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174"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-63</v>
      </c>
      <c r="D66" s="3173" t="s">
        <v>701</v>
      </c>
      <c r="E66" s="3171"/>
      <c r="F66" s="816"/>
      <c r="K66" s="2081"/>
      <c r="O66" s="2417" t="s">
        <v>2384</v>
      </c>
      <c r="P66" s="2418" t="s">
        <v>2410</v>
      </c>
      <c r="Q66" s="2419">
        <f ca="1">C40+J29</f>
        <v>8260</v>
      </c>
      <c r="R66" s="2418" t="s">
        <v>2385</v>
      </c>
    </row>
    <row r="67" spans="1:18" s="2054" customFormat="1" ht="20.25" thickBot="1">
      <c r="A67" s="777" t="s">
        <v>1782</v>
      </c>
      <c r="B67" s="2227" t="s">
        <v>2305</v>
      </c>
      <c r="C67" s="779">
        <f ca="1">ROUND(C66*(1-((1+F69)/(1+F67))^F68)/(F67-F69),0)</f>
        <v>-1135</v>
      </c>
      <c r="D67" s="810" t="s">
        <v>705</v>
      </c>
      <c r="E67" s="780" t="s">
        <v>706</v>
      </c>
      <c r="F67" s="790">
        <f ca="1">F40</f>
        <v>0.05</v>
      </c>
      <c r="K67" s="2081"/>
      <c r="O67" s="2417" t="s">
        <v>2386</v>
      </c>
      <c r="P67" s="2418" t="s">
        <v>2417</v>
      </c>
      <c r="Q67" s="2419">
        <f ca="1">L60</f>
        <v>0</v>
      </c>
      <c r="R67" s="2422" t="s">
        <v>2419</v>
      </c>
    </row>
    <row r="68" spans="1:18" ht="21.75" thickBot="1">
      <c r="A68" s="782"/>
      <c r="B68" s="783"/>
      <c r="C68" s="784"/>
      <c r="D68" s="817" t="s">
        <v>1810</v>
      </c>
      <c r="E68" s="780" t="s">
        <v>709</v>
      </c>
      <c r="F68" s="818">
        <f ca="1">F41</f>
        <v>47.33</v>
      </c>
      <c r="O68" s="2420" t="s">
        <v>2388</v>
      </c>
      <c r="P68" s="2418" t="s">
        <v>2418</v>
      </c>
      <c r="Q68" s="2424">
        <f ca="1">L51</f>
        <v>2574</v>
      </c>
      <c r="R68" s="2425" t="s">
        <v>2421</v>
      </c>
    </row>
    <row r="69" spans="1:18" ht="20.25" thickBot="1">
      <c r="A69" s="786"/>
      <c r="B69" s="787"/>
      <c r="C69" s="788"/>
      <c r="D69" s="812"/>
      <c r="E69" s="780" t="s">
        <v>711</v>
      </c>
      <c r="F69" s="2366"/>
      <c r="O69" s="2420" t="s">
        <v>2389</v>
      </c>
      <c r="P69" s="2426" t="s">
        <v>2403</v>
      </c>
      <c r="Q69" s="2419">
        <f ca="1">ROUND(Q70-Q71*Q72,0)</f>
        <v>131</v>
      </c>
      <c r="R69" s="2422"/>
    </row>
    <row r="70" spans="1:18" ht="15.75" thickBot="1">
      <c r="A70" s="819" t="s">
        <v>1789</v>
      </c>
      <c r="B70" s="820" t="s">
        <v>1812</v>
      </c>
      <c r="C70" s="821">
        <f ca="1">ROUND(C67*10000/F70,0)</f>
        <v>-1766</v>
      </c>
      <c r="D70" s="822" t="s">
        <v>1813</v>
      </c>
      <c r="E70" s="823" t="s">
        <v>1814</v>
      </c>
      <c r="F70" s="824">
        <f ca="1">F43</f>
        <v>6425.8</v>
      </c>
      <c r="O70" s="2420" t="s">
        <v>2404</v>
      </c>
      <c r="P70" s="2426" t="s">
        <v>2405</v>
      </c>
      <c r="Q70" s="2419">
        <f ca="1">C39</f>
        <v>332</v>
      </c>
      <c r="R70" s="2418" t="s">
        <v>2385</v>
      </c>
    </row>
    <row r="71" spans="1:18" ht="15.75" thickBot="1">
      <c r="O71" s="2420" t="s">
        <v>2406</v>
      </c>
      <c r="P71" s="2426" t="s">
        <v>2407</v>
      </c>
      <c r="Q71" s="2419">
        <f ca="1">C13</f>
        <v>2516</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8260</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2" t="s">
        <v>2478</v>
      </c>
      <c r="B1" s="3783"/>
      <c r="C1" s="3784"/>
      <c r="D1" s="3785">
        <f>SUM(I10,I15,I20,I21,I23)</f>
        <v>0</v>
      </c>
      <c r="E1" s="3785"/>
      <c r="F1" s="3785"/>
      <c r="G1" s="3785"/>
      <c r="H1" s="3785"/>
      <c r="I1" s="3786"/>
    </row>
    <row r="2" spans="1:9">
      <c r="A2" s="3787" t="s">
        <v>2479</v>
      </c>
      <c r="B2" s="3788" t="s">
        <v>2480</v>
      </c>
      <c r="C2" s="3788"/>
      <c r="D2" s="2526" t="s">
        <v>2481</v>
      </c>
      <c r="E2" s="2526" t="s">
        <v>2482</v>
      </c>
      <c r="F2" s="2526" t="s">
        <v>2483</v>
      </c>
      <c r="G2" s="2526" t="s">
        <v>2484</v>
      </c>
      <c r="H2" s="2526" t="s">
        <v>2485</v>
      </c>
      <c r="I2" s="2527" t="s">
        <v>2486</v>
      </c>
    </row>
    <row r="3" spans="1:9">
      <c r="A3" s="3787"/>
      <c r="B3" s="3788" t="s">
        <v>2487</v>
      </c>
      <c r="C3" s="3788"/>
      <c r="D3" s="2528"/>
      <c r="E3" s="2526"/>
      <c r="F3" s="2529"/>
      <c r="G3" s="2529"/>
      <c r="H3" s="2530"/>
      <c r="I3" s="2531">
        <f>ROUND(D3*E3*F3*G3*H3/10000,0)</f>
        <v>0</v>
      </c>
    </row>
    <row r="4" spans="1:9">
      <c r="A4" s="3787"/>
      <c r="B4" s="3788" t="s">
        <v>2488</v>
      </c>
      <c r="C4" s="3788"/>
      <c r="D4" s="2528"/>
      <c r="E4" s="2526"/>
      <c r="F4" s="2529"/>
      <c r="G4" s="2529"/>
      <c r="H4" s="2530"/>
      <c r="I4" s="2531">
        <f t="shared" ref="I4:I9" si="0">ROUND(D4*E4*F4*G4*H4/10000,0)</f>
        <v>0</v>
      </c>
    </row>
    <row r="5" spans="1:9">
      <c r="A5" s="3787"/>
      <c r="B5" s="3788" t="s">
        <v>2489</v>
      </c>
      <c r="C5" s="3788"/>
      <c r="D5" s="2528"/>
      <c r="E5" s="2526"/>
      <c r="F5" s="2529"/>
      <c r="G5" s="2529"/>
      <c r="H5" s="2530"/>
      <c r="I5" s="2531">
        <f t="shared" si="0"/>
        <v>0</v>
      </c>
    </row>
    <row r="6" spans="1:9">
      <c r="A6" s="3787"/>
      <c r="B6" s="3788" t="s">
        <v>2490</v>
      </c>
      <c r="C6" s="3788"/>
      <c r="D6" s="2528"/>
      <c r="E6" s="2526"/>
      <c r="F6" s="2529"/>
      <c r="G6" s="2529"/>
      <c r="H6" s="2530"/>
      <c r="I6" s="2531">
        <f t="shared" si="0"/>
        <v>0</v>
      </c>
    </row>
    <row r="7" spans="1:9">
      <c r="A7" s="3787"/>
      <c r="B7" s="3788" t="s">
        <v>2491</v>
      </c>
      <c r="C7" s="3788"/>
      <c r="D7" s="2528"/>
      <c r="E7" s="2526"/>
      <c r="F7" s="2529"/>
      <c r="G7" s="2529"/>
      <c r="H7" s="2530"/>
      <c r="I7" s="2531">
        <f t="shared" si="0"/>
        <v>0</v>
      </c>
    </row>
    <row r="8" spans="1:9">
      <c r="A8" s="3787"/>
      <c r="B8" s="3788" t="s">
        <v>2492</v>
      </c>
      <c r="C8" s="3788"/>
      <c r="D8" s="2528"/>
      <c r="E8" s="2526"/>
      <c r="F8" s="2529"/>
      <c r="G8" s="2529"/>
      <c r="H8" s="2530"/>
      <c r="I8" s="2531">
        <f t="shared" si="0"/>
        <v>0</v>
      </c>
    </row>
    <row r="9" spans="1:9">
      <c r="A9" s="3787"/>
      <c r="B9" s="3788" t="s">
        <v>2493</v>
      </c>
      <c r="C9" s="3788"/>
      <c r="D9" s="2528"/>
      <c r="E9" s="2526"/>
      <c r="F9" s="2529"/>
      <c r="G9" s="2529"/>
      <c r="H9" s="2530"/>
      <c r="I9" s="2531">
        <f t="shared" si="0"/>
        <v>0</v>
      </c>
    </row>
    <row r="10" spans="1:9">
      <c r="A10" s="3787"/>
      <c r="B10" s="3789" t="s">
        <v>2494</v>
      </c>
      <c r="C10" s="3789"/>
      <c r="D10" s="2532">
        <v>527</v>
      </c>
      <c r="E10" s="2532" t="e">
        <f>ROUND(D1*10000/D10/H9,0)</f>
        <v>#DIV/0!</v>
      </c>
      <c r="F10" s="2533"/>
      <c r="G10" s="2533"/>
      <c r="H10" s="2534"/>
      <c r="I10" s="2535">
        <f>SUM(I3:I9)</f>
        <v>0</v>
      </c>
    </row>
    <row r="11" spans="1:9" ht="14.25">
      <c r="A11" s="3787" t="s">
        <v>2495</v>
      </c>
      <c r="B11" s="3788" t="s">
        <v>2496</v>
      </c>
      <c r="C11" s="3788"/>
      <c r="D11" s="2528" t="s">
        <v>2497</v>
      </c>
      <c r="E11" s="2528" t="s">
        <v>2498</v>
      </c>
      <c r="F11" s="2529" t="s">
        <v>2499</v>
      </c>
      <c r="G11" s="2529" t="s">
        <v>2500</v>
      </c>
      <c r="H11" s="2536" t="s">
        <v>2501</v>
      </c>
      <c r="I11" s="2527" t="s">
        <v>2502</v>
      </c>
    </row>
    <row r="12" spans="1:9">
      <c r="A12" s="3787"/>
      <c r="B12" s="3788" t="s">
        <v>2503</v>
      </c>
      <c r="C12" s="3788"/>
      <c r="D12" s="2528"/>
      <c r="E12" s="2528"/>
      <c r="F12" s="2529"/>
      <c r="G12" s="2530"/>
      <c r="H12" s="2537"/>
      <c r="I12" s="2527">
        <f>ROUND(D12*E12*F12*G12/10000,0)</f>
        <v>0</v>
      </c>
    </row>
    <row r="13" spans="1:9">
      <c r="A13" s="3787"/>
      <c r="B13" s="3788" t="s">
        <v>2504</v>
      </c>
      <c r="C13" s="3788"/>
      <c r="D13" s="2528"/>
      <c r="E13" s="2528"/>
      <c r="F13" s="2529"/>
      <c r="G13" s="2530"/>
      <c r="H13" s="2537"/>
      <c r="I13" s="2527">
        <f>ROUND(D13*E13*F13*G13/10000,0)</f>
        <v>0</v>
      </c>
    </row>
    <row r="14" spans="1:9">
      <c r="A14" s="3787"/>
      <c r="B14" s="3788" t="s">
        <v>2505</v>
      </c>
      <c r="C14" s="3788"/>
      <c r="D14" s="2528"/>
      <c r="E14" s="2528"/>
      <c r="F14" s="2529"/>
      <c r="G14" s="2530"/>
      <c r="H14" s="2537"/>
      <c r="I14" s="2527">
        <f>ROUND(D14*E14*F14*G14/10000,0)</f>
        <v>0</v>
      </c>
    </row>
    <row r="15" spans="1:9">
      <c r="A15" s="3787"/>
      <c r="B15" s="3789" t="s">
        <v>2494</v>
      </c>
      <c r="C15" s="3789"/>
      <c r="D15" s="2532"/>
      <c r="E15" s="2532">
        <f>SUM(E12:E14)</f>
        <v>0</v>
      </c>
      <c r="F15" s="2533"/>
      <c r="G15" s="2530"/>
      <c r="H15" s="2537"/>
      <c r="I15" s="2538">
        <f>SUM(I12:I14)</f>
        <v>0</v>
      </c>
    </row>
    <row r="16" spans="1:9" ht="24">
      <c r="A16" s="3787" t="s">
        <v>2506</v>
      </c>
      <c r="B16" s="3788" t="s">
        <v>2507</v>
      </c>
      <c r="C16" s="3788"/>
      <c r="D16" s="2528" t="s">
        <v>2508</v>
      </c>
      <c r="E16" s="2539" t="s">
        <v>2509</v>
      </c>
      <c r="F16" s="2529" t="s">
        <v>2510</v>
      </c>
      <c r="G16" s="2530" t="s">
        <v>2500</v>
      </c>
      <c r="H16" s="2536" t="s">
        <v>2501</v>
      </c>
      <c r="I16" s="2527" t="s">
        <v>2502</v>
      </c>
    </row>
    <row r="17" spans="1:9" ht="14.25">
      <c r="A17" s="3787"/>
      <c r="B17" s="3788" t="s">
        <v>2511</v>
      </c>
      <c r="C17" s="3788"/>
      <c r="D17" s="2528"/>
      <c r="E17" s="2528"/>
      <c r="F17" s="2529"/>
      <c r="G17" s="2530"/>
      <c r="H17" s="2540"/>
      <c r="I17" s="2541">
        <f>ROUND(D17*E17*F17*G17/10000,0)</f>
        <v>0</v>
      </c>
    </row>
    <row r="18" spans="1:9" ht="14.25">
      <c r="A18" s="3787"/>
      <c r="B18" s="3788" t="s">
        <v>2512</v>
      </c>
      <c r="C18" s="3788"/>
      <c r="D18" s="2528"/>
      <c r="E18" s="2528"/>
      <c r="F18" s="2529"/>
      <c r="G18" s="2530"/>
      <c r="H18" s="2540"/>
      <c r="I18" s="2541">
        <f>ROUND(D18*E18*F18*G18/10000,0)</f>
        <v>0</v>
      </c>
    </row>
    <row r="19" spans="1:9" ht="14.25">
      <c r="A19" s="3787"/>
      <c r="B19" s="3788" t="s">
        <v>2513</v>
      </c>
      <c r="C19" s="3788"/>
      <c r="D19" s="2528"/>
      <c r="E19" s="2528"/>
      <c r="F19" s="2529"/>
      <c r="G19" s="2530"/>
      <c r="H19" s="2540"/>
      <c r="I19" s="2541">
        <f>ROUND(D19*E19*F19*G19/10000,0)</f>
        <v>0</v>
      </c>
    </row>
    <row r="20" spans="1:9">
      <c r="A20" s="3787"/>
      <c r="B20" s="3789" t="s">
        <v>2494</v>
      </c>
      <c r="C20" s="3789"/>
      <c r="D20" s="2532">
        <f>SUM(D17:D19)</f>
        <v>0</v>
      </c>
      <c r="E20" s="2532"/>
      <c r="F20" s="2533"/>
      <c r="G20" s="2530"/>
      <c r="H20" s="2537"/>
      <c r="I20" s="2538">
        <f>SUM(I17:I19)</f>
        <v>0</v>
      </c>
    </row>
    <row r="21" spans="1:9">
      <c r="A21" s="3787" t="s">
        <v>2514</v>
      </c>
      <c r="B21" s="3791"/>
      <c r="C21" s="3791"/>
      <c r="D21" s="3791"/>
      <c r="E21" s="3791"/>
      <c r="F21" s="3791"/>
      <c r="G21" s="3791"/>
      <c r="H21" s="2542">
        <v>0.1</v>
      </c>
      <c r="I21" s="2535">
        <f>ROUND(I10*H21,0)</f>
        <v>0</v>
      </c>
    </row>
    <row r="22" spans="1:9" ht="14.25">
      <c r="A22" s="3792" t="s">
        <v>2515</v>
      </c>
      <c r="B22" s="3793"/>
      <c r="C22" s="3794"/>
      <c r="D22" s="2543" t="s">
        <v>2516</v>
      </c>
      <c r="E22" s="2543" t="s">
        <v>2517</v>
      </c>
      <c r="F22" s="2544" t="s">
        <v>2518</v>
      </c>
      <c r="G22" s="2544" t="s">
        <v>2519</v>
      </c>
      <c r="H22" s="2536" t="s">
        <v>2520</v>
      </c>
      <c r="I22" s="2527" t="s">
        <v>2521</v>
      </c>
    </row>
    <row r="23" spans="1:9" ht="14.25" thickBot="1">
      <c r="A23" s="3795"/>
      <c r="B23" s="3796"/>
      <c r="C23" s="3797"/>
      <c r="D23" s="2545"/>
      <c r="E23" s="2545"/>
      <c r="F23" s="2545"/>
      <c r="G23" s="2546"/>
      <c r="H23" s="2547"/>
      <c r="I23" s="2548">
        <f>ROUND(E23*D23*F23*(1-G23)/10000,0)</f>
        <v>0</v>
      </c>
    </row>
    <row r="26" spans="1:9">
      <c r="A26" s="2549" t="s">
        <v>2522</v>
      </c>
      <c r="B26" s="2549"/>
      <c r="C26" s="2549"/>
      <c r="D26" s="2549"/>
      <c r="E26" s="3798">
        <f>C27-C30-C31-C32</f>
        <v>0</v>
      </c>
      <c r="F26" s="3798"/>
      <c r="G26" s="3798"/>
      <c r="H26" s="3063" t="s">
        <v>2850</v>
      </c>
    </row>
    <row r="27" spans="1:9">
      <c r="A27" s="2550">
        <v>1</v>
      </c>
      <c r="B27" s="2551" t="s">
        <v>2523</v>
      </c>
      <c r="C27" s="2551"/>
      <c r="D27" s="2551"/>
      <c r="E27" s="3799"/>
      <c r="F27" s="3799"/>
      <c r="G27" s="3799"/>
    </row>
    <row r="28" spans="1:9">
      <c r="A28" s="2552" t="s">
        <v>2524</v>
      </c>
      <c r="B28" s="2551" t="s">
        <v>2525</v>
      </c>
      <c r="C28" s="2551"/>
      <c r="D28" s="2551"/>
      <c r="E28" s="3799"/>
      <c r="F28" s="3799"/>
      <c r="G28" s="3799"/>
    </row>
    <row r="29" spans="1:9">
      <c r="A29" s="2552" t="s">
        <v>2526</v>
      </c>
      <c r="B29" s="2551" t="s">
        <v>2466</v>
      </c>
      <c r="C29" s="2551"/>
      <c r="D29" s="2551"/>
      <c r="E29" s="2551" t="s">
        <v>2527</v>
      </c>
      <c r="F29" s="2551"/>
      <c r="G29" s="2551"/>
    </row>
    <row r="30" spans="1:9">
      <c r="A30" s="2550">
        <v>2</v>
      </c>
      <c r="B30" s="2551" t="s">
        <v>2528</v>
      </c>
      <c r="C30" s="2551">
        <f>C27*D30</f>
        <v>0</v>
      </c>
      <c r="D30" s="2553">
        <v>0.2</v>
      </c>
      <c r="E30" s="2551" t="s">
        <v>2529</v>
      </c>
      <c r="F30" s="2551"/>
      <c r="G30" s="2551"/>
    </row>
    <row r="31" spans="1:9">
      <c r="A31" s="2550">
        <v>3</v>
      </c>
      <c r="B31" s="2551" t="s">
        <v>2530</v>
      </c>
      <c r="C31" s="2551">
        <f>C25*D31</f>
        <v>0</v>
      </c>
      <c r="D31" s="2553">
        <v>0.15</v>
      </c>
      <c r="E31" s="2551" t="s">
        <v>2531</v>
      </c>
      <c r="F31" s="2551"/>
      <c r="G31" s="2551"/>
    </row>
    <row r="32" spans="1:9">
      <c r="A32" s="2550">
        <v>4</v>
      </c>
      <c r="B32" s="2551" t="s">
        <v>2532</v>
      </c>
      <c r="C32" s="2551">
        <f>C27*D32</f>
        <v>0</v>
      </c>
      <c r="D32" s="2553">
        <v>0.05</v>
      </c>
      <c r="E32" s="3790"/>
      <c r="F32" s="3790"/>
      <c r="G32" s="3790"/>
    </row>
    <row r="33" spans="1:7" hidden="1">
      <c r="A33" s="3800" t="s">
        <v>2533</v>
      </c>
      <c r="B33" s="3801"/>
      <c r="C33" s="3801"/>
      <c r="D33" s="3802"/>
      <c r="E33" s="3798"/>
      <c r="F33" s="3798"/>
      <c r="G33" s="3798"/>
    </row>
    <row r="34" spans="1:7" hidden="1">
      <c r="A34" s="2554">
        <v>1</v>
      </c>
      <c r="B34" s="2551" t="s">
        <v>2534</v>
      </c>
      <c r="C34" s="2551"/>
      <c r="D34" s="2551"/>
      <c r="E34" s="3799"/>
      <c r="F34" s="3799"/>
      <c r="G34" s="3799"/>
    </row>
    <row r="35" spans="1:7" hidden="1">
      <c r="A35" s="2554">
        <v>2</v>
      </c>
      <c r="B35" s="2551" t="s">
        <v>2535</v>
      </c>
      <c r="C35" s="2551"/>
      <c r="D35" s="2551"/>
      <c r="E35" s="3799"/>
      <c r="F35" s="3799"/>
      <c r="G35" s="3799"/>
    </row>
    <row r="36" spans="1:7" hidden="1">
      <c r="A36" s="2554">
        <v>3</v>
      </c>
      <c r="B36" s="2551" t="s">
        <v>2536</v>
      </c>
      <c r="C36" s="2551"/>
      <c r="D36" s="2551"/>
      <c r="E36" s="3799"/>
      <c r="F36" s="3799"/>
      <c r="G36" s="3799"/>
    </row>
    <row r="37" spans="1:7" hidden="1">
      <c r="A37" s="2554">
        <v>4</v>
      </c>
      <c r="B37" s="2551" t="s">
        <v>2537</v>
      </c>
      <c r="C37" s="2551"/>
      <c r="D37" s="2551"/>
      <c r="E37" s="3799"/>
      <c r="F37" s="3799"/>
      <c r="G37" s="3799"/>
    </row>
    <row r="38" spans="1:7" hidden="1">
      <c r="A38" s="3800" t="s">
        <v>2538</v>
      </c>
      <c r="B38" s="3801"/>
      <c r="C38" s="3801"/>
      <c r="D38" s="3802"/>
      <c r="E38" s="3798"/>
      <c r="F38" s="3798"/>
      <c r="G38" s="37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3"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8">
        <v>1</v>
      </c>
      <c r="B7" s="744" t="s">
        <v>610</v>
      </c>
      <c r="C7" s="745">
        <f>C8+C9</f>
        <v>0</v>
      </c>
      <c r="D7" s="745"/>
      <c r="E7" s="746"/>
      <c r="F7" s="746"/>
      <c r="G7" s="2498"/>
    </row>
    <row r="8" spans="1:25" s="2178" customFormat="1" ht="13.5" customHeight="1">
      <c r="A8" s="2488" t="s">
        <v>2445</v>
      </c>
      <c r="B8" s="2491" t="s">
        <v>2447</v>
      </c>
      <c r="C8" s="2492"/>
      <c r="D8" s="745"/>
      <c r="E8" s="746"/>
      <c r="F8" s="746"/>
      <c r="G8" s="747"/>
    </row>
    <row r="9" spans="1:25" s="2178" customFormat="1" ht="13.5" customHeight="1">
      <c r="A9" s="2488" t="s">
        <v>2446</v>
      </c>
      <c r="B9" s="2491" t="s">
        <v>2448</v>
      </c>
      <c r="C9" s="2492"/>
      <c r="D9" s="745"/>
      <c r="E9" s="746"/>
      <c r="F9" s="746"/>
      <c r="G9" s="747"/>
    </row>
    <row r="10" spans="1:25" s="2178" customFormat="1" ht="36">
      <c r="A10" s="2488">
        <v>2</v>
      </c>
      <c r="B10" s="744" t="s">
        <v>614</v>
      </c>
      <c r="C10" s="745">
        <f>C11+C14+C15</f>
        <v>0</v>
      </c>
      <c r="D10" s="756">
        <f>'数据-汇总表'!E3</f>
        <v>177832.7</v>
      </c>
      <c r="E10" s="745">
        <f>'数据-取费表'!B31</f>
        <v>200</v>
      </c>
      <c r="F10" s="757"/>
      <c r="G10" s="755" t="s">
        <v>615</v>
      </c>
    </row>
    <row r="11" spans="1:25" s="2178" customFormat="1" ht="13.5" customHeight="1">
      <c r="A11" s="2488" t="s">
        <v>2445</v>
      </c>
      <c r="B11" s="748" t="s">
        <v>611</v>
      </c>
      <c r="C11" s="749">
        <f>'数据-取费表'!B29</f>
        <v>0</v>
      </c>
      <c r="D11" s="750"/>
      <c r="E11" s="749"/>
      <c r="F11" s="751"/>
      <c r="G11" s="2497" t="s">
        <v>2456</v>
      </c>
    </row>
    <row r="12" spans="1:25" s="2178" customFormat="1" ht="13.5" customHeight="1">
      <c r="A12" s="2495" t="s">
        <v>2453</v>
      </c>
      <c r="B12" s="752" t="s">
        <v>612</v>
      </c>
      <c r="C12" s="753">
        <f>ROUND(D12*E12/10000,0)</f>
        <v>1146</v>
      </c>
      <c r="D12" s="754">
        <f>'数据-汇总表'!E5</f>
        <v>71612.7</v>
      </c>
      <c r="E12" s="753">
        <f>'数据-取费表'!B27</f>
        <v>160</v>
      </c>
      <c r="F12" s="751"/>
      <c r="G12" s="755"/>
    </row>
    <row r="13" spans="1:25" s="2178" customFormat="1" ht="13.5" customHeight="1">
      <c r="A13" s="2495" t="s">
        <v>2452</v>
      </c>
      <c r="B13" s="752" t="s">
        <v>613</v>
      </c>
      <c r="C13" s="753">
        <f>ROUND(D13*E13/10000,0)</f>
        <v>2124</v>
      </c>
      <c r="D13" s="754">
        <f>'数据-汇总表'!E6</f>
        <v>106220.00000000001</v>
      </c>
      <c r="E13" s="753">
        <f>'数据-取费表'!B28</f>
        <v>200</v>
      </c>
      <c r="F13" s="751"/>
      <c r="G13" s="755"/>
    </row>
    <row r="14" spans="1:25" s="2178" customFormat="1" ht="13.5" customHeight="1">
      <c r="A14" s="2488" t="s">
        <v>2446</v>
      </c>
      <c r="B14" s="2494" t="s">
        <v>2449</v>
      </c>
      <c r="C14" s="2492"/>
      <c r="D14" s="754"/>
      <c r="E14" s="753"/>
      <c r="F14" s="2493"/>
      <c r="G14" s="2496" t="s">
        <v>2454</v>
      </c>
    </row>
    <row r="15" spans="1:25" s="2178" customFormat="1" ht="13.5" customHeight="1">
      <c r="A15" s="2488" t="s">
        <v>2451</v>
      </c>
      <c r="B15" s="2494" t="s">
        <v>2450</v>
      </c>
      <c r="C15" s="2492"/>
      <c r="D15" s="754"/>
      <c r="E15" s="753"/>
      <c r="F15" s="2493"/>
      <c r="G15" s="2496" t="s">
        <v>2455</v>
      </c>
    </row>
    <row r="16" spans="1:25" s="2179" customFormat="1" ht="48">
      <c r="A16" s="2488">
        <v>3</v>
      </c>
      <c r="B16" s="744" t="s">
        <v>616</v>
      </c>
      <c r="C16" s="2492"/>
      <c r="D16" s="756"/>
      <c r="E16" s="745"/>
      <c r="F16" s="757"/>
      <c r="G16" s="755" t="s">
        <v>2457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617</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618</v>
      </c>
      <c r="C18" s="745">
        <f>ROUND((C7+C10+C16)*F18,0)</f>
        <v>0</v>
      </c>
      <c r="D18" s="758"/>
      <c r="E18" s="759"/>
      <c r="F18" s="757">
        <f>'数据-取费表'!Q16</f>
        <v>0.06</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622</v>
      </c>
      <c r="C20" s="745">
        <f ca="1">ROUND(C19*F20,0)</f>
        <v>0</v>
      </c>
      <c r="D20" s="756"/>
      <c r="E20" s="745"/>
      <c r="F20" s="1345"/>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626</v>
      </c>
      <c r="C22" s="745">
        <f ca="1">ROUND(C21*F22,0)</f>
        <v>0</v>
      </c>
      <c r="D22" s="756"/>
      <c r="E22" s="745"/>
      <c r="F22" s="762">
        <f>'数据-取费表'!AP16</f>
        <v>0.90900000000000003</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2642" t="s">
        <v>720</v>
      </c>
      <c r="C1" s="2643" t="s">
        <v>721</v>
      </c>
      <c r="D1" s="2644"/>
      <c r="E1" s="2645"/>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8" customFormat="1" ht="28.5" customHeight="1">
      <c r="A2" s="419" t="s">
        <v>467</v>
      </c>
      <c r="B2" s="2641" t="e">
        <f>ROUND(B3*D3/10000,0)</f>
        <v>#DIV/0!</v>
      </c>
      <c r="C2" s="2122"/>
      <c r="D2" s="2122"/>
      <c r="E2" s="2122"/>
      <c r="F2" s="2196"/>
      <c r="G2" s="2122"/>
      <c r="H2" s="2122"/>
      <c r="I2" s="2122"/>
      <c r="J2" s="2122"/>
      <c r="K2" s="2197"/>
      <c r="L2" s="2198"/>
      <c r="M2" s="2199"/>
      <c r="N2" s="2199"/>
      <c r="O2" s="2199"/>
      <c r="P2" s="1596"/>
      <c r="Q2" s="1596"/>
      <c r="R2" s="1596"/>
      <c r="S2" s="1596"/>
      <c r="T2" s="1596"/>
      <c r="U2" s="1596"/>
      <c r="V2" s="1596"/>
      <c r="W2" s="1596"/>
      <c r="X2" s="1596"/>
      <c r="Y2" s="1596"/>
      <c r="Z2" s="1596"/>
      <c r="AA2" s="1596"/>
      <c r="AB2" s="1596"/>
      <c r="AC2" s="1597"/>
    </row>
    <row r="3" spans="1:29" s="1358" customFormat="1" ht="28.5" customHeight="1" thickBot="1">
      <c r="A3" s="505" t="s">
        <v>520</v>
      </c>
      <c r="B3" s="847" t="e">
        <f>C49</f>
        <v>#DIV/0!</v>
      </c>
      <c r="C3" s="848" t="s">
        <v>723</v>
      </c>
      <c r="D3" s="847">
        <f>SUMIF('数据-汇总表'!$C19:$C33,D1,'数据-汇总表'!$E19:$E33)</f>
        <v>0</v>
      </c>
      <c r="E3" s="2122"/>
      <c r="F3" s="2196"/>
      <c r="G3" s="2122"/>
      <c r="H3" s="2122"/>
      <c r="I3" s="2122"/>
      <c r="J3" s="2122"/>
      <c r="K3" s="2197"/>
      <c r="L3" s="2198"/>
      <c r="M3" s="2199"/>
      <c r="N3" s="2199"/>
      <c r="O3" s="2199"/>
      <c r="P3" s="1596"/>
      <c r="Q3" s="1596"/>
      <c r="R3" s="1596"/>
      <c r="S3" s="1596"/>
      <c r="T3" s="1596"/>
      <c r="U3" s="1596"/>
      <c r="V3" s="1596"/>
      <c r="W3" s="1596"/>
      <c r="X3" s="1596"/>
      <c r="Y3" s="1596"/>
      <c r="Z3" s="1596"/>
      <c r="AA3" s="1596"/>
      <c r="AB3" s="1596"/>
      <c r="AC3" s="1598"/>
    </row>
    <row r="4" spans="1:29" ht="15">
      <c r="A4" s="508" t="s">
        <v>522</v>
      </c>
      <c r="B4" s="509"/>
      <c r="C4" s="3707" t="s">
        <v>523</v>
      </c>
      <c r="D4" s="3708"/>
      <c r="E4" s="3741" t="s">
        <v>524</v>
      </c>
      <c r="F4" s="3742"/>
      <c r="G4" s="3707" t="s">
        <v>525</v>
      </c>
      <c r="H4" s="3708"/>
      <c r="I4" s="3707" t="s">
        <v>526</v>
      </c>
      <c r="J4" s="3708"/>
      <c r="K4" s="849" t="s">
        <v>527</v>
      </c>
      <c r="L4" s="2128"/>
      <c r="M4" s="2129"/>
      <c r="N4" s="2129"/>
      <c r="O4" s="2129"/>
      <c r="P4" s="3709" t="s">
        <v>528</v>
      </c>
      <c r="Q4" s="3710"/>
      <c r="R4" s="3715" t="s">
        <v>524</v>
      </c>
      <c r="S4" s="3716"/>
      <c r="T4" s="3715" t="s">
        <v>525</v>
      </c>
      <c r="U4" s="3716"/>
      <c r="V4" s="3702" t="s">
        <v>526</v>
      </c>
      <c r="W4" s="3702"/>
      <c r="X4" s="1561"/>
      <c r="Y4" s="3715" t="s">
        <v>528</v>
      </c>
      <c r="Z4" s="3716"/>
      <c r="AA4" s="3704" t="s">
        <v>524</v>
      </c>
      <c r="AB4" s="3704" t="s">
        <v>525</v>
      </c>
      <c r="AC4" s="3704" t="s">
        <v>526</v>
      </c>
    </row>
    <row r="5" spans="1:29" ht="15">
      <c r="A5" s="511"/>
      <c r="B5" s="512"/>
      <c r="C5" s="3723" t="s">
        <v>2932</v>
      </c>
      <c r="D5" s="3724"/>
      <c r="E5" s="3743" t="s">
        <v>2933</v>
      </c>
      <c r="F5" s="3744"/>
      <c r="G5" s="3723" t="s">
        <v>2934</v>
      </c>
      <c r="H5" s="3724"/>
      <c r="I5" s="3723" t="s">
        <v>2935</v>
      </c>
      <c r="J5" s="3724"/>
      <c r="K5" s="850"/>
      <c r="L5" s="2128"/>
      <c r="M5" s="2129"/>
      <c r="N5" s="2129"/>
      <c r="O5" s="2129"/>
      <c r="P5" s="3711"/>
      <c r="Q5" s="3712"/>
      <c r="R5" s="3717"/>
      <c r="S5" s="3718"/>
      <c r="T5" s="3717"/>
      <c r="U5" s="3718"/>
      <c r="V5" s="3702"/>
      <c r="W5" s="3702"/>
      <c r="X5" s="1561"/>
      <c r="Y5" s="3717"/>
      <c r="Z5" s="3718"/>
      <c r="AA5" s="3705"/>
      <c r="AB5" s="3705"/>
      <c r="AC5" s="3705"/>
    </row>
    <row r="6" spans="1:29" ht="15.75" thickBot="1">
      <c r="A6" s="513"/>
      <c r="B6" s="514"/>
      <c r="C6" s="3721" t="s">
        <v>2936</v>
      </c>
      <c r="D6" s="3722"/>
      <c r="E6" s="3739" t="s">
        <v>2936</v>
      </c>
      <c r="F6" s="3740"/>
      <c r="G6" s="3721" t="s">
        <v>2936</v>
      </c>
      <c r="H6" s="3722"/>
      <c r="I6" s="3721" t="s">
        <v>2936</v>
      </c>
      <c r="J6" s="3722"/>
      <c r="K6" s="850" t="s">
        <v>529</v>
      </c>
      <c r="L6" s="2128"/>
      <c r="M6" s="2129"/>
      <c r="N6" s="2129"/>
      <c r="O6" s="2129"/>
      <c r="P6" s="3713"/>
      <c r="Q6" s="3714"/>
      <c r="R6" s="3717"/>
      <c r="S6" s="3718"/>
      <c r="T6" s="3719"/>
      <c r="U6" s="3720"/>
      <c r="V6" s="3702"/>
      <c r="W6" s="3702"/>
      <c r="X6" s="1561"/>
      <c r="Y6" s="3719"/>
      <c r="Z6" s="3720"/>
      <c r="AA6" s="3706"/>
      <c r="AB6" s="3706"/>
      <c r="AC6" s="3706"/>
    </row>
    <row r="7" spans="1:29" s="1216" customFormat="1" ht="15.75" thickBot="1">
      <c r="A7" s="2932"/>
      <c r="B7" s="2939" t="s">
        <v>530</v>
      </c>
      <c r="C7" s="515">
        <f>'数据-取费表'!B2</f>
        <v>43133</v>
      </c>
      <c r="D7" s="516">
        <v>100</v>
      </c>
      <c r="E7" s="517"/>
      <c r="F7" s="518">
        <f>SUMIF(58:58,YEAR(E7)&amp;"-"&amp;MONTH(E7),59:59)</f>
        <v>0</v>
      </c>
      <c r="G7" s="519"/>
      <c r="H7" s="516">
        <f>SUMIF(58:58,YEAR(G7)&amp;"-"&amp;MONTH(G7),59:59)</f>
        <v>0</v>
      </c>
      <c r="I7" s="519"/>
      <c r="J7" s="516">
        <f>SUMIF(58:58,YEAR(I7)&amp;"-"&amp;MONTH(I7),59:59)</f>
        <v>0</v>
      </c>
      <c r="K7" s="851"/>
      <c r="L7" s="2130"/>
      <c r="M7" s="2131"/>
      <c r="N7" s="2131"/>
      <c r="O7" s="2131"/>
      <c r="P7" s="3732" t="s">
        <v>531</v>
      </c>
      <c r="Q7" s="3734"/>
      <c r="R7" s="1562" t="s">
        <v>13</v>
      </c>
      <c r="S7" s="1563">
        <f t="shared" ref="S7:S15" si="0">F7</f>
        <v>0</v>
      </c>
      <c r="T7" s="1562" t="s">
        <v>13</v>
      </c>
      <c r="U7" s="1563">
        <f t="shared" ref="U7:U15" si="1">H7</f>
        <v>0</v>
      </c>
      <c r="V7" s="1562" t="s">
        <v>13</v>
      </c>
      <c r="W7" s="1563">
        <f t="shared" ref="W7:W15"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852"/>
      <c r="F8" s="518">
        <f>SUMIF(61:61,E8,62:62)-SUMIF(61:61,C8,62:62)+100</f>
        <v>0</v>
      </c>
      <c r="G8" s="521"/>
      <c r="H8" s="516">
        <f>SUMIF(61:61,G8,62:62)-SUMIF(61:61,C8,62:62)+100</f>
        <v>0</v>
      </c>
      <c r="I8" s="852"/>
      <c r="J8" s="516">
        <f>SUMIF(61:61,I8,62:62)-SUMIF(61:61,C8,62:62)+100</f>
        <v>0</v>
      </c>
      <c r="K8" s="851"/>
      <c r="L8" s="2130"/>
      <c r="M8" s="2131"/>
      <c r="N8" s="2131"/>
      <c r="O8" s="2131"/>
      <c r="P8" s="3732" t="s">
        <v>534</v>
      </c>
      <c r="Q8" s="3733"/>
      <c r="R8" s="1562" t="s">
        <v>13</v>
      </c>
      <c r="S8" s="1563">
        <f t="shared" si="0"/>
        <v>0</v>
      </c>
      <c r="T8" s="1562" t="s">
        <v>13</v>
      </c>
      <c r="U8" s="1563">
        <f t="shared" si="1"/>
        <v>0</v>
      </c>
      <c r="V8" s="1562" t="s">
        <v>13</v>
      </c>
      <c r="W8" s="1563">
        <f t="shared" si="2"/>
        <v>0</v>
      </c>
      <c r="X8" s="1564"/>
      <c r="Y8" s="3732" t="s">
        <v>534</v>
      </c>
      <c r="Z8" s="3733"/>
      <c r="AA8" s="1565" t="e">
        <f t="shared" ref="AA8:AA46" si="3">D8/F8</f>
        <v>#DIV/0!</v>
      </c>
      <c r="AB8" s="1565" t="e">
        <f t="shared" ref="AB8:AB46" si="4">D8/H8</f>
        <v>#DIV/0!</v>
      </c>
      <c r="AC8" s="1565" t="e">
        <f t="shared" ref="AC8:AC46" si="5">D8/J8</f>
        <v>#DIV/0!</v>
      </c>
    </row>
    <row r="9" spans="1:29" s="1216" customFormat="1" ht="15">
      <c r="A9" s="2934"/>
      <c r="B9" s="2941" t="s">
        <v>2763</v>
      </c>
      <c r="C9" s="853"/>
      <c r="D9" s="250">
        <v>100</v>
      </c>
      <c r="E9" s="854"/>
      <c r="F9" s="855">
        <f>SUMIF(63:63,E9,64:64)-SUMIF(63:63,C9,64:64)+100</f>
        <v>100</v>
      </c>
      <c r="G9" s="856"/>
      <c r="H9" s="250">
        <f>SUMIF(63:63,G9,64:64)-SUMIF(63:63,C9,64:64)+100</f>
        <v>100</v>
      </c>
      <c r="I9" s="856"/>
      <c r="J9" s="250">
        <f>SUMIF(63:63,I9,64:64)-SUMIF(63:63,C9,64:64)+100</f>
        <v>100</v>
      </c>
      <c r="K9" s="851"/>
      <c r="L9" s="2130"/>
      <c r="M9" s="2131"/>
      <c r="N9" s="2131"/>
      <c r="O9" s="2132"/>
      <c r="P9" s="3701" t="s">
        <v>536</v>
      </c>
      <c r="Q9" s="1147" t="str">
        <f t="shared" ref="Q9:Q15" si="6">B9</f>
        <v>用途</v>
      </c>
      <c r="R9" s="1562" t="s">
        <v>8</v>
      </c>
      <c r="S9" s="1563">
        <f t="shared" si="0"/>
        <v>100</v>
      </c>
      <c r="T9" s="1562" t="s">
        <v>8</v>
      </c>
      <c r="U9" s="1563">
        <f t="shared" si="1"/>
        <v>100</v>
      </c>
      <c r="V9" s="1562" t="s">
        <v>8</v>
      </c>
      <c r="W9" s="1563">
        <f t="shared" si="2"/>
        <v>100</v>
      </c>
      <c r="X9" s="1564"/>
      <c r="Y9" s="3643"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8"/>
      <c r="F10" s="859">
        <f>SUMIF(65:65,E10,66:66)-SUMIF(65:65,C10,66:66)+100</f>
        <v>100</v>
      </c>
      <c r="G10" s="857"/>
      <c r="H10" s="251">
        <f>SUMIF(65:65,G10,66:66)-SUMIF(65:65,C10,66:66)+100</f>
        <v>100</v>
      </c>
      <c r="I10" s="857"/>
      <c r="J10" s="251">
        <f>SUMIF(65:65,I10,66:66)-SUMIF(65:65,C10,66:66)+100</f>
        <v>100</v>
      </c>
      <c r="K10" s="860"/>
      <c r="L10" s="2133"/>
      <c r="M10" s="2173"/>
      <c r="N10" s="2173"/>
      <c r="O10" s="2134"/>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6"/>
      <c r="B11" s="2940" t="s">
        <v>2765</v>
      </c>
      <c r="C11" s="529"/>
      <c r="D11" s="251">
        <v>100</v>
      </c>
      <c r="E11" s="530"/>
      <c r="F11" s="859" t="e">
        <f>LOOKUP(E11,68:68,69:69)-LOOKUP(C11,68:68,69:69)+100</f>
        <v>#N/A</v>
      </c>
      <c r="G11" s="529"/>
      <c r="H11" s="251" t="e">
        <f>LOOKUP(G11,68:68,69:69)-LOOKUP(C11,68:68,69:69)+100</f>
        <v>#N/A</v>
      </c>
      <c r="I11" s="529"/>
      <c r="J11" s="251" t="e">
        <f>LOOKUP(I11,68:68,69:69)-LOOKUP(C11,68:68,69:69)+100</f>
        <v>#N/A</v>
      </c>
      <c r="K11" s="860"/>
      <c r="L11" s="2135"/>
      <c r="M11" s="2129"/>
      <c r="N11" s="2129"/>
      <c r="O11" s="2136"/>
      <c r="P11" s="3701"/>
      <c r="Q11" s="1147" t="str">
        <f t="shared" si="6"/>
        <v>容积率</v>
      </c>
      <c r="R11" s="1562" t="s">
        <v>11</v>
      </c>
      <c r="S11" s="1563" t="e">
        <f t="shared" si="0"/>
        <v>#N/A</v>
      </c>
      <c r="T11" s="1562" t="s">
        <v>11</v>
      </c>
      <c r="U11" s="1563" t="e">
        <f t="shared" si="1"/>
        <v>#N/A</v>
      </c>
      <c r="V11" s="1562" t="s">
        <v>11</v>
      </c>
      <c r="W11" s="1563" t="e">
        <f t="shared" si="2"/>
        <v>#N/A</v>
      </c>
      <c r="X11" s="1564"/>
      <c r="Y11" s="3643"/>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701"/>
      <c r="Q12" s="1147">
        <f t="shared" si="6"/>
        <v>111</v>
      </c>
      <c r="R12" s="1562" t="s">
        <v>11</v>
      </c>
      <c r="S12" s="1563">
        <f t="shared" si="0"/>
        <v>100</v>
      </c>
      <c r="T12" s="1562" t="s">
        <v>11</v>
      </c>
      <c r="U12" s="1563">
        <f t="shared" si="1"/>
        <v>100</v>
      </c>
      <c r="V12" s="1562" t="s">
        <v>11</v>
      </c>
      <c r="W12" s="1563">
        <f t="shared" si="2"/>
        <v>100</v>
      </c>
      <c r="X12" s="1564"/>
      <c r="Y12" s="3643"/>
      <c r="Z12" s="1146">
        <f t="shared" si="7"/>
        <v>111</v>
      </c>
      <c r="AA12" s="1565">
        <f>D12/F12</f>
        <v>1</v>
      </c>
      <c r="AB12" s="1565">
        <f>D12/H12</f>
        <v>1</v>
      </c>
      <c r="AC12" s="1565">
        <f>D12/J12</f>
        <v>1</v>
      </c>
    </row>
    <row r="13" spans="1:29" ht="15">
      <c r="A13" s="2937"/>
      <c r="B13" s="2943">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701"/>
      <c r="Q13" s="1147">
        <f t="shared" si="6"/>
        <v>111</v>
      </c>
      <c r="R13" s="1562" t="s">
        <v>11</v>
      </c>
      <c r="S13" s="1563">
        <f t="shared" si="0"/>
        <v>100</v>
      </c>
      <c r="T13" s="1562" t="s">
        <v>11</v>
      </c>
      <c r="U13" s="1563">
        <f t="shared" si="1"/>
        <v>100</v>
      </c>
      <c r="V13" s="1562" t="s">
        <v>11</v>
      </c>
      <c r="W13" s="1563">
        <f t="shared" si="2"/>
        <v>100</v>
      </c>
      <c r="X13" s="1564"/>
      <c r="Y13" s="3643"/>
      <c r="Z13" s="1146">
        <f t="shared" si="7"/>
        <v>111</v>
      </c>
      <c r="AA13" s="1565">
        <f t="shared" si="3"/>
        <v>1</v>
      </c>
      <c r="AB13" s="1565">
        <f t="shared" si="4"/>
        <v>1</v>
      </c>
      <c r="AC13" s="1565">
        <f t="shared" si="5"/>
        <v>1</v>
      </c>
    </row>
    <row r="14" spans="1:29" ht="15.75" thickBot="1">
      <c r="A14" s="2938"/>
      <c r="B14" s="2944">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701"/>
      <c r="Q14" s="1147">
        <f t="shared" si="6"/>
        <v>111</v>
      </c>
      <c r="R14" s="1562" t="s">
        <v>11</v>
      </c>
      <c r="S14" s="1563">
        <f t="shared" si="0"/>
        <v>100</v>
      </c>
      <c r="T14" s="1562" t="s">
        <v>11</v>
      </c>
      <c r="U14" s="1563">
        <f t="shared" si="1"/>
        <v>100</v>
      </c>
      <c r="V14" s="1562" t="s">
        <v>11</v>
      </c>
      <c r="W14" s="1563">
        <f t="shared" si="2"/>
        <v>100</v>
      </c>
      <c r="X14" s="1564"/>
      <c r="Y14" s="3643"/>
      <c r="Z14" s="1146">
        <f t="shared" si="7"/>
        <v>111</v>
      </c>
      <c r="AA14" s="1565">
        <f t="shared" si="3"/>
        <v>1</v>
      </c>
      <c r="AB14" s="1565">
        <f t="shared" si="4"/>
        <v>1</v>
      </c>
      <c r="AC14" s="1565">
        <f t="shared" si="5"/>
        <v>1</v>
      </c>
    </row>
    <row r="15" spans="1:29" ht="128.25">
      <c r="A15" s="2930" t="s">
        <v>2761</v>
      </c>
      <c r="B15" s="165" t="s">
        <v>295</v>
      </c>
      <c r="C15" s="863" t="str">
        <f>估价对象房地状况!C3</f>
        <v>估价对象周边居住用地比例较高、居住小区规模和社区发展完善程度较好，有远洋一方、管庄新村等多个项目、综合评价居住社区成熟度较好</v>
      </c>
      <c r="D15" s="545">
        <v>100</v>
      </c>
      <c r="E15" s="546"/>
      <c r="F15" s="547">
        <f>SUMIF(76:76,E16,77:77)-SUMIF(76:76,C16,77:77)+100</f>
        <v>100</v>
      </c>
      <c r="G15" s="548"/>
      <c r="H15" s="545">
        <f>SUMIF(76:76,G16,77:77)-SUMIF(76:76,C16,77:77)+100</f>
        <v>100</v>
      </c>
      <c r="I15" s="546"/>
      <c r="J15" s="545">
        <f>SUMIF(76:76,I16,77:77)-SUMIF(76:76,C16,77:77)+100</f>
        <v>100</v>
      </c>
      <c r="K15" s="864"/>
      <c r="L15" s="2137"/>
      <c r="M15" s="2129"/>
      <c r="N15" s="2129"/>
      <c r="O15" s="2136"/>
      <c r="P15" s="3735" t="s">
        <v>541</v>
      </c>
      <c r="Q15" s="1566" t="str">
        <f t="shared" si="6"/>
        <v>居住社区成熟度</v>
      </c>
      <c r="R15" s="1567" t="s">
        <v>11</v>
      </c>
      <c r="S15" s="1568">
        <f t="shared" si="0"/>
        <v>100</v>
      </c>
      <c r="T15" s="1567" t="s">
        <v>11</v>
      </c>
      <c r="U15" s="1568">
        <f t="shared" si="1"/>
        <v>100</v>
      </c>
      <c r="V15" s="1567" t="s">
        <v>11</v>
      </c>
      <c r="W15" s="1568">
        <f t="shared" si="2"/>
        <v>100</v>
      </c>
      <c r="X15" s="1561"/>
      <c r="Y15" s="3735" t="s">
        <v>541</v>
      </c>
      <c r="Z15" s="1569" t="str">
        <f t="shared" si="7"/>
        <v>居住社区成熟度</v>
      </c>
      <c r="AA15" s="1570">
        <f t="shared" si="3"/>
        <v>1</v>
      </c>
      <c r="AB15" s="1570">
        <f t="shared" si="4"/>
        <v>1</v>
      </c>
      <c r="AC15" s="1570">
        <f t="shared" si="5"/>
        <v>1</v>
      </c>
    </row>
    <row r="16" spans="1:29" ht="15">
      <c r="A16" s="528"/>
      <c r="B16" s="865"/>
      <c r="C16" s="572"/>
      <c r="D16" s="551"/>
      <c r="E16" s="552"/>
      <c r="F16" s="553"/>
      <c r="G16" s="554"/>
      <c r="H16" s="555"/>
      <c r="I16" s="552"/>
      <c r="J16" s="551"/>
      <c r="K16" s="866"/>
      <c r="L16" s="2137"/>
      <c r="M16" s="2129"/>
      <c r="N16" s="2129"/>
      <c r="O16" s="2136"/>
      <c r="P16" s="3736"/>
      <c r="Q16" s="1566"/>
      <c r="R16" s="1567"/>
      <c r="S16" s="1568"/>
      <c r="T16" s="1567"/>
      <c r="U16" s="1568"/>
      <c r="V16" s="1567"/>
      <c r="W16" s="1568"/>
      <c r="X16" s="1561"/>
      <c r="Y16" s="3736"/>
      <c r="Z16" s="1569"/>
      <c r="AA16" s="1570">
        <v>1</v>
      </c>
      <c r="AB16" s="1570">
        <v>1</v>
      </c>
      <c r="AC16" s="1570">
        <v>1</v>
      </c>
    </row>
    <row r="17" spans="1:29" ht="142.5">
      <c r="A17" s="528"/>
      <c r="B17" s="867" t="s">
        <v>296</v>
      </c>
      <c r="C17" s="868" t="str">
        <f>估价对象房地状况!C6</f>
        <v>估价对象周边道路状况较好、公共交通通达情况一般、停车便捷程度较好，有364、532、690路等公交线路及地铁八通线，综合评价交通便捷度一般</v>
      </c>
      <c r="D17" s="555">
        <v>100</v>
      </c>
      <c r="E17" s="558"/>
      <c r="F17" s="559">
        <f>SUMIF(78:78,E18,79:79)-SUMIF(78:78,C18,79:79)+100</f>
        <v>100</v>
      </c>
      <c r="G17" s="560"/>
      <c r="H17" s="561">
        <f>SUMIF(78:78,G18,79:79)-SUMIF(78:78,C18,79:79)+100</f>
        <v>100</v>
      </c>
      <c r="I17" s="558"/>
      <c r="J17" s="561">
        <f>SUMIF(78:78,I18,79:79)-SUMIF(78:78,C18,79:79)+100</f>
        <v>100</v>
      </c>
      <c r="K17" s="864"/>
      <c r="L17" s="2137"/>
      <c r="M17" s="2129"/>
      <c r="N17" s="2129"/>
      <c r="O17" s="2136"/>
      <c r="P17" s="3736"/>
      <c r="Q17" s="1566" t="str">
        <f>B17</f>
        <v>交通便捷度</v>
      </c>
      <c r="R17" s="1567" t="s">
        <v>11</v>
      </c>
      <c r="S17" s="1568">
        <f>F17</f>
        <v>100</v>
      </c>
      <c r="T17" s="1567" t="s">
        <v>11</v>
      </c>
      <c r="U17" s="1568">
        <f>H17</f>
        <v>100</v>
      </c>
      <c r="V17" s="1567" t="s">
        <v>11</v>
      </c>
      <c r="W17" s="1568">
        <f>J17</f>
        <v>100</v>
      </c>
      <c r="X17" s="1561"/>
      <c r="Y17" s="3736"/>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66"/>
      <c r="L18" s="2137"/>
      <c r="M18" s="2129"/>
      <c r="N18" s="2129"/>
      <c r="O18" s="2136"/>
      <c r="P18" s="3736"/>
      <c r="Q18" s="1566"/>
      <c r="R18" s="1567"/>
      <c r="S18" s="1568"/>
      <c r="T18" s="1567"/>
      <c r="U18" s="1568"/>
      <c r="V18" s="1567"/>
      <c r="W18" s="1568"/>
      <c r="X18" s="1561"/>
      <c r="Y18" s="3736"/>
      <c r="Z18" s="1569"/>
      <c r="AA18" s="1570">
        <v>1</v>
      </c>
      <c r="AB18" s="1570">
        <v>1</v>
      </c>
      <c r="AC18" s="1570">
        <v>1</v>
      </c>
    </row>
    <row r="19" spans="1:29" ht="42.75">
      <c r="A19" s="528"/>
      <c r="B19" s="2619" t="s">
        <v>2553</v>
      </c>
      <c r="C19" s="868" t="str">
        <f>估价对象房地状况!C7</f>
        <v>估价对象所在区域公共配套设施齐备情况较好</v>
      </c>
      <c r="D19" s="561">
        <v>100</v>
      </c>
      <c r="E19" s="566"/>
      <c r="F19" s="567">
        <f>SUMIF(80:80,E20,81:81)-SUMIF(80:80,C20,81:81)+100</f>
        <v>100</v>
      </c>
      <c r="G19" s="568"/>
      <c r="H19" s="555">
        <f>SUMIF(80:80,G20,81:81)-SUMIF(80:80,C20,81:81)+100</f>
        <v>100</v>
      </c>
      <c r="I19" s="566"/>
      <c r="J19" s="555">
        <f>SUMIF(80:80,I20,81:81)-SUMIF(80:80,C20,81:81)+100</f>
        <v>100</v>
      </c>
      <c r="K19" s="864"/>
      <c r="L19" s="2137"/>
      <c r="M19" s="2129"/>
      <c r="N19" s="2129"/>
      <c r="O19" s="2136"/>
      <c r="P19" s="3736"/>
      <c r="Q19" s="1566" t="str">
        <f>B19</f>
        <v>公共配套设施</v>
      </c>
      <c r="R19" s="1567" t="s">
        <v>11</v>
      </c>
      <c r="S19" s="1568">
        <f>F19</f>
        <v>100</v>
      </c>
      <c r="T19" s="1567" t="s">
        <v>11</v>
      </c>
      <c r="U19" s="1568">
        <f>H19</f>
        <v>100</v>
      </c>
      <c r="V19" s="1567" t="s">
        <v>11</v>
      </c>
      <c r="W19" s="1568">
        <f>J19</f>
        <v>100</v>
      </c>
      <c r="X19" s="1561"/>
      <c r="Y19" s="3736"/>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66"/>
      <c r="L20" s="2137"/>
      <c r="M20" s="2129"/>
      <c r="N20" s="2129"/>
      <c r="O20" s="2136"/>
      <c r="P20" s="3736"/>
      <c r="Q20" s="1566"/>
      <c r="R20" s="1567"/>
      <c r="S20" s="1568"/>
      <c r="T20" s="1567"/>
      <c r="U20" s="1568"/>
      <c r="V20" s="1567"/>
      <c r="W20" s="1568"/>
      <c r="X20" s="1561"/>
      <c r="Y20" s="3736"/>
      <c r="Z20" s="1569"/>
      <c r="AA20" s="1570">
        <v>1</v>
      </c>
      <c r="AB20" s="1570">
        <v>1</v>
      </c>
      <c r="AC20" s="1570">
        <v>1</v>
      </c>
    </row>
    <row r="21" spans="1:29" ht="15">
      <c r="A21" s="528"/>
      <c r="B21" s="2612" t="s">
        <v>2565</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64"/>
      <c r="L21" s="2137"/>
      <c r="M21" s="2129"/>
      <c r="N21" s="2129"/>
      <c r="O21" s="2136"/>
      <c r="P21" s="3736"/>
      <c r="Q21" s="2598" t="str">
        <f>B21</f>
        <v>基础设施水平</v>
      </c>
      <c r="R21" s="1567" t="s">
        <v>11</v>
      </c>
      <c r="S21" s="1568">
        <f>F21</f>
        <v>100</v>
      </c>
      <c r="T21" s="1567" t="s">
        <v>11</v>
      </c>
      <c r="U21" s="1568">
        <f>H21</f>
        <v>100</v>
      </c>
      <c r="V21" s="1567" t="s">
        <v>11</v>
      </c>
      <c r="W21" s="1568">
        <f>J21</f>
        <v>100</v>
      </c>
      <c r="X21" s="2600"/>
      <c r="Y21" s="3736"/>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18"/>
      <c r="L22" s="2137"/>
      <c r="M22" s="2129"/>
      <c r="N22" s="2129"/>
      <c r="O22" s="2136"/>
      <c r="P22" s="3736"/>
      <c r="Q22" s="2598"/>
      <c r="R22" s="1567"/>
      <c r="S22" s="1568"/>
      <c r="T22" s="1567"/>
      <c r="U22" s="1568"/>
      <c r="V22" s="1567"/>
      <c r="W22" s="1568"/>
      <c r="X22" s="2600"/>
      <c r="Y22" s="3736"/>
      <c r="Z22" s="2599"/>
      <c r="AA22" s="1570">
        <v>1</v>
      </c>
      <c r="AB22" s="1570">
        <v>1</v>
      </c>
      <c r="AC22" s="1570">
        <v>1</v>
      </c>
    </row>
    <row r="23" spans="1:29" ht="99.75">
      <c r="A23" s="528"/>
      <c r="B23" s="867" t="s">
        <v>297</v>
      </c>
      <c r="C23" s="868" t="str">
        <f>估价对象房地状况!C9</f>
        <v>区域自然环境：八里桥音乐主题公园、西汇公园、金田公园等；人文环境；综合评价环境状况较好</v>
      </c>
      <c r="D23" s="555">
        <v>100</v>
      </c>
      <c r="E23" s="558"/>
      <c r="F23" s="559">
        <f>SUMIF(84:84,E24,85:85)-SUMIF(84:84,C24,85:85)+100</f>
        <v>100</v>
      </c>
      <c r="G23" s="560"/>
      <c r="H23" s="555">
        <f>SUMIF(84:84,G24,85:85)-SUMIF(84:84,C24,85:85)+100</f>
        <v>100</v>
      </c>
      <c r="I23" s="558"/>
      <c r="J23" s="555">
        <f>SUMIF(84:84,I24,85:85)-SUMIF(84:84,C24,85:85)+100</f>
        <v>100</v>
      </c>
      <c r="K23" s="864"/>
      <c r="L23" s="2137"/>
      <c r="M23" s="2129"/>
      <c r="N23" s="2129"/>
      <c r="O23" s="2136"/>
      <c r="P23" s="3736"/>
      <c r="Q23" s="1566" t="str">
        <f>B23</f>
        <v>自然及人文环境</v>
      </c>
      <c r="R23" s="1567" t="s">
        <v>11</v>
      </c>
      <c r="S23" s="1568">
        <f>F23</f>
        <v>100</v>
      </c>
      <c r="T23" s="1567" t="s">
        <v>11</v>
      </c>
      <c r="U23" s="1568">
        <f>H23</f>
        <v>100</v>
      </c>
      <c r="V23" s="1567" t="s">
        <v>11</v>
      </c>
      <c r="W23" s="1568">
        <f>J23</f>
        <v>100</v>
      </c>
      <c r="X23" s="1561"/>
      <c r="Y23" s="3736"/>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66"/>
      <c r="L24" s="2137"/>
      <c r="M24" s="2129"/>
      <c r="N24" s="2129"/>
      <c r="O24" s="2136"/>
      <c r="P24" s="3736"/>
      <c r="Q24" s="1566"/>
      <c r="R24" s="1567"/>
      <c r="S24" s="1568"/>
      <c r="T24" s="1567"/>
      <c r="U24" s="1568"/>
      <c r="V24" s="1567"/>
      <c r="W24" s="1568"/>
      <c r="X24" s="1561"/>
      <c r="Y24" s="3736"/>
      <c r="Z24" s="1569"/>
      <c r="AA24" s="1570">
        <v>1</v>
      </c>
      <c r="AB24" s="1570">
        <v>1</v>
      </c>
      <c r="AC24" s="1570">
        <v>1</v>
      </c>
    </row>
    <row r="25" spans="1:29" ht="15">
      <c r="A25" s="528"/>
      <c r="B25" s="1890" t="s">
        <v>2260</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36"/>
      <c r="Q25" s="1566" t="str">
        <f t="shared" ref="Q25:Q46" si="11">B25</f>
        <v>楼层-1</v>
      </c>
      <c r="R25" s="1567" t="s">
        <v>11</v>
      </c>
      <c r="S25" s="1568">
        <f>F25</f>
        <v>100</v>
      </c>
      <c r="T25" s="1567" t="s">
        <v>11</v>
      </c>
      <c r="U25" s="1568">
        <f>H25</f>
        <v>100</v>
      </c>
      <c r="V25" s="1567" t="s">
        <v>11</v>
      </c>
      <c r="W25" s="1568">
        <f>J25</f>
        <v>100</v>
      </c>
      <c r="X25" s="1561"/>
      <c r="Y25" s="3736"/>
      <c r="Z25" s="1569" t="str">
        <f>Q25</f>
        <v>楼层-1</v>
      </c>
      <c r="AA25" s="1570">
        <f t="shared" si="3"/>
        <v>1</v>
      </c>
      <c r="AB25" s="1570">
        <f t="shared" si="4"/>
        <v>1</v>
      </c>
      <c r="AC25" s="1570">
        <f t="shared" si="5"/>
        <v>1</v>
      </c>
    </row>
    <row r="26" spans="1:29" ht="15">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36"/>
      <c r="Q26" s="1566" t="str">
        <f t="shared" si="11"/>
        <v>朝向</v>
      </c>
      <c r="R26" s="1567" t="s">
        <v>11</v>
      </c>
      <c r="S26" s="1568">
        <f>F26</f>
        <v>100</v>
      </c>
      <c r="T26" s="1567" t="s">
        <v>11</v>
      </c>
      <c r="U26" s="1568">
        <f>H26</f>
        <v>100</v>
      </c>
      <c r="V26" s="1567" t="s">
        <v>11</v>
      </c>
      <c r="W26" s="1568">
        <f>J26</f>
        <v>100</v>
      </c>
      <c r="X26" s="1561"/>
      <c r="Y26" s="3736"/>
      <c r="Z26" s="1569" t="str">
        <f>Q26</f>
        <v>朝向</v>
      </c>
      <c r="AA26" s="1570">
        <f t="shared" si="3"/>
        <v>1</v>
      </c>
      <c r="AB26" s="1570">
        <f t="shared" si="4"/>
        <v>1</v>
      </c>
      <c r="AC26" s="1570">
        <f t="shared" si="5"/>
        <v>1</v>
      </c>
    </row>
    <row r="27" spans="1:29" s="1216" customFormat="1" ht="15">
      <c r="A27" s="532"/>
      <c r="B27" s="533" t="s">
        <v>725</v>
      </c>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36"/>
      <c r="Q27" s="1147" t="str">
        <f t="shared" si="11"/>
        <v>道路级别</v>
      </c>
      <c r="R27" s="1562" t="s">
        <v>11</v>
      </c>
      <c r="S27" s="1563">
        <f>F27</f>
        <v>100</v>
      </c>
      <c r="T27" s="1562" t="s">
        <v>11</v>
      </c>
      <c r="U27" s="1563">
        <f>H27</f>
        <v>100</v>
      </c>
      <c r="V27" s="1562" t="s">
        <v>11</v>
      </c>
      <c r="W27" s="1563">
        <f>J27</f>
        <v>100</v>
      </c>
      <c r="X27" s="1564"/>
      <c r="Y27" s="3736"/>
      <c r="Z27" s="1146" t="str">
        <f>Q27</f>
        <v>道路级别</v>
      </c>
      <c r="AA27" s="1570">
        <f>D27/F27</f>
        <v>1</v>
      </c>
      <c r="AB27" s="1570">
        <f>D27/H27</f>
        <v>1</v>
      </c>
      <c r="AC27" s="1570">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36"/>
      <c r="Q28" s="1566">
        <f t="shared" si="11"/>
        <v>111</v>
      </c>
      <c r="R28" s="1567" t="s">
        <v>11</v>
      </c>
      <c r="S28" s="1568">
        <f t="shared" ref="S28:S46" si="12">F28</f>
        <v>100</v>
      </c>
      <c r="T28" s="1567" t="s">
        <v>11</v>
      </c>
      <c r="U28" s="1568">
        <f t="shared" ref="U28:U46" si="13">H28</f>
        <v>100</v>
      </c>
      <c r="V28" s="1567" t="s">
        <v>11</v>
      </c>
      <c r="W28" s="1568">
        <f t="shared" ref="W28:W46" si="14">J28</f>
        <v>100</v>
      </c>
      <c r="X28" s="1561"/>
      <c r="Y28" s="3736"/>
      <c r="Z28" s="1569">
        <f t="shared" ref="Z28:Z46" si="15">Q28</f>
        <v>111</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36"/>
      <c r="Q29" s="1566">
        <f t="shared" si="11"/>
        <v>111</v>
      </c>
      <c r="R29" s="1567" t="s">
        <v>11</v>
      </c>
      <c r="S29" s="1568">
        <f t="shared" si="12"/>
        <v>100</v>
      </c>
      <c r="T29" s="1567" t="s">
        <v>11</v>
      </c>
      <c r="U29" s="1568">
        <f t="shared" si="13"/>
        <v>100</v>
      </c>
      <c r="V29" s="1567" t="s">
        <v>11</v>
      </c>
      <c r="W29" s="1568">
        <f t="shared" si="14"/>
        <v>100</v>
      </c>
      <c r="X29" s="1561"/>
      <c r="Y29" s="3736"/>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36"/>
      <c r="Q30" s="1566">
        <f t="shared" si="11"/>
        <v>111</v>
      </c>
      <c r="R30" s="1567" t="s">
        <v>11</v>
      </c>
      <c r="S30" s="1568">
        <f t="shared" si="12"/>
        <v>100</v>
      </c>
      <c r="T30" s="1567" t="s">
        <v>11</v>
      </c>
      <c r="U30" s="1568">
        <f t="shared" si="13"/>
        <v>100</v>
      </c>
      <c r="V30" s="1567" t="s">
        <v>11</v>
      </c>
      <c r="W30" s="1568">
        <f t="shared" si="14"/>
        <v>100</v>
      </c>
      <c r="X30" s="1561"/>
      <c r="Y30" s="3736"/>
      <c r="Z30" s="1569">
        <f t="shared" si="15"/>
        <v>111</v>
      </c>
      <c r="AA30" s="1570">
        <f t="shared" si="3"/>
        <v>1</v>
      </c>
      <c r="AB30" s="1570">
        <f t="shared" si="4"/>
        <v>1</v>
      </c>
      <c r="AC30" s="1570">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36"/>
      <c r="Q31" s="1566">
        <f t="shared" si="11"/>
        <v>111</v>
      </c>
      <c r="R31" s="1567" t="s">
        <v>11</v>
      </c>
      <c r="S31" s="1568">
        <f t="shared" si="12"/>
        <v>100</v>
      </c>
      <c r="T31" s="1567" t="s">
        <v>11</v>
      </c>
      <c r="U31" s="1568">
        <f t="shared" si="13"/>
        <v>100</v>
      </c>
      <c r="V31" s="1567" t="s">
        <v>11</v>
      </c>
      <c r="W31" s="1568">
        <f t="shared" si="14"/>
        <v>100</v>
      </c>
      <c r="X31" s="1561"/>
      <c r="Y31" s="3736"/>
      <c r="Z31" s="1569">
        <f t="shared" si="15"/>
        <v>111</v>
      </c>
      <c r="AA31" s="1570">
        <f t="shared" si="3"/>
        <v>1</v>
      </c>
      <c r="AB31" s="1570">
        <f t="shared" si="4"/>
        <v>1</v>
      </c>
      <c r="AC31" s="1570">
        <f t="shared" si="5"/>
        <v>1</v>
      </c>
    </row>
    <row r="32" spans="1:29" ht="15">
      <c r="A32" s="2927" t="s">
        <v>2762</v>
      </c>
      <c r="B32" s="171" t="s">
        <v>726</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7"/>
      <c r="M32" s="2129"/>
      <c r="N32" s="2129"/>
      <c r="O32" s="2136"/>
      <c r="P32" s="3737" t="s">
        <v>551</v>
      </c>
      <c r="Q32" s="1566" t="str">
        <f t="shared" si="11"/>
        <v>建筑类型</v>
      </c>
      <c r="R32" s="1567" t="s">
        <v>11</v>
      </c>
      <c r="S32" s="1568">
        <f t="shared" si="12"/>
        <v>100</v>
      </c>
      <c r="T32" s="1567" t="s">
        <v>11</v>
      </c>
      <c r="U32" s="1568">
        <f t="shared" si="13"/>
        <v>100</v>
      </c>
      <c r="V32" s="1567" t="s">
        <v>11</v>
      </c>
      <c r="W32" s="1568">
        <f t="shared" si="14"/>
        <v>100</v>
      </c>
      <c r="X32" s="1561"/>
      <c r="Y32" s="3738" t="s">
        <v>551</v>
      </c>
      <c r="Z32" s="1569" t="str">
        <f t="shared" si="15"/>
        <v>建筑类型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30"/>
      <c r="J33" s="251" t="e">
        <f>LOOKUP(I33,103:103,104:104)-LOOKUP(C33,103:103,104:104)+100</f>
        <v>#N/A</v>
      </c>
      <c r="K33" s="861"/>
      <c r="L33" s="2135"/>
      <c r="M33" s="2166"/>
      <c r="N33" s="2166"/>
      <c r="O33" s="2138"/>
      <c r="P33" s="3738"/>
      <c r="Q33" s="1599" t="str">
        <f t="shared" si="11"/>
        <v>项目建筑规模</v>
      </c>
      <c r="R33" s="1571" t="s">
        <v>11</v>
      </c>
      <c r="S33" s="1572" t="e">
        <f t="shared" si="12"/>
        <v>#N/A</v>
      </c>
      <c r="T33" s="1571" t="s">
        <v>11</v>
      </c>
      <c r="U33" s="1572" t="e">
        <f t="shared" si="13"/>
        <v>#N/A</v>
      </c>
      <c r="V33" s="1571" t="s">
        <v>11</v>
      </c>
      <c r="W33" s="1572" t="e">
        <f t="shared" si="14"/>
        <v>#N/A</v>
      </c>
      <c r="X33" s="1573"/>
      <c r="Y33" s="3738"/>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7"/>
      <c r="M34" s="2129"/>
      <c r="N34" s="2129"/>
      <c r="O34" s="2136"/>
      <c r="P34" s="3738"/>
      <c r="Q34" s="1566" t="str">
        <f t="shared" si="11"/>
        <v>建筑结构</v>
      </c>
      <c r="R34" s="1567" t="s">
        <v>11</v>
      </c>
      <c r="S34" s="1568">
        <f t="shared" si="12"/>
        <v>100</v>
      </c>
      <c r="T34" s="1567" t="s">
        <v>11</v>
      </c>
      <c r="U34" s="1568">
        <f t="shared" si="13"/>
        <v>100</v>
      </c>
      <c r="V34" s="1567" t="s">
        <v>11</v>
      </c>
      <c r="W34" s="1568">
        <f t="shared" si="14"/>
        <v>100</v>
      </c>
      <c r="X34" s="1561"/>
      <c r="Y34" s="3738"/>
      <c r="Z34" s="1569" t="str">
        <f t="shared" si="15"/>
        <v>建筑结构</v>
      </c>
      <c r="AA34" s="1570">
        <f t="shared" si="3"/>
        <v>1</v>
      </c>
      <c r="AB34" s="1570">
        <f t="shared" si="4"/>
        <v>1</v>
      </c>
      <c r="AC34" s="1570">
        <f t="shared" si="5"/>
        <v>1</v>
      </c>
    </row>
    <row r="35" spans="1:29" ht="15">
      <c r="A35" s="590"/>
      <c r="B35" s="523" t="s">
        <v>729</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738"/>
      <c r="Q35" s="1566" t="str">
        <f t="shared" si="11"/>
        <v>建筑品质</v>
      </c>
      <c r="R35" s="1567" t="s">
        <v>11</v>
      </c>
      <c r="S35" s="1568">
        <f t="shared" si="12"/>
        <v>100</v>
      </c>
      <c r="T35" s="1567" t="s">
        <v>11</v>
      </c>
      <c r="U35" s="1568">
        <f t="shared" si="13"/>
        <v>100</v>
      </c>
      <c r="V35" s="1567" t="s">
        <v>11</v>
      </c>
      <c r="W35" s="1568">
        <f t="shared" si="14"/>
        <v>100</v>
      </c>
      <c r="X35" s="1561"/>
      <c r="Y35" s="3738"/>
      <c r="Z35" s="1569" t="str">
        <f t="shared" si="15"/>
        <v>建筑品质</v>
      </c>
      <c r="AA35" s="1570">
        <f t="shared" si="3"/>
        <v>1</v>
      </c>
      <c r="AB35" s="1570">
        <f t="shared" si="4"/>
        <v>1</v>
      </c>
      <c r="AC35" s="1570">
        <f t="shared" si="5"/>
        <v>1</v>
      </c>
    </row>
    <row r="36" spans="1:29" ht="15">
      <c r="A36" s="590"/>
      <c r="B36" s="523" t="s">
        <v>730</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7"/>
      <c r="M36" s="2129"/>
      <c r="N36" s="2129"/>
      <c r="O36" s="2136"/>
      <c r="P36" s="3738"/>
      <c r="Q36" s="1566" t="str">
        <f t="shared" si="11"/>
        <v>公共部分装修</v>
      </c>
      <c r="R36" s="1567" t="s">
        <v>11</v>
      </c>
      <c r="S36" s="1568">
        <f t="shared" si="12"/>
        <v>100</v>
      </c>
      <c r="T36" s="1567" t="s">
        <v>11</v>
      </c>
      <c r="U36" s="1568">
        <f t="shared" si="13"/>
        <v>100</v>
      </c>
      <c r="V36" s="1567" t="s">
        <v>11</v>
      </c>
      <c r="W36" s="1568">
        <f t="shared" si="14"/>
        <v>100</v>
      </c>
      <c r="X36" s="1561"/>
      <c r="Y36" s="3738"/>
      <c r="Z36" s="1569" t="str">
        <f t="shared" si="15"/>
        <v>公共部分装修</v>
      </c>
      <c r="AA36" s="1570">
        <f t="shared" si="3"/>
        <v>1</v>
      </c>
      <c r="AB36" s="1570">
        <f t="shared" si="4"/>
        <v>1</v>
      </c>
      <c r="AC36" s="1570">
        <f t="shared" si="5"/>
        <v>1</v>
      </c>
    </row>
    <row r="37" spans="1:29" s="1216" customFormat="1" ht="15">
      <c r="A37" s="596"/>
      <c r="B37" s="523" t="s">
        <v>731</v>
      </c>
      <c r="C37" s="879"/>
      <c r="D37" s="251">
        <v>100</v>
      </c>
      <c r="E37" s="880"/>
      <c r="F37" s="859" t="e">
        <f>LOOKUP(E37,112:112,113:113)-LOOKUP(C37,112:112,113:113)+100</f>
        <v>#N/A</v>
      </c>
      <c r="G37" s="881"/>
      <c r="H37" s="251" t="e">
        <f>LOOKUP(G37,112:112,113:113)-LOOKUP(C37,112:112,113:113)+100</f>
        <v>#N/A</v>
      </c>
      <c r="I37" s="880"/>
      <c r="J37" s="251" t="e">
        <f>LOOKUP(I37,112:112,113:113)-LOOKUP(C37,112:112,113:113)+100</f>
        <v>#N/A</v>
      </c>
      <c r="K37" s="860"/>
      <c r="L37" s="2130"/>
      <c r="M37" s="2131"/>
      <c r="N37" s="2131"/>
      <c r="O37" s="2132"/>
      <c r="P37" s="3738"/>
      <c r="Q37" s="1147" t="str">
        <f t="shared" si="11"/>
        <v>成新度</v>
      </c>
      <c r="R37" s="1562" t="s">
        <v>11</v>
      </c>
      <c r="S37" s="1563" t="e">
        <f t="shared" si="12"/>
        <v>#N/A</v>
      </c>
      <c r="T37" s="1562" t="s">
        <v>11</v>
      </c>
      <c r="U37" s="1563" t="e">
        <f t="shared" si="13"/>
        <v>#N/A</v>
      </c>
      <c r="V37" s="1562" t="s">
        <v>11</v>
      </c>
      <c r="W37" s="1563" t="e">
        <f t="shared" si="14"/>
        <v>#N/A</v>
      </c>
      <c r="X37" s="1564"/>
      <c r="Y37" s="3738"/>
      <c r="Z37" s="1146" t="str">
        <f t="shared" si="15"/>
        <v>成新度</v>
      </c>
      <c r="AA37" s="1565" t="e">
        <f t="shared" si="3"/>
        <v>#N/A</v>
      </c>
      <c r="AB37" s="1565" t="e">
        <f t="shared" si="4"/>
        <v>#N/A</v>
      </c>
      <c r="AC37" s="1565" t="e">
        <f t="shared" si="5"/>
        <v>#N/A</v>
      </c>
    </row>
    <row r="38" spans="1:29" ht="15">
      <c r="A38" s="590"/>
      <c r="B38" s="523" t="s">
        <v>732</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7"/>
      <c r="M38" s="2129"/>
      <c r="N38" s="2129"/>
      <c r="O38" s="2136"/>
      <c r="P38" s="3738" t="s">
        <v>551</v>
      </c>
      <c r="Q38" s="1566" t="str">
        <f t="shared" si="11"/>
        <v>物业管理</v>
      </c>
      <c r="R38" s="1567" t="s">
        <v>11</v>
      </c>
      <c r="S38" s="1568">
        <f t="shared" si="12"/>
        <v>100</v>
      </c>
      <c r="T38" s="1567" t="s">
        <v>11</v>
      </c>
      <c r="U38" s="1568">
        <f t="shared" si="13"/>
        <v>100</v>
      </c>
      <c r="V38" s="1567" t="s">
        <v>11</v>
      </c>
      <c r="W38" s="1568">
        <f t="shared" si="14"/>
        <v>100</v>
      </c>
      <c r="X38" s="1561"/>
      <c r="Y38" s="3738" t="s">
        <v>551</v>
      </c>
      <c r="Z38" s="1569" t="str">
        <f t="shared" si="15"/>
        <v>物业管理</v>
      </c>
      <c r="AA38" s="1570">
        <f t="shared" si="3"/>
        <v>1</v>
      </c>
      <c r="AB38" s="1570">
        <f t="shared" si="4"/>
        <v>1</v>
      </c>
      <c r="AC38" s="1570">
        <f t="shared" si="5"/>
        <v>1</v>
      </c>
    </row>
    <row r="39" spans="1:29" ht="15">
      <c r="A39" s="590"/>
      <c r="B39" s="1890" t="s">
        <v>2571</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7"/>
      <c r="M39" s="2129"/>
      <c r="N39" s="2129"/>
      <c r="O39" s="2136"/>
      <c r="P39" s="3738"/>
      <c r="Q39" s="1566" t="str">
        <f t="shared" si="11"/>
        <v>市政基础设施</v>
      </c>
      <c r="R39" s="1567" t="s">
        <v>11</v>
      </c>
      <c r="S39" s="1568">
        <f t="shared" si="12"/>
        <v>100</v>
      </c>
      <c r="T39" s="1567" t="s">
        <v>11</v>
      </c>
      <c r="U39" s="1568">
        <f t="shared" si="13"/>
        <v>100</v>
      </c>
      <c r="V39" s="1567" t="s">
        <v>11</v>
      </c>
      <c r="W39" s="1568">
        <f t="shared" si="14"/>
        <v>100</v>
      </c>
      <c r="X39" s="1561"/>
      <c r="Y39" s="3738"/>
      <c r="Z39" s="1569" t="str">
        <f t="shared" si="15"/>
        <v>市政基础设施</v>
      </c>
      <c r="AA39" s="1570">
        <f t="shared" si="3"/>
        <v>1</v>
      </c>
      <c r="AB39" s="1570">
        <f t="shared" si="4"/>
        <v>1</v>
      </c>
      <c r="AC39" s="1570">
        <f t="shared" si="5"/>
        <v>1</v>
      </c>
    </row>
    <row r="40" spans="1:29" ht="15">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738"/>
      <c r="Q40" s="1566" t="str">
        <f t="shared" si="11"/>
        <v>房型</v>
      </c>
      <c r="R40" s="1567" t="s">
        <v>11</v>
      </c>
      <c r="S40" s="1568">
        <f t="shared" si="12"/>
        <v>100</v>
      </c>
      <c r="T40" s="1567" t="s">
        <v>11</v>
      </c>
      <c r="U40" s="1568">
        <f t="shared" si="13"/>
        <v>100</v>
      </c>
      <c r="V40" s="1567" t="s">
        <v>11</v>
      </c>
      <c r="W40" s="1568">
        <f t="shared" si="14"/>
        <v>100</v>
      </c>
      <c r="X40" s="1561"/>
      <c r="Y40" s="3738"/>
      <c r="Z40" s="1569" t="str">
        <f t="shared" si="15"/>
        <v>房型</v>
      </c>
      <c r="AA40" s="1570">
        <f t="shared" si="3"/>
        <v>1</v>
      </c>
      <c r="AB40" s="1570">
        <f t="shared" si="4"/>
        <v>1</v>
      </c>
      <c r="AC40" s="1570">
        <f t="shared" si="5"/>
        <v>1</v>
      </c>
    </row>
    <row r="41" spans="1:29" s="1335" customFormat="1" ht="28.5">
      <c r="A41" s="599"/>
      <c r="B41" s="523" t="s">
        <v>734</v>
      </c>
      <c r="C41" s="876"/>
      <c r="D41" s="251">
        <v>100</v>
      </c>
      <c r="E41" s="530"/>
      <c r="F41" s="859">
        <f>SUMIF(120:120,E41,121:121)-SUMIF(120:120,C41,121:121)+100</f>
        <v>100</v>
      </c>
      <c r="G41" s="529"/>
      <c r="H41" s="251">
        <f>SUMIF(120:120,G41,121:121)-SUMIF(120:120,C41,121:121)+100</f>
        <v>100</v>
      </c>
      <c r="I41" s="582"/>
      <c r="J41" s="536">
        <f>SUMIF(120:120,I41,121:121)-SUMIF(120:120,C41,121:121)+100</f>
        <v>100</v>
      </c>
      <c r="K41" s="861"/>
      <c r="L41" s="2135"/>
      <c r="M41" s="2166"/>
      <c r="N41" s="2166"/>
      <c r="O41" s="2138"/>
      <c r="P41" s="3738"/>
      <c r="Q41" s="1599" t="str">
        <f t="shared" si="11"/>
        <v>单套/主力户型建筑面积</v>
      </c>
      <c r="R41" s="1571" t="s">
        <v>11</v>
      </c>
      <c r="S41" s="1572">
        <f t="shared" si="12"/>
        <v>100</v>
      </c>
      <c r="T41" s="1571" t="s">
        <v>11</v>
      </c>
      <c r="U41" s="1572">
        <f t="shared" si="13"/>
        <v>100</v>
      </c>
      <c r="V41" s="1571" t="s">
        <v>11</v>
      </c>
      <c r="W41" s="1572">
        <f t="shared" si="14"/>
        <v>100</v>
      </c>
      <c r="X41" s="1573"/>
      <c r="Y41" s="3738"/>
      <c r="Z41" s="1574" t="str">
        <f t="shared" si="15"/>
        <v>单套/主力户型建筑面积</v>
      </c>
      <c r="AA41" s="1570">
        <f t="shared" si="3"/>
        <v>1</v>
      </c>
      <c r="AB41" s="1570">
        <f t="shared" si="4"/>
        <v>1</v>
      </c>
      <c r="AC41" s="1570">
        <f t="shared" si="5"/>
        <v>1</v>
      </c>
    </row>
    <row r="42" spans="1:29" ht="15">
      <c r="A42" s="590"/>
      <c r="B42" s="523" t="s">
        <v>735</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7"/>
      <c r="M42" s="2129"/>
      <c r="N42" s="2129"/>
      <c r="O42" s="2136"/>
      <c r="P42" s="3738"/>
      <c r="Q42" s="1566" t="str">
        <f t="shared" si="11"/>
        <v>内部装修</v>
      </c>
      <c r="R42" s="1567" t="s">
        <v>11</v>
      </c>
      <c r="S42" s="1568">
        <f t="shared" si="12"/>
        <v>100</v>
      </c>
      <c r="T42" s="1567" t="s">
        <v>11</v>
      </c>
      <c r="U42" s="1568">
        <f t="shared" si="13"/>
        <v>100</v>
      </c>
      <c r="V42" s="1567" t="s">
        <v>11</v>
      </c>
      <c r="W42" s="1568">
        <f t="shared" si="14"/>
        <v>100</v>
      </c>
      <c r="X42" s="1561"/>
      <c r="Y42" s="3738"/>
      <c r="Z42" s="1569" t="str">
        <f t="shared" si="15"/>
        <v>内部装修</v>
      </c>
      <c r="AA42" s="1570">
        <f t="shared" si="3"/>
        <v>1</v>
      </c>
      <c r="AB42" s="1570">
        <f t="shared" si="4"/>
        <v>1</v>
      </c>
      <c r="AC42" s="1570">
        <f t="shared" si="5"/>
        <v>1</v>
      </c>
    </row>
    <row r="43" spans="1:29" ht="27">
      <c r="A43" s="590"/>
      <c r="B43" s="523" t="s">
        <v>736</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38"/>
      <c r="Q43" s="1566" t="str">
        <f t="shared" si="11"/>
        <v>内部装修维护情况</v>
      </c>
      <c r="R43" s="1567" t="s">
        <v>11</v>
      </c>
      <c r="S43" s="1568">
        <f t="shared" si="12"/>
        <v>100</v>
      </c>
      <c r="T43" s="1567" t="s">
        <v>11</v>
      </c>
      <c r="U43" s="1568">
        <f t="shared" si="13"/>
        <v>100</v>
      </c>
      <c r="V43" s="1567" t="s">
        <v>11</v>
      </c>
      <c r="W43" s="1568">
        <f t="shared" si="14"/>
        <v>100</v>
      </c>
      <c r="X43" s="1561"/>
      <c r="Y43" s="3738"/>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876"/>
      <c r="F44" s="859">
        <f>SUMIF(126:126,E44,127:127)-SUMIF(126:126,C44,127:127)+100</f>
        <v>100</v>
      </c>
      <c r="G44" s="876"/>
      <c r="H44" s="251">
        <f>SUMIF(126:126,G44,127:127)-SUMIF(126:126,C44,127:127)+100</f>
        <v>100</v>
      </c>
      <c r="I44" s="876"/>
      <c r="J44" s="251">
        <f>SUMIF(126:126,I44,127:127)-SUMIF(126:126,C44,127:127)+100</f>
        <v>100</v>
      </c>
      <c r="K44" s="861"/>
      <c r="L44" s="2130"/>
      <c r="M44" s="2131"/>
      <c r="N44" s="2131"/>
      <c r="O44" s="2132"/>
      <c r="P44" s="3738"/>
      <c r="Q44" s="1147">
        <f t="shared" si="11"/>
        <v>111</v>
      </c>
      <c r="R44" s="1562" t="s">
        <v>11</v>
      </c>
      <c r="S44" s="1563">
        <f t="shared" si="12"/>
        <v>100</v>
      </c>
      <c r="T44" s="1562" t="s">
        <v>11</v>
      </c>
      <c r="U44" s="1563">
        <f t="shared" si="13"/>
        <v>100</v>
      </c>
      <c r="V44" s="1562" t="s">
        <v>11</v>
      </c>
      <c r="W44" s="1563">
        <f t="shared" si="14"/>
        <v>100</v>
      </c>
      <c r="X44" s="1564"/>
      <c r="Y44" s="3738"/>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38"/>
      <c r="Q45" s="1566">
        <f t="shared" si="11"/>
        <v>111</v>
      </c>
      <c r="R45" s="1567" t="s">
        <v>11</v>
      </c>
      <c r="S45" s="1568">
        <f t="shared" si="12"/>
        <v>100</v>
      </c>
      <c r="T45" s="1567" t="s">
        <v>11</v>
      </c>
      <c r="U45" s="1568">
        <f t="shared" si="13"/>
        <v>100</v>
      </c>
      <c r="V45" s="1567" t="s">
        <v>11</v>
      </c>
      <c r="W45" s="1568">
        <f t="shared" si="14"/>
        <v>100</v>
      </c>
      <c r="X45" s="1561"/>
      <c r="Y45" s="3738"/>
      <c r="Z45" s="1569">
        <f t="shared" si="15"/>
        <v>111</v>
      </c>
      <c r="AA45" s="1570">
        <f t="shared" si="3"/>
        <v>1</v>
      </c>
      <c r="AB45" s="1570">
        <f t="shared" si="4"/>
        <v>1</v>
      </c>
      <c r="AC45" s="1570">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805"/>
      <c r="Q46" s="1566">
        <f t="shared" si="11"/>
        <v>111</v>
      </c>
      <c r="R46" s="1567" t="s">
        <v>10</v>
      </c>
      <c r="S46" s="1568">
        <f t="shared" si="12"/>
        <v>100</v>
      </c>
      <c r="T46" s="1567" t="s">
        <v>10</v>
      </c>
      <c r="U46" s="1568">
        <f t="shared" si="13"/>
        <v>100</v>
      </c>
      <c r="V46" s="1567" t="s">
        <v>10</v>
      </c>
      <c r="W46" s="1568">
        <f t="shared" si="14"/>
        <v>100</v>
      </c>
      <c r="X46" s="1561"/>
      <c r="Y46" s="3805"/>
      <c r="Z46" s="1569">
        <f t="shared" si="15"/>
        <v>111</v>
      </c>
      <c r="AA46" s="1570">
        <f t="shared" si="3"/>
        <v>1</v>
      </c>
      <c r="AB46" s="1570">
        <f t="shared" si="4"/>
        <v>1</v>
      </c>
      <c r="AC46" s="1570">
        <f t="shared" si="5"/>
        <v>1</v>
      </c>
    </row>
    <row r="47" spans="1:29" ht="15">
      <c r="A47" s="603" t="s">
        <v>737</v>
      </c>
      <c r="B47" s="883"/>
      <c r="C47" s="2646" t="s">
        <v>9</v>
      </c>
      <c r="D47" s="2647"/>
      <c r="E47" s="2648"/>
      <c r="F47" s="2649"/>
      <c r="G47" s="2650"/>
      <c r="H47" s="2651"/>
      <c r="I47" s="2648"/>
      <c r="J47" s="2651"/>
      <c r="K47" s="1600"/>
      <c r="L47" s="2139"/>
      <c r="M47" s="2140"/>
      <c r="N47" s="2129"/>
      <c r="O47" s="2140"/>
      <c r="P47" s="3701" t="str">
        <f>A47</f>
        <v>成交单价（元/平方米）</v>
      </c>
      <c r="Q47" s="3701"/>
      <c r="R47" s="3804">
        <f>E47</f>
        <v>0</v>
      </c>
      <c r="S47" s="3804"/>
      <c r="T47" s="3804">
        <f>G47</f>
        <v>0</v>
      </c>
      <c r="U47" s="3804"/>
      <c r="V47" s="3804">
        <f>I47</f>
        <v>0</v>
      </c>
      <c r="W47" s="3804"/>
      <c r="X47" s="1553"/>
      <c r="Y47" s="1575"/>
      <c r="Z47" s="1553"/>
      <c r="AA47" s="1553"/>
      <c r="AB47" s="1553"/>
      <c r="AC47" s="1553"/>
    </row>
    <row r="48" spans="1:29" ht="15.75" thickBot="1">
      <c r="A48" s="611" t="s">
        <v>2767</v>
      </c>
      <c r="B48" s="884"/>
      <c r="C48" s="2652" t="e">
        <f>R49</f>
        <v>#DIV/0!</v>
      </c>
      <c r="D48" s="2653"/>
      <c r="E48" s="2654" t="e">
        <f>R48</f>
        <v>#DIV/0!</v>
      </c>
      <c r="F48" s="2654"/>
      <c r="G48" s="2652" t="e">
        <f>T48</f>
        <v>#DIV/0!</v>
      </c>
      <c r="H48" s="2653"/>
      <c r="I48" s="2654" t="e">
        <f>V48</f>
        <v>#DIV/0!</v>
      </c>
      <c r="J48" s="2653"/>
      <c r="K48" s="1601"/>
      <c r="L48" s="2139"/>
      <c r="M48" s="2140"/>
      <c r="N48" s="2140"/>
      <c r="O48" s="2140"/>
      <c r="P48" s="3701" t="str">
        <f>A48</f>
        <v>比较价格（元/平方米）</v>
      </c>
      <c r="Q48" s="3701"/>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3"/>
      <c r="Y48" s="1553"/>
      <c r="Z48" s="1553"/>
      <c r="AA48" s="1553"/>
      <c r="AB48" s="1553"/>
      <c r="AC48" s="1553"/>
    </row>
    <row r="49" spans="1:29" ht="15.75" thickBot="1">
      <c r="A49" s="617" t="s">
        <v>2938</v>
      </c>
      <c r="B49" s="618"/>
      <c r="C49" s="2655" t="e">
        <f>R49</f>
        <v>#DIV/0!</v>
      </c>
      <c r="D49" s="2655"/>
      <c r="E49" s="2655"/>
      <c r="F49" s="2655"/>
      <c r="G49" s="2655"/>
      <c r="H49" s="2655"/>
      <c r="I49" s="2655"/>
      <c r="J49" s="2655"/>
      <c r="K49" s="1602"/>
      <c r="L49" s="2139"/>
      <c r="M49" s="2140"/>
      <c r="N49" s="2140"/>
      <c r="O49" s="2140"/>
      <c r="P49" s="3698" t="str">
        <f>A49</f>
        <v>估价对象XX用房的比较价格（楼面单价，元/平方米）</v>
      </c>
      <c r="Q49" s="3699"/>
      <c r="R49" s="3803" t="e">
        <f>IF(F1="售价",ROUND(AVERAGE(R48:V48),0),ROUND(AVERAGE(R48:V48),1))</f>
        <v>#DIV/0!</v>
      </c>
      <c r="S49" s="3803"/>
      <c r="T49" s="3803"/>
      <c r="U49" s="3803"/>
      <c r="V49" s="3803"/>
      <c r="W49" s="3803"/>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4"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3"/>
      <c r="F64" s="1603"/>
      <c r="G64" s="1603"/>
      <c r="H64" s="1603"/>
      <c r="I64" s="1603"/>
      <c r="J64" s="1603"/>
      <c r="K64" s="1603"/>
      <c r="L64" s="1603"/>
      <c r="M64" s="1604"/>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2564</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2565</v>
      </c>
      <c r="C82" s="2617" t="s">
        <v>2566</v>
      </c>
      <c r="D82" s="2617" t="s">
        <v>2567</v>
      </c>
      <c r="E82" s="2617" t="s">
        <v>2568</v>
      </c>
      <c r="F82" s="2617" t="s">
        <v>2569</v>
      </c>
      <c r="G82" s="2617" t="s">
        <v>2570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1891" t="s">
        <v>2261</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
        <v>747</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道路级别</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688"/>
      <c r="D91" s="688"/>
      <c r="E91" s="688"/>
      <c r="F91" s="688"/>
      <c r="G91" s="688"/>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1"/>
      <c r="O110" s="2161"/>
      <c r="P110" s="2160"/>
      <c r="Q110" s="2153"/>
      <c r="R110" s="2140"/>
      <c r="S110" s="2140"/>
      <c r="T110" s="2140"/>
      <c r="U110" s="2140"/>
      <c r="V110" s="2140"/>
      <c r="W110" s="2140"/>
      <c r="X110" s="2140"/>
      <c r="Y110" s="2140"/>
      <c r="Z110" s="2140"/>
      <c r="AA110" s="2140"/>
      <c r="AB110" s="2140"/>
      <c r="AC110" s="2140"/>
    </row>
    <row r="111" spans="1:29" s="1335"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5" customFormat="1">
      <c r="A112" s="724"/>
      <c r="B112" s="677"/>
      <c r="C112" s="890">
        <v>0.5</v>
      </c>
      <c r="D112" s="890">
        <v>0.6</v>
      </c>
      <c r="E112" s="890">
        <v>0.7</v>
      </c>
      <c r="F112" s="890">
        <v>0.8</v>
      </c>
      <c r="G112" s="890">
        <v>0.9</v>
      </c>
      <c r="H112" s="890">
        <v>1.0001</v>
      </c>
      <c r="I112" s="890"/>
      <c r="J112" s="891"/>
      <c r="K112" s="891"/>
      <c r="L112" s="892"/>
      <c r="M112" s="893"/>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2563</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5" customFormat="1" ht="28.5" thickTop="1">
      <c r="A120" s="724"/>
      <c r="B120" s="669" t="s">
        <v>734</v>
      </c>
      <c r="C120" s="684"/>
      <c r="D120" s="684"/>
      <c r="E120" s="684"/>
      <c r="F120" s="684"/>
      <c r="G120" s="684"/>
      <c r="H120" s="684"/>
      <c r="I120" s="684"/>
      <c r="J120" s="684"/>
      <c r="K120" s="684"/>
      <c r="L120" s="886"/>
      <c r="M120" s="8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2262</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2263</v>
      </c>
      <c r="C137" s="1914"/>
      <c r="D137" s="1914"/>
      <c r="E137" s="1914"/>
      <c r="F137" s="1914"/>
      <c r="G137" s="1915"/>
      <c r="H137" s="1916"/>
      <c r="I137" s="1917" t="s">
        <v>2264</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2265</v>
      </c>
      <c r="D138" s="1920" t="s">
        <v>2266</v>
      </c>
      <c r="E138" s="1921" t="s">
        <v>2267</v>
      </c>
      <c r="F138" s="1922" t="s">
        <v>2268</v>
      </c>
      <c r="G138" s="1920" t="s">
        <v>2269</v>
      </c>
      <c r="H138" s="1923" t="s">
        <v>2270</v>
      </c>
      <c r="I138" s="1924"/>
      <c r="J138" s="1920" t="s">
        <v>2271</v>
      </c>
      <c r="K138" s="1923" t="s">
        <v>2272</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2273</v>
      </c>
      <c r="E139" s="1894">
        <v>100</v>
      </c>
      <c r="F139" s="1895">
        <v>102.5</v>
      </c>
      <c r="G139" s="1925" t="s">
        <v>2274</v>
      </c>
      <c r="H139" s="1896">
        <v>105</v>
      </c>
      <c r="I139" s="1926" t="s">
        <v>2275</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2276</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2277</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2278</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2279</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2280</v>
      </c>
      <c r="E144" s="1900">
        <v>102</v>
      </c>
      <c r="F144" s="1906">
        <v>100</v>
      </c>
      <c r="G144" s="1929" t="s">
        <v>2280</v>
      </c>
      <c r="H144" s="1902">
        <v>105</v>
      </c>
      <c r="I144" s="1928" t="s">
        <v>2279</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2281</v>
      </c>
      <c r="C145" s="1907">
        <f>ROUND(MAX(C139:C144)/MIN(C139:C144)-1,3)</f>
        <v>7.2999999999999995E-2</v>
      </c>
      <c r="D145" s="1931"/>
      <c r="E145" s="1931"/>
      <c r="F145" s="1932" t="s">
        <v>2282</v>
      </c>
      <c r="G145" s="1933"/>
      <c r="H145" s="1934"/>
      <c r="I145" s="1935" t="s">
        <v>2279</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2291</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2292</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758</v>
      </c>
      <c r="C1" s="500" t="s">
        <v>721</v>
      </c>
      <c r="D1" s="236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8"/>
      <c r="Q3" s="1558"/>
      <c r="R3" s="1558"/>
      <c r="S3" s="1558"/>
      <c r="T3" s="1558"/>
      <c r="U3" s="1558"/>
      <c r="V3" s="1558"/>
      <c r="W3" s="1558"/>
      <c r="X3" s="1558"/>
      <c r="Y3" s="1558"/>
      <c r="Z3" s="1558"/>
      <c r="AA3" s="1558"/>
      <c r="AB3" s="1558"/>
      <c r="AC3" s="424"/>
    </row>
    <row r="4" spans="1:29" ht="15">
      <c r="A4" s="508" t="s">
        <v>522</v>
      </c>
      <c r="B4" s="509"/>
      <c r="C4" s="3707" t="s">
        <v>523</v>
      </c>
      <c r="D4" s="3708"/>
      <c r="E4" s="3741" t="s">
        <v>524</v>
      </c>
      <c r="F4" s="3742"/>
      <c r="G4" s="3707" t="s">
        <v>525</v>
      </c>
      <c r="H4" s="3708"/>
      <c r="I4" s="3707" t="s">
        <v>526</v>
      </c>
      <c r="J4" s="3708"/>
      <c r="K4" s="510" t="s">
        <v>527</v>
      </c>
      <c r="L4" s="2128"/>
      <c r="M4" s="2129"/>
      <c r="N4" s="2129"/>
      <c r="O4" s="2129"/>
      <c r="P4" s="3709" t="s">
        <v>528</v>
      </c>
      <c r="Q4" s="3710"/>
      <c r="R4" s="3715" t="s">
        <v>524</v>
      </c>
      <c r="S4" s="3716"/>
      <c r="T4" s="3715" t="s">
        <v>525</v>
      </c>
      <c r="U4" s="3716"/>
      <c r="V4" s="3702" t="s">
        <v>526</v>
      </c>
      <c r="W4" s="3702"/>
      <c r="X4" s="1561"/>
      <c r="Y4" s="3715" t="s">
        <v>528</v>
      </c>
      <c r="Z4" s="3716"/>
      <c r="AA4" s="3704" t="s">
        <v>524</v>
      </c>
      <c r="AB4" s="3702" t="s">
        <v>525</v>
      </c>
      <c r="AC4" s="3704" t="s">
        <v>526</v>
      </c>
    </row>
    <row r="5" spans="1:29" ht="15">
      <c r="A5" s="511"/>
      <c r="B5" s="512"/>
      <c r="C5" s="3723" t="s">
        <v>2932</v>
      </c>
      <c r="D5" s="3724"/>
      <c r="E5" s="3743" t="s">
        <v>2933</v>
      </c>
      <c r="F5" s="3744"/>
      <c r="G5" s="3723" t="s">
        <v>2934</v>
      </c>
      <c r="H5" s="3724"/>
      <c r="I5" s="3723" t="s">
        <v>2935</v>
      </c>
      <c r="J5" s="3724"/>
      <c r="K5" s="510"/>
      <c r="L5" s="2128"/>
      <c r="M5" s="2129"/>
      <c r="N5" s="2129"/>
      <c r="O5" s="2129"/>
      <c r="P5" s="3711"/>
      <c r="Q5" s="3712"/>
      <c r="R5" s="3717"/>
      <c r="S5" s="3718"/>
      <c r="T5" s="3717"/>
      <c r="U5" s="3718"/>
      <c r="V5" s="3702"/>
      <c r="W5" s="3702"/>
      <c r="X5" s="1561"/>
      <c r="Y5" s="3717"/>
      <c r="Z5" s="3718"/>
      <c r="AA5" s="3705"/>
      <c r="AB5" s="3702"/>
      <c r="AC5" s="3705"/>
    </row>
    <row r="6" spans="1:29" ht="15.75" thickBot="1">
      <c r="A6" s="513"/>
      <c r="B6" s="514"/>
      <c r="C6" s="3721" t="s">
        <v>2936</v>
      </c>
      <c r="D6" s="3722"/>
      <c r="E6" s="3739" t="s">
        <v>2936</v>
      </c>
      <c r="F6" s="3740"/>
      <c r="G6" s="3721" t="s">
        <v>2936</v>
      </c>
      <c r="H6" s="3722"/>
      <c r="I6" s="3721" t="s">
        <v>2936</v>
      </c>
      <c r="J6" s="3722"/>
      <c r="K6" s="510" t="s">
        <v>529</v>
      </c>
      <c r="L6" s="2128"/>
      <c r="M6" s="2129"/>
      <c r="N6" s="2129"/>
      <c r="O6" s="2129"/>
      <c r="P6" s="3713"/>
      <c r="Q6" s="3714"/>
      <c r="R6" s="3717"/>
      <c r="S6" s="3718"/>
      <c r="T6" s="3719"/>
      <c r="U6" s="3720"/>
      <c r="V6" s="3702"/>
      <c r="W6" s="3702"/>
      <c r="X6" s="1561"/>
      <c r="Y6" s="3719"/>
      <c r="Z6" s="3720"/>
      <c r="AA6" s="3706"/>
      <c r="AB6" s="3702"/>
      <c r="AC6" s="3706"/>
    </row>
    <row r="7" spans="1:29" s="1216" customFormat="1" ht="15.75" thickBot="1">
      <c r="A7" s="2932"/>
      <c r="B7" s="2939" t="s">
        <v>530</v>
      </c>
      <c r="C7" s="515">
        <f>'数据-取费表'!B2</f>
        <v>43133</v>
      </c>
      <c r="D7" s="516">
        <v>100</v>
      </c>
      <c r="E7" s="517"/>
      <c r="F7" s="518">
        <f>SUMIF(58:58,YEAR(E7)&amp;"-"&amp;MONTH(E7),59:59)</f>
        <v>0</v>
      </c>
      <c r="G7" s="517"/>
      <c r="H7" s="516">
        <f>SUMIF(58:58,YEAR(G7)&amp;"-"&amp;MONTH(G7),59:59)</f>
        <v>0</v>
      </c>
      <c r="I7" s="517"/>
      <c r="J7" s="516">
        <f>SUMIF(58:58,YEAR(I7)&amp;"-"&amp;MONTH(I7),59:59)</f>
        <v>0</v>
      </c>
      <c r="K7" s="520"/>
      <c r="L7" s="2130"/>
      <c r="M7" s="2131"/>
      <c r="N7" s="2131"/>
      <c r="O7" s="2131"/>
      <c r="P7" s="3732" t="s">
        <v>531</v>
      </c>
      <c r="Q7" s="3734"/>
      <c r="R7" s="1562" t="s">
        <v>8</v>
      </c>
      <c r="S7" s="1563">
        <f t="shared" ref="S7:S15" si="0">F7</f>
        <v>0</v>
      </c>
      <c r="T7" s="1562" t="s">
        <v>8</v>
      </c>
      <c r="U7" s="1563">
        <f t="shared" ref="U7:U15" si="1">H7</f>
        <v>0</v>
      </c>
      <c r="V7" s="1562" t="s">
        <v>8</v>
      </c>
      <c r="W7" s="1563">
        <f t="shared" ref="W7:W15"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732" t="s">
        <v>534</v>
      </c>
      <c r="Q8" s="3733"/>
      <c r="R8" s="1562" t="s">
        <v>8</v>
      </c>
      <c r="S8" s="1563">
        <f t="shared" si="0"/>
        <v>0</v>
      </c>
      <c r="T8" s="1562" t="s">
        <v>8</v>
      </c>
      <c r="U8" s="1563">
        <f t="shared" si="1"/>
        <v>0</v>
      </c>
      <c r="V8" s="1562" t="s">
        <v>8</v>
      </c>
      <c r="W8" s="1563">
        <f t="shared" si="2"/>
        <v>0</v>
      </c>
      <c r="X8" s="1564"/>
      <c r="Y8" s="3732" t="s">
        <v>534</v>
      </c>
      <c r="Z8" s="3733"/>
      <c r="AA8" s="1565" t="e">
        <f t="shared" ref="AA8:AA46" si="3">D8/F8</f>
        <v>#DIV/0!</v>
      </c>
      <c r="AB8" s="1565" t="e">
        <f t="shared" ref="AB8:AB46" si="4">D8/H8</f>
        <v>#DIV/0!</v>
      </c>
      <c r="AC8" s="1565" t="e">
        <f t="shared" ref="AC8:AC46" si="5">D8/J8</f>
        <v>#DIV/0!</v>
      </c>
    </row>
    <row r="9" spans="1:29" s="1216" customFormat="1" ht="15">
      <c r="A9" s="2934"/>
      <c r="B9" s="2941" t="s">
        <v>2763</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701" t="s">
        <v>536</v>
      </c>
      <c r="Q9" s="1147" t="str">
        <f t="shared" ref="Q9:Q15" si="6">B9</f>
        <v>用途</v>
      </c>
      <c r="R9" s="1562" t="s">
        <v>8</v>
      </c>
      <c r="S9" s="1563">
        <f t="shared" si="0"/>
        <v>100</v>
      </c>
      <c r="T9" s="1562" t="s">
        <v>8</v>
      </c>
      <c r="U9" s="1563">
        <f t="shared" si="1"/>
        <v>100</v>
      </c>
      <c r="V9" s="1562" t="s">
        <v>8</v>
      </c>
      <c r="W9" s="1563">
        <f t="shared" si="2"/>
        <v>100</v>
      </c>
      <c r="X9" s="1564"/>
      <c r="Y9" s="3643"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701"/>
      <c r="Q11" s="1147" t="str">
        <f t="shared" si="6"/>
        <v>容积率</v>
      </c>
      <c r="R11" s="1562" t="s">
        <v>8</v>
      </c>
      <c r="S11" s="1563" t="e">
        <f t="shared" si="0"/>
        <v>#N/A</v>
      </c>
      <c r="T11" s="1562" t="s">
        <v>8</v>
      </c>
      <c r="U11" s="1563" t="e">
        <f t="shared" si="1"/>
        <v>#N/A</v>
      </c>
      <c r="V11" s="1562" t="s">
        <v>8</v>
      </c>
      <c r="W11" s="1563" t="e">
        <f t="shared" si="2"/>
        <v>#N/A</v>
      </c>
      <c r="X11" s="1564"/>
      <c r="Y11" s="3643"/>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35"/>
      <c r="F12" s="251">
        <f>SUMIF(70:70,E12,71:71)-SUMIF(70:70,C12,71:71)+100</f>
        <v>100</v>
      </c>
      <c r="G12" s="908"/>
      <c r="H12" s="251">
        <f>SUMIF(70:70,G12,71:71)-SUMIF(70:70,C12,71:71)+100</f>
        <v>100</v>
      </c>
      <c r="I12" s="535"/>
      <c r="J12" s="251">
        <f>SUMIF(70:70,I12,71:71)-SUMIF(70:70,C12,71:71)+100</f>
        <v>100</v>
      </c>
      <c r="K12" s="577"/>
      <c r="L12" s="2130"/>
      <c r="M12" s="2131"/>
      <c r="N12" s="2131"/>
      <c r="O12" s="2132"/>
      <c r="P12" s="3701"/>
      <c r="Q12" s="1147">
        <f t="shared" si="6"/>
        <v>111</v>
      </c>
      <c r="R12" s="1562" t="s">
        <v>8</v>
      </c>
      <c r="S12" s="1563">
        <f t="shared" si="0"/>
        <v>100</v>
      </c>
      <c r="T12" s="1562" t="s">
        <v>8</v>
      </c>
      <c r="U12" s="1563">
        <f t="shared" si="1"/>
        <v>100</v>
      </c>
      <c r="V12" s="1562" t="s">
        <v>8</v>
      </c>
      <c r="W12" s="1563">
        <f t="shared" si="2"/>
        <v>100</v>
      </c>
      <c r="X12" s="1564"/>
      <c r="Y12" s="3643"/>
      <c r="Z12" s="1146">
        <f t="shared" si="7"/>
        <v>111</v>
      </c>
      <c r="AA12" s="1565">
        <f>D12/F12</f>
        <v>1</v>
      </c>
      <c r="AB12" s="1565">
        <f>D12/H12</f>
        <v>1</v>
      </c>
      <c r="AC12" s="1565">
        <f>D12/J12</f>
        <v>1</v>
      </c>
    </row>
    <row r="13" spans="1:29" ht="15">
      <c r="A13" s="2937"/>
      <c r="B13" s="2943">
        <v>111</v>
      </c>
      <c r="C13" s="535"/>
      <c r="D13" s="536">
        <v>100</v>
      </c>
      <c r="E13" s="535"/>
      <c r="F13" s="251">
        <f>SUMIF(72:72,E13,73:73)-SUMIF(72:72,C13,73:73)+100</f>
        <v>100</v>
      </c>
      <c r="G13" s="908"/>
      <c r="H13" s="536">
        <f>SUMIF(72:72,G13,73:73)-SUMIF(72:72,C13,73:73)+100</f>
        <v>100</v>
      </c>
      <c r="I13" s="535"/>
      <c r="J13" s="536">
        <f>SUMIF(72:72,I13,73:73)-SUMIF(72:72,C13,73:73)+100</f>
        <v>100</v>
      </c>
      <c r="K13" s="577"/>
      <c r="L13" s="2137"/>
      <c r="M13" s="2129"/>
      <c r="N13" s="2129"/>
      <c r="O13" s="2136"/>
      <c r="P13" s="3701"/>
      <c r="Q13" s="1147">
        <f t="shared" si="6"/>
        <v>111</v>
      </c>
      <c r="R13" s="1562" t="s">
        <v>8</v>
      </c>
      <c r="S13" s="1563">
        <f t="shared" si="0"/>
        <v>100</v>
      </c>
      <c r="T13" s="1562" t="s">
        <v>8</v>
      </c>
      <c r="U13" s="1563">
        <f t="shared" si="1"/>
        <v>100</v>
      </c>
      <c r="V13" s="1562" t="s">
        <v>8</v>
      </c>
      <c r="W13" s="1563">
        <f t="shared" si="2"/>
        <v>100</v>
      </c>
      <c r="X13" s="1564"/>
      <c r="Y13" s="3643"/>
      <c r="Z13" s="1146">
        <f t="shared" si="7"/>
        <v>111</v>
      </c>
      <c r="AA13" s="1565">
        <f t="shared" si="3"/>
        <v>1</v>
      </c>
      <c r="AB13" s="1565">
        <f t="shared" si="4"/>
        <v>1</v>
      </c>
      <c r="AC13" s="1565">
        <f t="shared" si="5"/>
        <v>1</v>
      </c>
    </row>
    <row r="14" spans="1:29" ht="15.75" thickBot="1">
      <c r="A14" s="2938"/>
      <c r="B14" s="2944">
        <v>111</v>
      </c>
      <c r="C14" s="541"/>
      <c r="D14" s="542">
        <v>100</v>
      </c>
      <c r="E14" s="541"/>
      <c r="F14" s="542">
        <f>SUMIF(74:74,E14,75:75)-SUMIF(74:74,C14,75:75)+100</f>
        <v>100</v>
      </c>
      <c r="G14" s="908"/>
      <c r="H14" s="542">
        <f>SUMIF(74:74,G14,75:75)-SUMIF(74:74,C14,75:75)+100</f>
        <v>100</v>
      </c>
      <c r="I14" s="535"/>
      <c r="J14" s="542">
        <f>SUMIF(74:74,I14,75:75)-SUMIF(74:74,C14,75:75)+100</f>
        <v>100</v>
      </c>
      <c r="K14" s="577"/>
      <c r="L14" s="2137"/>
      <c r="M14" s="2129"/>
      <c r="N14" s="2129"/>
      <c r="O14" s="2136"/>
      <c r="P14" s="3701"/>
      <c r="Q14" s="1147">
        <f t="shared" si="6"/>
        <v>111</v>
      </c>
      <c r="R14" s="1562" t="s">
        <v>8</v>
      </c>
      <c r="S14" s="1563">
        <f t="shared" si="0"/>
        <v>100</v>
      </c>
      <c r="T14" s="1562" t="s">
        <v>8</v>
      </c>
      <c r="U14" s="1563">
        <f t="shared" si="1"/>
        <v>100</v>
      </c>
      <c r="V14" s="1562" t="s">
        <v>8</v>
      </c>
      <c r="W14" s="1563">
        <f t="shared" si="2"/>
        <v>100</v>
      </c>
      <c r="X14" s="1564"/>
      <c r="Y14" s="3643"/>
      <c r="Z14" s="1146">
        <f t="shared" si="7"/>
        <v>111</v>
      </c>
      <c r="AA14" s="1565">
        <f t="shared" si="3"/>
        <v>1</v>
      </c>
      <c r="AB14" s="1565">
        <f t="shared" si="4"/>
        <v>1</v>
      </c>
      <c r="AC14" s="1565">
        <f t="shared" si="5"/>
        <v>1</v>
      </c>
    </row>
    <row r="15" spans="1:29" ht="128.25">
      <c r="A15" s="2930" t="s">
        <v>2761</v>
      </c>
      <c r="B15" s="165" t="s">
        <v>542</v>
      </c>
      <c r="C15" s="863" t="str">
        <f>估价对象房地状况!C4</f>
        <v>估价对象位于管庄商圈，周边商业氛围成熟较好，人流量较大，周边2公里有万豪购物广场、国泰百货等多个商业项目，商业繁华度较好</v>
      </c>
      <c r="D15" s="545">
        <v>100</v>
      </c>
      <c r="E15" s="546"/>
      <c r="F15" s="547">
        <f>SUMIF(76:76,E16,77:77)-SUMIF(76:76,C16,77:77)+100</f>
        <v>100</v>
      </c>
      <c r="G15" s="548"/>
      <c r="H15" s="545">
        <f>SUMIF(76:76,G16,77:77)-SUMIF(76:76,C16,77:77)+100</f>
        <v>100</v>
      </c>
      <c r="I15" s="546"/>
      <c r="J15" s="545">
        <f>SUMIF(76:76,I16,77:77)-SUMIF(76:76,C16,77:77)+100</f>
        <v>100</v>
      </c>
      <c r="K15" s="894"/>
      <c r="L15" s="2137"/>
      <c r="M15" s="2129"/>
      <c r="N15" s="2129"/>
      <c r="O15" s="2136"/>
      <c r="P15" s="3735" t="s">
        <v>541</v>
      </c>
      <c r="Q15" s="1566" t="str">
        <f t="shared" si="6"/>
        <v>商业繁华度</v>
      </c>
      <c r="R15" s="1567" t="s">
        <v>8</v>
      </c>
      <c r="S15" s="1568">
        <f t="shared" si="0"/>
        <v>100</v>
      </c>
      <c r="T15" s="1567" t="s">
        <v>8</v>
      </c>
      <c r="U15" s="1568">
        <f t="shared" si="1"/>
        <v>100</v>
      </c>
      <c r="V15" s="1567" t="s">
        <v>8</v>
      </c>
      <c r="W15" s="1568">
        <f t="shared" si="2"/>
        <v>100</v>
      </c>
      <c r="X15" s="1561"/>
      <c r="Y15" s="3735" t="s">
        <v>541</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36"/>
      <c r="Q16" s="1566"/>
      <c r="R16" s="1567"/>
      <c r="S16" s="1568"/>
      <c r="T16" s="1567"/>
      <c r="U16" s="1568"/>
      <c r="V16" s="1567"/>
      <c r="W16" s="1568"/>
      <c r="X16" s="1561"/>
      <c r="Y16" s="3736"/>
      <c r="Z16" s="1569"/>
      <c r="AA16" s="1570">
        <v>1</v>
      </c>
      <c r="AB16" s="1570">
        <v>1</v>
      </c>
      <c r="AC16" s="1570">
        <v>1</v>
      </c>
    </row>
    <row r="17" spans="1:29" ht="142.5">
      <c r="A17" s="528"/>
      <c r="B17" s="867" t="s">
        <v>296</v>
      </c>
      <c r="C17" s="868" t="str">
        <f>估价对象房地状况!C6</f>
        <v>估价对象周边道路状况较好、公共交通通达情况一般、停车便捷程度较好，有364、532、690路等公交线路及地铁八通线，综合评价交通便捷度一般</v>
      </c>
      <c r="D17" s="555">
        <v>100</v>
      </c>
      <c r="E17" s="558"/>
      <c r="F17" s="559">
        <f>SUMIF(78:78,E18,79:79)-SUMIF(78:78,C18,79:79)+100</f>
        <v>100</v>
      </c>
      <c r="G17" s="560"/>
      <c r="H17" s="561">
        <f>SUMIF(78:78,G18,79:79)-SUMIF(78:78,C18,79:79)+100</f>
        <v>100</v>
      </c>
      <c r="I17" s="558"/>
      <c r="J17" s="561">
        <f>SUMIF(78:78,I18,79:79)-SUMIF(78:78,C18,79:79)+100</f>
        <v>100</v>
      </c>
      <c r="K17" s="894"/>
      <c r="L17" s="2137"/>
      <c r="M17" s="2129"/>
      <c r="N17" s="2129"/>
      <c r="O17" s="2136"/>
      <c r="P17" s="3736"/>
      <c r="Q17" s="1566" t="str">
        <f>B17</f>
        <v>交通便捷度</v>
      </c>
      <c r="R17" s="1567" t="s">
        <v>8</v>
      </c>
      <c r="S17" s="1568">
        <f>F17</f>
        <v>100</v>
      </c>
      <c r="T17" s="1567" t="s">
        <v>8</v>
      </c>
      <c r="U17" s="1568">
        <f>H17</f>
        <v>100</v>
      </c>
      <c r="V17" s="1567" t="s">
        <v>8</v>
      </c>
      <c r="W17" s="1568">
        <f>J17</f>
        <v>100</v>
      </c>
      <c r="X17" s="1561"/>
      <c r="Y17" s="3736"/>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36"/>
      <c r="Q18" s="1566"/>
      <c r="R18" s="1567"/>
      <c r="S18" s="1568"/>
      <c r="T18" s="1567"/>
      <c r="U18" s="1568"/>
      <c r="V18" s="1567"/>
      <c r="W18" s="1568"/>
      <c r="X18" s="1561"/>
      <c r="Y18" s="3736"/>
      <c r="Z18" s="1569"/>
      <c r="AA18" s="1570">
        <v>1</v>
      </c>
      <c r="AB18" s="1570">
        <v>1</v>
      </c>
      <c r="AC18" s="1570">
        <v>1</v>
      </c>
    </row>
    <row r="19" spans="1:29" ht="42.75">
      <c r="A19" s="528"/>
      <c r="B19" s="2619" t="s">
        <v>2553</v>
      </c>
      <c r="C19" s="868" t="str">
        <f>估价对象房地状况!C7</f>
        <v>估价对象所在区域公共配套设施齐备情况较好</v>
      </c>
      <c r="D19" s="561">
        <v>100</v>
      </c>
      <c r="E19" s="566"/>
      <c r="F19" s="567">
        <f>SUMIF(80:80,E20,81:81)-SUMIF(80:80,C20,81:81)+100</f>
        <v>100</v>
      </c>
      <c r="G19" s="568"/>
      <c r="H19" s="555">
        <f>SUMIF(80:80,G20,81:81)-SUMIF(80:80,C20,81:81)+100</f>
        <v>100</v>
      </c>
      <c r="I19" s="566"/>
      <c r="J19" s="555">
        <f>SUMIF(80:80,I20,81:81)-SUMIF(80:80,C20,81:81)+100</f>
        <v>100</v>
      </c>
      <c r="K19" s="894"/>
      <c r="L19" s="2137"/>
      <c r="M19" s="2129"/>
      <c r="N19" s="2129"/>
      <c r="O19" s="2136"/>
      <c r="P19" s="3736"/>
      <c r="Q19" s="1566" t="str">
        <f>B19</f>
        <v>公共配套设施</v>
      </c>
      <c r="R19" s="1567" t="s">
        <v>8</v>
      </c>
      <c r="S19" s="1568">
        <f>F19</f>
        <v>100</v>
      </c>
      <c r="T19" s="1567" t="s">
        <v>8</v>
      </c>
      <c r="U19" s="1568">
        <f>H19</f>
        <v>100</v>
      </c>
      <c r="V19" s="1567" t="s">
        <v>8</v>
      </c>
      <c r="W19" s="1568">
        <f>J19</f>
        <v>100</v>
      </c>
      <c r="X19" s="1561"/>
      <c r="Y19" s="3736"/>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5"/>
      <c r="L20" s="2137"/>
      <c r="M20" s="2129"/>
      <c r="N20" s="2129"/>
      <c r="O20" s="2136"/>
      <c r="P20" s="3736"/>
      <c r="Q20" s="1566"/>
      <c r="R20" s="1567"/>
      <c r="S20" s="1568"/>
      <c r="T20" s="1567"/>
      <c r="U20" s="1568"/>
      <c r="V20" s="1567"/>
      <c r="W20" s="1568"/>
      <c r="X20" s="1561"/>
      <c r="Y20" s="3736"/>
      <c r="Z20" s="1569"/>
      <c r="AA20" s="1570">
        <v>1</v>
      </c>
      <c r="AB20" s="1570">
        <v>1</v>
      </c>
      <c r="AC20" s="1570">
        <v>1</v>
      </c>
    </row>
    <row r="21" spans="1:29" ht="15">
      <c r="A21" s="528"/>
      <c r="B21" s="2612" t="s">
        <v>2565</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94"/>
      <c r="L21" s="2137"/>
      <c r="M21" s="2129"/>
      <c r="N21" s="2129"/>
      <c r="O21" s="2136"/>
      <c r="P21" s="3736"/>
      <c r="Q21" s="2598" t="str">
        <f>B21</f>
        <v>基础设施水平</v>
      </c>
      <c r="R21" s="1567" t="s">
        <v>8</v>
      </c>
      <c r="S21" s="1568">
        <f>F21</f>
        <v>100</v>
      </c>
      <c r="T21" s="1567" t="s">
        <v>8</v>
      </c>
      <c r="U21" s="1568">
        <f>H21</f>
        <v>100</v>
      </c>
      <c r="V21" s="1567" t="s">
        <v>8</v>
      </c>
      <c r="W21" s="1568">
        <f>J21</f>
        <v>100</v>
      </c>
      <c r="X21" s="2600"/>
      <c r="Y21" s="3736"/>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21"/>
      <c r="L22" s="2137"/>
      <c r="M22" s="2129"/>
      <c r="N22" s="2129"/>
      <c r="O22" s="2136"/>
      <c r="P22" s="3736"/>
      <c r="Q22" s="2598"/>
      <c r="R22" s="1567"/>
      <c r="S22" s="1568"/>
      <c r="T22" s="1567"/>
      <c r="U22" s="1568"/>
      <c r="V22" s="1567"/>
      <c r="W22" s="1568"/>
      <c r="X22" s="2600"/>
      <c r="Y22" s="3736"/>
      <c r="Z22" s="2599"/>
      <c r="AA22" s="1570">
        <v>1</v>
      </c>
      <c r="AB22" s="1570">
        <v>1</v>
      </c>
      <c r="AC22" s="1570">
        <v>1</v>
      </c>
    </row>
    <row r="23" spans="1:29" ht="99.75">
      <c r="A23" s="528"/>
      <c r="B23" s="867" t="s">
        <v>297</v>
      </c>
      <c r="C23" s="896" t="str">
        <f>估价对象房地状况!C9</f>
        <v>区域自然环境：八里桥音乐主题公园、西汇公园、金田公园等；人文环境；综合评价环境状况较好</v>
      </c>
      <c r="D23" s="555">
        <v>100</v>
      </c>
      <c r="E23" s="558"/>
      <c r="F23" s="559">
        <f>SUMIF(84:84,E24,85:85)-SUMIF(84:84,C24,85:85)+100</f>
        <v>100</v>
      </c>
      <c r="G23" s="560"/>
      <c r="H23" s="555">
        <f>SUMIF(84:84,G24,85:85)-SUMIF(84:84,C24,85:85)+100</f>
        <v>100</v>
      </c>
      <c r="I23" s="558"/>
      <c r="J23" s="555">
        <f>SUMIF(84:84,I24,85:85)-SUMIF(84:84,C24,85:85)+100</f>
        <v>100</v>
      </c>
      <c r="K23" s="894"/>
      <c r="L23" s="2137"/>
      <c r="M23" s="2129"/>
      <c r="N23" s="2129"/>
      <c r="O23" s="2136"/>
      <c r="P23" s="3736"/>
      <c r="Q23" s="1566" t="str">
        <f>B23</f>
        <v>自然及人文环境</v>
      </c>
      <c r="R23" s="1567" t="s">
        <v>8</v>
      </c>
      <c r="S23" s="1568">
        <f>F23</f>
        <v>100</v>
      </c>
      <c r="T23" s="1567" t="s">
        <v>8</v>
      </c>
      <c r="U23" s="1568">
        <f>H23</f>
        <v>100</v>
      </c>
      <c r="V23" s="1567" t="s">
        <v>8</v>
      </c>
      <c r="W23" s="1568">
        <f>J23</f>
        <v>100</v>
      </c>
      <c r="X23" s="1561"/>
      <c r="Y23" s="3736"/>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5"/>
      <c r="L24" s="2137"/>
      <c r="M24" s="2129"/>
      <c r="N24" s="2129"/>
      <c r="O24" s="2136"/>
      <c r="P24" s="3736"/>
      <c r="Q24" s="1566"/>
      <c r="R24" s="1567"/>
      <c r="S24" s="1568"/>
      <c r="T24" s="1567"/>
      <c r="U24" s="1568"/>
      <c r="V24" s="1567"/>
      <c r="W24" s="1568"/>
      <c r="X24" s="1561"/>
      <c r="Y24" s="3736"/>
      <c r="Z24" s="1569"/>
      <c r="AA24" s="1570">
        <v>1</v>
      </c>
      <c r="AB24" s="1570">
        <v>1</v>
      </c>
      <c r="AC24" s="1570">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36"/>
      <c r="Q25" s="1566" t="str">
        <f t="shared" ref="Q25:Q46" si="11">B25</f>
        <v>临街状况</v>
      </c>
      <c r="R25" s="1567" t="s">
        <v>8</v>
      </c>
      <c r="S25" s="1568">
        <f>F25</f>
        <v>100</v>
      </c>
      <c r="T25" s="1567" t="s">
        <v>8</v>
      </c>
      <c r="U25" s="1568">
        <f>H25</f>
        <v>100</v>
      </c>
      <c r="V25" s="1567" t="s">
        <v>8</v>
      </c>
      <c r="W25" s="1568">
        <f>J25</f>
        <v>100</v>
      </c>
      <c r="X25" s="1561"/>
      <c r="Y25" s="3736"/>
      <c r="Z25" s="1569" t="str">
        <f>Q25</f>
        <v>临街状况</v>
      </c>
      <c r="AA25" s="1570">
        <f t="shared" si="3"/>
        <v>1</v>
      </c>
      <c r="AB25" s="1570">
        <f t="shared" si="4"/>
        <v>1</v>
      </c>
      <c r="AC25" s="1570">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36"/>
      <c r="Q26" s="1566" t="str">
        <f t="shared" si="11"/>
        <v>平面位置/可视性</v>
      </c>
      <c r="R26" s="1567" t="s">
        <v>8</v>
      </c>
      <c r="S26" s="1568">
        <f>F26</f>
        <v>100</v>
      </c>
      <c r="T26" s="1567" t="s">
        <v>8</v>
      </c>
      <c r="U26" s="1568">
        <f>H26</f>
        <v>100</v>
      </c>
      <c r="V26" s="1567" t="s">
        <v>8</v>
      </c>
      <c r="W26" s="1568">
        <f>J26</f>
        <v>100</v>
      </c>
      <c r="X26" s="1561"/>
      <c r="Y26" s="3736"/>
      <c r="Z26" s="1569" t="str">
        <f>Q26</f>
        <v>平面位置/可视性</v>
      </c>
      <c r="AA26" s="1570">
        <f t="shared" si="3"/>
        <v>1</v>
      </c>
      <c r="AB26" s="1570">
        <f t="shared" si="4"/>
        <v>1</v>
      </c>
      <c r="AC26" s="1570">
        <f t="shared" si="5"/>
        <v>1</v>
      </c>
    </row>
    <row r="27" spans="1:29" s="1216" customFormat="1" ht="15">
      <c r="A27" s="532"/>
      <c r="B27" s="867" t="s">
        <v>760</v>
      </c>
      <c r="C27" s="897"/>
      <c r="D27" s="871">
        <v>100</v>
      </c>
      <c r="E27" s="897"/>
      <c r="F27" s="872">
        <f>SUMIF(90:90,E27,91:91)-SUMIF(90:90,C27,91:91)+100</f>
        <v>100</v>
      </c>
      <c r="G27" s="897"/>
      <c r="H27" s="871">
        <f>SUMIF(90:90,G27,91:91)-SUMIF(90:90,C27,91:91)+100</f>
        <v>100</v>
      </c>
      <c r="I27" s="897"/>
      <c r="J27" s="871">
        <f>SUMIF(90:90,I27,91:91)-SUMIF(90:90,C27,91:91)+100</f>
        <v>100</v>
      </c>
      <c r="K27" s="580"/>
      <c r="L27" s="2130"/>
      <c r="M27" s="2131"/>
      <c r="N27" s="2131"/>
      <c r="O27" s="2132"/>
      <c r="P27" s="3736"/>
      <c r="Q27" s="1147" t="str">
        <f t="shared" si="11"/>
        <v>人流量</v>
      </c>
      <c r="R27" s="1562" t="s">
        <v>8</v>
      </c>
      <c r="S27" s="1563">
        <f>F27</f>
        <v>100</v>
      </c>
      <c r="T27" s="1562" t="s">
        <v>8</v>
      </c>
      <c r="U27" s="1563">
        <f>H27</f>
        <v>100</v>
      </c>
      <c r="V27" s="1562" t="s">
        <v>8</v>
      </c>
      <c r="W27" s="1563">
        <f>J27</f>
        <v>100</v>
      </c>
      <c r="X27" s="1564"/>
      <c r="Y27" s="3736"/>
      <c r="Z27" s="1146" t="str">
        <f>Q27</f>
        <v>人流量</v>
      </c>
      <c r="AA27" s="1570">
        <f>D27/F27</f>
        <v>1</v>
      </c>
      <c r="AB27" s="1570">
        <f>D27/H27</f>
        <v>1</v>
      </c>
      <c r="AC27" s="1570">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36"/>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736"/>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36"/>
      <c r="Q29" s="1566">
        <f t="shared" si="11"/>
        <v>111</v>
      </c>
      <c r="R29" s="1567" t="s">
        <v>8</v>
      </c>
      <c r="S29" s="1568">
        <f t="shared" si="12"/>
        <v>100</v>
      </c>
      <c r="T29" s="1567" t="s">
        <v>8</v>
      </c>
      <c r="U29" s="1568">
        <f t="shared" si="13"/>
        <v>100</v>
      </c>
      <c r="V29" s="1567" t="s">
        <v>8</v>
      </c>
      <c r="W29" s="1568">
        <f t="shared" si="14"/>
        <v>100</v>
      </c>
      <c r="X29" s="1561"/>
      <c r="Y29" s="3736"/>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36"/>
      <c r="Q30" s="1566">
        <f t="shared" si="11"/>
        <v>111</v>
      </c>
      <c r="R30" s="1567" t="s">
        <v>8</v>
      </c>
      <c r="S30" s="1568">
        <f t="shared" si="12"/>
        <v>100</v>
      </c>
      <c r="T30" s="1567" t="s">
        <v>8</v>
      </c>
      <c r="U30" s="1568">
        <f t="shared" si="13"/>
        <v>100</v>
      </c>
      <c r="V30" s="1567" t="s">
        <v>8</v>
      </c>
      <c r="W30" s="1568">
        <f t="shared" si="14"/>
        <v>100</v>
      </c>
      <c r="X30" s="1561"/>
      <c r="Y30" s="3736"/>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36"/>
      <c r="Q31" s="1566">
        <f t="shared" si="11"/>
        <v>111</v>
      </c>
      <c r="R31" s="1567" t="s">
        <v>8</v>
      </c>
      <c r="S31" s="1568">
        <f t="shared" si="12"/>
        <v>100</v>
      </c>
      <c r="T31" s="1567" t="s">
        <v>8</v>
      </c>
      <c r="U31" s="1568">
        <f t="shared" si="13"/>
        <v>100</v>
      </c>
      <c r="V31" s="1567" t="s">
        <v>8</v>
      </c>
      <c r="W31" s="1568">
        <f t="shared" si="14"/>
        <v>100</v>
      </c>
      <c r="X31" s="1561"/>
      <c r="Y31" s="3736"/>
      <c r="Z31" s="1569">
        <f t="shared" si="15"/>
        <v>111</v>
      </c>
      <c r="AA31" s="1570">
        <f t="shared" si="3"/>
        <v>1</v>
      </c>
      <c r="AB31" s="1570">
        <f t="shared" si="4"/>
        <v>1</v>
      </c>
      <c r="AC31" s="1570">
        <f t="shared" si="5"/>
        <v>1</v>
      </c>
    </row>
    <row r="32" spans="1:29" ht="15">
      <c r="A32" s="2927" t="s">
        <v>2762</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37" t="s">
        <v>551</v>
      </c>
      <c r="Q32" s="1566" t="str">
        <f t="shared" si="11"/>
        <v>商业类型</v>
      </c>
      <c r="R32" s="1567" t="s">
        <v>8</v>
      </c>
      <c r="S32" s="1568">
        <f t="shared" si="12"/>
        <v>100</v>
      </c>
      <c r="T32" s="1567" t="s">
        <v>8</v>
      </c>
      <c r="U32" s="1568">
        <f t="shared" si="13"/>
        <v>100</v>
      </c>
      <c r="V32" s="1567" t="s">
        <v>8</v>
      </c>
      <c r="W32" s="1568">
        <f t="shared" si="14"/>
        <v>100</v>
      </c>
      <c r="X32" s="1561"/>
      <c r="Y32" s="3738" t="s">
        <v>551</v>
      </c>
      <c r="Z32" s="1569" t="str">
        <f t="shared" si="15"/>
        <v>商业类型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38"/>
      <c r="Q33" s="1599" t="str">
        <f t="shared" si="11"/>
        <v>项目建筑规模</v>
      </c>
      <c r="R33" s="1571" t="s">
        <v>8</v>
      </c>
      <c r="S33" s="1572" t="e">
        <f t="shared" si="12"/>
        <v>#N/A</v>
      </c>
      <c r="T33" s="1571" t="s">
        <v>8</v>
      </c>
      <c r="U33" s="1572" t="e">
        <f t="shared" si="13"/>
        <v>#N/A</v>
      </c>
      <c r="V33" s="1571" t="s">
        <v>8</v>
      </c>
      <c r="W33" s="1572" t="e">
        <f t="shared" si="14"/>
        <v>#N/A</v>
      </c>
      <c r="X33" s="1573"/>
      <c r="Y33" s="3738"/>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7"/>
      <c r="M34" s="2129"/>
      <c r="N34" s="2129"/>
      <c r="O34" s="2136"/>
      <c r="P34" s="3738"/>
      <c r="Q34" s="1566" t="str">
        <f t="shared" si="11"/>
        <v>建筑结构</v>
      </c>
      <c r="R34" s="1567" t="s">
        <v>8</v>
      </c>
      <c r="S34" s="1568">
        <f t="shared" si="12"/>
        <v>100</v>
      </c>
      <c r="T34" s="1567" t="s">
        <v>8</v>
      </c>
      <c r="U34" s="1568">
        <f t="shared" si="13"/>
        <v>100</v>
      </c>
      <c r="V34" s="1567" t="s">
        <v>8</v>
      </c>
      <c r="W34" s="1568">
        <f t="shared" si="14"/>
        <v>100</v>
      </c>
      <c r="X34" s="1561"/>
      <c r="Y34" s="3738"/>
      <c r="Z34" s="1569" t="str">
        <f t="shared" si="15"/>
        <v>建筑结构</v>
      </c>
      <c r="AA34" s="1570">
        <f t="shared" si="3"/>
        <v>1</v>
      </c>
      <c r="AB34" s="1570">
        <f t="shared" si="4"/>
        <v>1</v>
      </c>
      <c r="AC34" s="1570">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38"/>
      <c r="Q35" s="1566" t="str">
        <f t="shared" si="11"/>
        <v>公共部分装修</v>
      </c>
      <c r="R35" s="1567" t="s">
        <v>8</v>
      </c>
      <c r="S35" s="1568">
        <f t="shared" si="12"/>
        <v>100</v>
      </c>
      <c r="T35" s="1567" t="s">
        <v>8</v>
      </c>
      <c r="U35" s="1568">
        <f t="shared" si="13"/>
        <v>100</v>
      </c>
      <c r="V35" s="1567" t="s">
        <v>8</v>
      </c>
      <c r="W35" s="1568">
        <f t="shared" si="14"/>
        <v>100</v>
      </c>
      <c r="X35" s="1561"/>
      <c r="Y35" s="3738"/>
      <c r="Z35" s="1569" t="str">
        <f t="shared" si="15"/>
        <v>公共部分装修</v>
      </c>
      <c r="AA35" s="1570">
        <f t="shared" si="3"/>
        <v>1</v>
      </c>
      <c r="AB35" s="1570">
        <f t="shared" si="4"/>
        <v>1</v>
      </c>
      <c r="AC35" s="1570">
        <f t="shared" si="5"/>
        <v>1</v>
      </c>
    </row>
    <row r="36" spans="1:29" ht="15">
      <c r="A36" s="590"/>
      <c r="B36" s="523" t="s">
        <v>765</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7"/>
      <c r="M36" s="2129"/>
      <c r="N36" s="2129"/>
      <c r="O36" s="2136"/>
      <c r="P36" s="3738"/>
      <c r="Q36" s="1566" t="str">
        <f t="shared" si="11"/>
        <v>成新度</v>
      </c>
      <c r="R36" s="1567" t="s">
        <v>8</v>
      </c>
      <c r="S36" s="1568" t="e">
        <f t="shared" si="12"/>
        <v>#N/A</v>
      </c>
      <c r="T36" s="1567" t="s">
        <v>8</v>
      </c>
      <c r="U36" s="1568" t="e">
        <f t="shared" si="13"/>
        <v>#N/A</v>
      </c>
      <c r="V36" s="1567" t="s">
        <v>8</v>
      </c>
      <c r="W36" s="1568" t="e">
        <f t="shared" si="14"/>
        <v>#N/A</v>
      </c>
      <c r="X36" s="1561"/>
      <c r="Y36" s="3738"/>
      <c r="Z36" s="1569" t="str">
        <f t="shared" si="15"/>
        <v>成新度</v>
      </c>
      <c r="AA36" s="1570" t="e">
        <f t="shared" si="3"/>
        <v>#N/A</v>
      </c>
      <c r="AB36" s="1570" t="e">
        <f t="shared" si="4"/>
        <v>#N/A</v>
      </c>
      <c r="AC36" s="1570" t="e">
        <f t="shared" si="5"/>
        <v>#N/A</v>
      </c>
    </row>
    <row r="37" spans="1:29" s="1216" customFormat="1" ht="15">
      <c r="A37" s="596"/>
      <c r="B37" s="1890" t="s">
        <v>2572</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38"/>
      <c r="Q37" s="1147" t="str">
        <f t="shared" si="11"/>
        <v>市政基础设施</v>
      </c>
      <c r="R37" s="1562" t="s">
        <v>8</v>
      </c>
      <c r="S37" s="1563">
        <f t="shared" si="12"/>
        <v>100</v>
      </c>
      <c r="T37" s="1562" t="s">
        <v>8</v>
      </c>
      <c r="U37" s="1563">
        <f t="shared" si="13"/>
        <v>100</v>
      </c>
      <c r="V37" s="1562" t="s">
        <v>8</v>
      </c>
      <c r="W37" s="1563">
        <f t="shared" si="14"/>
        <v>100</v>
      </c>
      <c r="X37" s="1564"/>
      <c r="Y37" s="3738"/>
      <c r="Z37" s="1146" t="str">
        <f t="shared" si="15"/>
        <v>市政基础设施</v>
      </c>
      <c r="AA37" s="1565">
        <f t="shared" si="3"/>
        <v>1</v>
      </c>
      <c r="AB37" s="1565">
        <f t="shared" si="4"/>
        <v>1</v>
      </c>
      <c r="AC37" s="1565">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38" t="s">
        <v>767</v>
      </c>
      <c r="Q38" s="1566" t="str">
        <f t="shared" si="11"/>
        <v>业态</v>
      </c>
      <c r="R38" s="1567" t="s">
        <v>8</v>
      </c>
      <c r="S38" s="1568">
        <f t="shared" si="12"/>
        <v>100</v>
      </c>
      <c r="T38" s="1567" t="s">
        <v>8</v>
      </c>
      <c r="U38" s="1568">
        <f t="shared" si="13"/>
        <v>100</v>
      </c>
      <c r="V38" s="1567" t="s">
        <v>8</v>
      </c>
      <c r="W38" s="1568">
        <f t="shared" si="14"/>
        <v>100</v>
      </c>
      <c r="X38" s="1561"/>
      <c r="Y38" s="3738" t="s">
        <v>767</v>
      </c>
      <c r="Z38" s="1569" t="str">
        <f t="shared" si="15"/>
        <v>业态</v>
      </c>
      <c r="AA38" s="1570">
        <f t="shared" si="3"/>
        <v>1</v>
      </c>
      <c r="AB38" s="1570">
        <f t="shared" si="4"/>
        <v>1</v>
      </c>
      <c r="AC38" s="1570">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38"/>
      <c r="Q39" s="1566" t="str">
        <f t="shared" si="11"/>
        <v>层高</v>
      </c>
      <c r="R39" s="1567" t="s">
        <v>8</v>
      </c>
      <c r="S39" s="1568">
        <f t="shared" si="12"/>
        <v>100</v>
      </c>
      <c r="T39" s="1567" t="s">
        <v>8</v>
      </c>
      <c r="U39" s="1568">
        <f t="shared" si="13"/>
        <v>100</v>
      </c>
      <c r="V39" s="1567" t="s">
        <v>8</v>
      </c>
      <c r="W39" s="1568">
        <f t="shared" si="14"/>
        <v>100</v>
      </c>
      <c r="X39" s="1561"/>
      <c r="Y39" s="3738"/>
      <c r="Z39" s="1569" t="str">
        <f t="shared" si="15"/>
        <v>层高</v>
      </c>
      <c r="AA39" s="1570">
        <f t="shared" si="3"/>
        <v>1</v>
      </c>
      <c r="AB39" s="1570">
        <f t="shared" si="4"/>
        <v>1</v>
      </c>
      <c r="AC39" s="1570">
        <f t="shared" si="5"/>
        <v>1</v>
      </c>
    </row>
    <row r="40" spans="1:29" ht="15">
      <c r="A40" s="590"/>
      <c r="B40" s="523" t="s">
        <v>769</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7"/>
      <c r="M40" s="2129"/>
      <c r="N40" s="2129"/>
      <c r="O40" s="2136"/>
      <c r="P40" s="3738"/>
      <c r="Q40" s="1566" t="str">
        <f t="shared" si="11"/>
        <v>单套建筑面积</v>
      </c>
      <c r="R40" s="1567" t="s">
        <v>8</v>
      </c>
      <c r="S40" s="1568">
        <f t="shared" si="12"/>
        <v>100</v>
      </c>
      <c r="T40" s="1567" t="s">
        <v>8</v>
      </c>
      <c r="U40" s="1568">
        <f t="shared" si="13"/>
        <v>100</v>
      </c>
      <c r="V40" s="1567" t="s">
        <v>8</v>
      </c>
      <c r="W40" s="1568">
        <f t="shared" si="14"/>
        <v>100</v>
      </c>
      <c r="X40" s="1561"/>
      <c r="Y40" s="3738"/>
      <c r="Z40" s="1569" t="str">
        <f t="shared" si="15"/>
        <v>单套建筑面积</v>
      </c>
      <c r="AA40" s="1570">
        <f t="shared" si="3"/>
        <v>1</v>
      </c>
      <c r="AB40" s="1570">
        <f t="shared" si="4"/>
        <v>1</v>
      </c>
      <c r="AC40" s="1570">
        <f t="shared" si="5"/>
        <v>1</v>
      </c>
    </row>
    <row r="41" spans="1:29" s="1335" customFormat="1" ht="15">
      <c r="A41" s="599"/>
      <c r="B41" s="900"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38"/>
      <c r="Q41" s="1599" t="str">
        <f t="shared" si="11"/>
        <v>进深比</v>
      </c>
      <c r="R41" s="1571" t="s">
        <v>8</v>
      </c>
      <c r="S41" s="1572">
        <f t="shared" si="12"/>
        <v>100</v>
      </c>
      <c r="T41" s="1571" t="s">
        <v>8</v>
      </c>
      <c r="U41" s="1572">
        <f t="shared" si="13"/>
        <v>100</v>
      </c>
      <c r="V41" s="1571" t="s">
        <v>8</v>
      </c>
      <c r="W41" s="1572">
        <f t="shared" si="14"/>
        <v>100</v>
      </c>
      <c r="X41" s="1573"/>
      <c r="Y41" s="3738"/>
      <c r="Z41" s="1574" t="str">
        <f t="shared" si="15"/>
        <v>进深比</v>
      </c>
      <c r="AA41" s="1570">
        <f t="shared" si="3"/>
        <v>1</v>
      </c>
      <c r="AB41" s="1570">
        <f t="shared" si="4"/>
        <v>1</v>
      </c>
      <c r="AC41" s="1570">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38"/>
      <c r="Q42" s="1566" t="str">
        <f t="shared" si="11"/>
        <v>内部装修</v>
      </c>
      <c r="R42" s="1567" t="s">
        <v>8</v>
      </c>
      <c r="S42" s="1568">
        <f t="shared" si="12"/>
        <v>100</v>
      </c>
      <c r="T42" s="1567" t="s">
        <v>8</v>
      </c>
      <c r="U42" s="1568">
        <f t="shared" si="13"/>
        <v>100</v>
      </c>
      <c r="V42" s="1567" t="s">
        <v>8</v>
      </c>
      <c r="W42" s="1568">
        <f t="shared" si="14"/>
        <v>100</v>
      </c>
      <c r="X42" s="1561"/>
      <c r="Y42" s="3738"/>
      <c r="Z42" s="1569" t="str">
        <f t="shared" si="15"/>
        <v>内部装修</v>
      </c>
      <c r="AA42" s="1570">
        <f t="shared" si="3"/>
        <v>1</v>
      </c>
      <c r="AB42" s="1570">
        <f t="shared" si="4"/>
        <v>1</v>
      </c>
      <c r="AC42" s="1570">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38"/>
      <c r="Q43" s="1566" t="str">
        <f t="shared" si="11"/>
        <v>内部装修维护情况</v>
      </c>
      <c r="R43" s="1567" t="s">
        <v>8</v>
      </c>
      <c r="S43" s="1568">
        <f t="shared" si="12"/>
        <v>100</v>
      </c>
      <c r="T43" s="1567" t="s">
        <v>8</v>
      </c>
      <c r="U43" s="1568">
        <f t="shared" si="13"/>
        <v>100</v>
      </c>
      <c r="V43" s="1567" t="s">
        <v>8</v>
      </c>
      <c r="W43" s="1568">
        <f t="shared" si="14"/>
        <v>100</v>
      </c>
      <c r="X43" s="1561"/>
      <c r="Y43" s="3738"/>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38"/>
      <c r="Q44" s="1147">
        <f t="shared" si="11"/>
        <v>111</v>
      </c>
      <c r="R44" s="1562" t="s">
        <v>8</v>
      </c>
      <c r="S44" s="1563">
        <f t="shared" si="12"/>
        <v>100</v>
      </c>
      <c r="T44" s="1562" t="s">
        <v>8</v>
      </c>
      <c r="U44" s="1563">
        <f t="shared" si="13"/>
        <v>100</v>
      </c>
      <c r="V44" s="1562" t="s">
        <v>8</v>
      </c>
      <c r="W44" s="1563">
        <f t="shared" si="14"/>
        <v>100</v>
      </c>
      <c r="X44" s="1564"/>
      <c r="Y44" s="3738"/>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38"/>
      <c r="Q45" s="1566">
        <f t="shared" si="11"/>
        <v>111</v>
      </c>
      <c r="R45" s="1567" t="s">
        <v>8</v>
      </c>
      <c r="S45" s="1568">
        <f t="shared" si="12"/>
        <v>100</v>
      </c>
      <c r="T45" s="1567" t="s">
        <v>8</v>
      </c>
      <c r="U45" s="1568">
        <f t="shared" si="13"/>
        <v>100</v>
      </c>
      <c r="V45" s="1567" t="s">
        <v>8</v>
      </c>
      <c r="W45" s="1568">
        <f t="shared" si="14"/>
        <v>100</v>
      </c>
      <c r="X45" s="1561"/>
      <c r="Y45" s="3738"/>
      <c r="Z45" s="1569">
        <f t="shared" si="15"/>
        <v>111</v>
      </c>
      <c r="AA45" s="1570">
        <f t="shared" si="3"/>
        <v>1</v>
      </c>
      <c r="AB45" s="1570">
        <f t="shared" si="4"/>
        <v>1</v>
      </c>
      <c r="AC45" s="1570">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805"/>
      <c r="Q46" s="1566">
        <f t="shared" si="11"/>
        <v>111</v>
      </c>
      <c r="R46" s="1567" t="s">
        <v>8</v>
      </c>
      <c r="S46" s="1568">
        <f t="shared" si="12"/>
        <v>100</v>
      </c>
      <c r="T46" s="1567" t="s">
        <v>8</v>
      </c>
      <c r="U46" s="1568">
        <f t="shared" si="13"/>
        <v>100</v>
      </c>
      <c r="V46" s="1567" t="s">
        <v>8</v>
      </c>
      <c r="W46" s="1568">
        <f t="shared" si="14"/>
        <v>100</v>
      </c>
      <c r="X46" s="1561"/>
      <c r="Y46" s="3805"/>
      <c r="Z46" s="1569">
        <f t="shared" si="15"/>
        <v>111</v>
      </c>
      <c r="AA46" s="1570">
        <f t="shared" si="3"/>
        <v>1</v>
      </c>
      <c r="AB46" s="1570">
        <f t="shared" si="4"/>
        <v>1</v>
      </c>
      <c r="AC46" s="1570">
        <f t="shared" si="5"/>
        <v>1</v>
      </c>
    </row>
    <row r="47" spans="1:29" ht="15">
      <c r="A47" s="603" t="s">
        <v>737</v>
      </c>
      <c r="B47" s="883"/>
      <c r="C47" s="2646" t="s">
        <v>1</v>
      </c>
      <c r="D47" s="2647"/>
      <c r="E47" s="2648"/>
      <c r="F47" s="2649"/>
      <c r="G47" s="2650"/>
      <c r="H47" s="2651"/>
      <c r="I47" s="2648"/>
      <c r="J47" s="2651"/>
      <c r="K47" s="1605"/>
      <c r="L47" s="2139"/>
      <c r="M47" s="2140"/>
      <c r="N47" s="2129"/>
      <c r="O47" s="2140"/>
      <c r="P47" s="3701" t="str">
        <f>A47</f>
        <v>成交单价（元/平方米）</v>
      </c>
      <c r="Q47" s="3701"/>
      <c r="R47" s="3804">
        <f>E47</f>
        <v>0</v>
      </c>
      <c r="S47" s="3804"/>
      <c r="T47" s="3804">
        <f>G47</f>
        <v>0</v>
      </c>
      <c r="U47" s="3804"/>
      <c r="V47" s="3804">
        <f>I47</f>
        <v>0</v>
      </c>
      <c r="W47" s="3804"/>
      <c r="X47" s="1553"/>
      <c r="Y47" s="1575"/>
      <c r="Z47" s="1553"/>
      <c r="AA47" s="1553"/>
      <c r="AB47" s="1553"/>
      <c r="AC47" s="1553"/>
    </row>
    <row r="48" spans="1:29" ht="15.75" thickBot="1">
      <c r="A48" s="611" t="s">
        <v>2767</v>
      </c>
      <c r="B48" s="884"/>
      <c r="C48" s="2652" t="e">
        <f>R49</f>
        <v>#DIV/0!</v>
      </c>
      <c r="D48" s="2653"/>
      <c r="E48" s="2654" t="e">
        <f>R48</f>
        <v>#DIV/0!</v>
      </c>
      <c r="F48" s="2654"/>
      <c r="G48" s="2652" t="e">
        <f>T48</f>
        <v>#DIV/0!</v>
      </c>
      <c r="H48" s="2653"/>
      <c r="I48" s="2654" t="e">
        <f>V48</f>
        <v>#DIV/0!</v>
      </c>
      <c r="J48" s="2653"/>
      <c r="K48" s="1606"/>
      <c r="L48" s="2139"/>
      <c r="M48" s="2140"/>
      <c r="N48" s="2129"/>
      <c r="O48" s="2140"/>
      <c r="P48" s="3701" t="str">
        <f>A48</f>
        <v>比较价格（元/平方米）</v>
      </c>
      <c r="Q48" s="3701"/>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3"/>
      <c r="Y48" s="1553"/>
      <c r="Z48" s="1553"/>
      <c r="AA48" s="1553"/>
      <c r="AB48" s="1553"/>
      <c r="AC48" s="1553"/>
    </row>
    <row r="49" spans="1:29" ht="15.75" thickBot="1">
      <c r="A49" s="617" t="s">
        <v>2938</v>
      </c>
      <c r="B49" s="618"/>
      <c r="C49" s="2655" t="e">
        <f>R49</f>
        <v>#DIV/0!</v>
      </c>
      <c r="D49" s="2655"/>
      <c r="E49" s="2655"/>
      <c r="F49" s="2655"/>
      <c r="G49" s="2655"/>
      <c r="H49" s="2655"/>
      <c r="I49" s="2655"/>
      <c r="J49" s="2655"/>
      <c r="K49" s="1607"/>
      <c r="L49" s="2139"/>
      <c r="M49" s="2140"/>
      <c r="N49" s="2129"/>
      <c r="O49" s="2140"/>
      <c r="P49" s="3698" t="str">
        <f>A49</f>
        <v>估价对象XX用房的比较价格（楼面单价，元/平方米）</v>
      </c>
      <c r="Q49" s="3699"/>
      <c r="R49" s="3803" t="e">
        <f>IF(F1="售价",ROUND(AVERAGE(R48:V48),0),ROUND(AVERAGE(R48:V48),1))</f>
        <v>#DIV/0!</v>
      </c>
      <c r="S49" s="3803"/>
      <c r="T49" s="3803"/>
      <c r="U49" s="3803"/>
      <c r="V49" s="3803"/>
      <c r="W49" s="3803"/>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2"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1"/>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2564</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2565</v>
      </c>
      <c r="C82" s="2617" t="s">
        <v>2566</v>
      </c>
      <c r="D82" s="2617" t="s">
        <v>2567</v>
      </c>
      <c r="E82" s="2617" t="s">
        <v>2568</v>
      </c>
      <c r="F82" s="2617" t="s">
        <v>2569</v>
      </c>
      <c r="G82" s="2617" t="s">
        <v>2570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669" t="s">
        <v>772</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tr">
        <f>B26</f>
        <v>平面位置/可视性</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6"/>
      <c r="M92" s="88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90">
        <v>0.5</v>
      </c>
      <c r="D110" s="890">
        <v>0.6</v>
      </c>
      <c r="E110" s="890">
        <v>0.7</v>
      </c>
      <c r="F110" s="890">
        <v>0.8</v>
      </c>
      <c r="G110" s="890">
        <v>0.9</v>
      </c>
      <c r="H110" s="890">
        <v>1.0001</v>
      </c>
      <c r="I110" s="901"/>
      <c r="J110" s="901"/>
      <c r="K110" s="902"/>
      <c r="L110" s="903"/>
      <c r="M110" s="904"/>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5" customFormat="1" ht="15" thickTop="1">
      <c r="A112" s="724"/>
      <c r="B112" s="1891" t="s">
        <v>2563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5"/>
      <c r="D118" s="905"/>
      <c r="E118" s="905"/>
      <c r="F118" s="905"/>
      <c r="G118" s="905"/>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5"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778</v>
      </c>
      <c r="C1" s="500" t="s">
        <v>721</v>
      </c>
      <c r="D1" s="845"/>
      <c r="E1" s="502"/>
      <c r="F1" s="2827"/>
      <c r="G1" s="1595" t="s">
        <v>722</v>
      </c>
      <c r="H1" s="502"/>
      <c r="I1" s="502"/>
      <c r="J1" s="502"/>
      <c r="K1" s="503"/>
      <c r="L1" s="1556"/>
      <c r="M1" s="1557"/>
      <c r="N1" s="1557"/>
      <c r="O1" s="1557"/>
      <c r="P1" s="2202"/>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2202"/>
      <c r="Q2" s="1558"/>
      <c r="R2" s="1558"/>
      <c r="S2" s="1558"/>
      <c r="T2" s="1558"/>
      <c r="U2" s="1558"/>
      <c r="V2" s="1558"/>
      <c r="W2" s="1558"/>
      <c r="X2" s="1558"/>
      <c r="Y2" s="1558"/>
      <c r="Z2" s="1558"/>
      <c r="AA2" s="1558"/>
      <c r="AB2" s="1558"/>
      <c r="AC2" s="1559"/>
    </row>
    <row r="3" spans="1:29" s="1332"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8"/>
      <c r="R3" s="1558"/>
      <c r="S3" s="1558"/>
      <c r="T3" s="1558"/>
      <c r="U3" s="1558"/>
      <c r="V3" s="1558"/>
      <c r="W3" s="1558"/>
      <c r="X3" s="1558"/>
      <c r="Y3" s="1558"/>
      <c r="Z3" s="1558"/>
      <c r="AA3" s="1558"/>
      <c r="AB3" s="1558"/>
      <c r="AC3" s="1559"/>
    </row>
    <row r="4" spans="1:29" ht="15">
      <c r="A4" s="508" t="s">
        <v>522</v>
      </c>
      <c r="B4" s="509"/>
      <c r="C4" s="3707" t="s">
        <v>523</v>
      </c>
      <c r="D4" s="3708"/>
      <c r="E4" s="3741" t="s">
        <v>524</v>
      </c>
      <c r="F4" s="3742"/>
      <c r="G4" s="3707" t="s">
        <v>525</v>
      </c>
      <c r="H4" s="3708"/>
      <c r="I4" s="3707" t="s">
        <v>526</v>
      </c>
      <c r="J4" s="3708"/>
      <c r="K4" s="510" t="s">
        <v>527</v>
      </c>
      <c r="L4" s="2128"/>
      <c r="M4" s="2129"/>
      <c r="N4" s="2129"/>
      <c r="O4" s="2129"/>
      <c r="P4" s="3807" t="s">
        <v>528</v>
      </c>
      <c r="Q4" s="3710"/>
      <c r="R4" s="3715" t="s">
        <v>524</v>
      </c>
      <c r="S4" s="3716"/>
      <c r="T4" s="3715" t="s">
        <v>525</v>
      </c>
      <c r="U4" s="3716"/>
      <c r="V4" s="3702" t="s">
        <v>526</v>
      </c>
      <c r="W4" s="3702"/>
      <c r="X4" s="1561"/>
      <c r="Y4" s="3715" t="s">
        <v>528</v>
      </c>
      <c r="Z4" s="3716"/>
      <c r="AA4" s="3704" t="s">
        <v>524</v>
      </c>
      <c r="AB4" s="3704" t="s">
        <v>525</v>
      </c>
      <c r="AC4" s="3704" t="s">
        <v>526</v>
      </c>
    </row>
    <row r="5" spans="1:29" ht="15">
      <c r="A5" s="511"/>
      <c r="B5" s="512"/>
      <c r="C5" s="3723" t="s">
        <v>2932</v>
      </c>
      <c r="D5" s="3724"/>
      <c r="E5" s="3743" t="s">
        <v>2933</v>
      </c>
      <c r="F5" s="3744"/>
      <c r="G5" s="3723" t="s">
        <v>2934</v>
      </c>
      <c r="H5" s="3724"/>
      <c r="I5" s="3723" t="s">
        <v>2935</v>
      </c>
      <c r="J5" s="3724"/>
      <c r="K5" s="510"/>
      <c r="L5" s="2128"/>
      <c r="M5" s="2129"/>
      <c r="N5" s="2129"/>
      <c r="O5" s="2129"/>
      <c r="P5" s="3808"/>
      <c r="Q5" s="3712"/>
      <c r="R5" s="3717"/>
      <c r="S5" s="3718"/>
      <c r="T5" s="3717"/>
      <c r="U5" s="3718"/>
      <c r="V5" s="3702"/>
      <c r="W5" s="3702"/>
      <c r="X5" s="1561"/>
      <c r="Y5" s="3717"/>
      <c r="Z5" s="3718"/>
      <c r="AA5" s="3705"/>
      <c r="AB5" s="3705"/>
      <c r="AC5" s="3705"/>
    </row>
    <row r="6" spans="1:29" ht="15.75" thickBot="1">
      <c r="A6" s="513"/>
      <c r="B6" s="514"/>
      <c r="C6" s="3721" t="s">
        <v>2936</v>
      </c>
      <c r="D6" s="3722"/>
      <c r="E6" s="3739" t="s">
        <v>2936</v>
      </c>
      <c r="F6" s="3740"/>
      <c r="G6" s="3721" t="s">
        <v>2936</v>
      </c>
      <c r="H6" s="3722"/>
      <c r="I6" s="3721" t="s">
        <v>2936</v>
      </c>
      <c r="J6" s="3722"/>
      <c r="K6" s="510" t="s">
        <v>529</v>
      </c>
      <c r="L6" s="2128"/>
      <c r="M6" s="2129"/>
      <c r="N6" s="2129"/>
      <c r="O6" s="2129"/>
      <c r="P6" s="3809"/>
      <c r="Q6" s="3714"/>
      <c r="R6" s="3717"/>
      <c r="S6" s="3718"/>
      <c r="T6" s="3719"/>
      <c r="U6" s="3720"/>
      <c r="V6" s="3702"/>
      <c r="W6" s="3702"/>
      <c r="X6" s="1561"/>
      <c r="Y6" s="3719"/>
      <c r="Z6" s="3720"/>
      <c r="AA6" s="3706"/>
      <c r="AB6" s="3706"/>
      <c r="AC6" s="3706"/>
    </row>
    <row r="7" spans="1:29" s="1216" customFormat="1" ht="15.75" thickBot="1">
      <c r="A7" s="2932"/>
      <c r="B7" s="2939" t="s">
        <v>530</v>
      </c>
      <c r="C7" s="515">
        <f>'数据-取费表'!B2</f>
        <v>43133</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34" t="s">
        <v>531</v>
      </c>
      <c r="Q7" s="3734"/>
      <c r="R7" s="1562" t="s">
        <v>8</v>
      </c>
      <c r="S7" s="1563">
        <f t="shared" ref="S7:S15" si="0">F7</f>
        <v>0</v>
      </c>
      <c r="T7" s="1562" t="s">
        <v>8</v>
      </c>
      <c r="U7" s="1563">
        <f t="shared" ref="U7:U15" si="1">H7</f>
        <v>0</v>
      </c>
      <c r="V7" s="1562" t="s">
        <v>8</v>
      </c>
      <c r="W7" s="1563">
        <f t="shared" ref="W7:W15"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34" t="s">
        <v>534</v>
      </c>
      <c r="Q8" s="3733"/>
      <c r="R8" s="1562" t="s">
        <v>8</v>
      </c>
      <c r="S8" s="1563">
        <f t="shared" si="0"/>
        <v>0</v>
      </c>
      <c r="T8" s="1562" t="s">
        <v>8</v>
      </c>
      <c r="U8" s="1563">
        <f t="shared" si="1"/>
        <v>0</v>
      </c>
      <c r="V8" s="1562" t="s">
        <v>8</v>
      </c>
      <c r="W8" s="1563">
        <f t="shared" si="2"/>
        <v>0</v>
      </c>
      <c r="X8" s="1564"/>
      <c r="Y8" s="3732" t="s">
        <v>534</v>
      </c>
      <c r="Z8" s="3733"/>
      <c r="AA8" s="1565" t="e">
        <f t="shared" ref="AA8:AA47" si="3">D8/F8</f>
        <v>#DIV/0!</v>
      </c>
      <c r="AB8" s="1565" t="e">
        <f t="shared" ref="AB8:AB47" si="4">D8/H8</f>
        <v>#DIV/0!</v>
      </c>
      <c r="AC8" s="1565" t="e">
        <f t="shared" ref="AC8:AC47" si="5">D8/J8</f>
        <v>#DIV/0!</v>
      </c>
    </row>
    <row r="9" spans="1:29" s="1216" customFormat="1" ht="15">
      <c r="A9" s="2934"/>
      <c r="B9" s="2941" t="s">
        <v>2763</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701" t="s">
        <v>536</v>
      </c>
      <c r="Q9" s="1147" t="str">
        <f t="shared" ref="Q9:Q15" si="6">B9</f>
        <v>用途</v>
      </c>
      <c r="R9" s="1562" t="s">
        <v>8</v>
      </c>
      <c r="S9" s="1563">
        <f t="shared" si="0"/>
        <v>100</v>
      </c>
      <c r="T9" s="1562" t="s">
        <v>8</v>
      </c>
      <c r="U9" s="1563">
        <f t="shared" si="1"/>
        <v>100</v>
      </c>
      <c r="V9" s="1562" t="s">
        <v>8</v>
      </c>
      <c r="W9" s="1563">
        <f t="shared" si="2"/>
        <v>100</v>
      </c>
      <c r="X9" s="1564"/>
      <c r="Y9" s="3643"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701"/>
      <c r="Q11" s="1147" t="str">
        <f t="shared" si="6"/>
        <v>容积率</v>
      </c>
      <c r="R11" s="1562" t="s">
        <v>8</v>
      </c>
      <c r="S11" s="1563" t="e">
        <f t="shared" si="0"/>
        <v>#N/A</v>
      </c>
      <c r="T11" s="1562" t="s">
        <v>8</v>
      </c>
      <c r="U11" s="1563" t="e">
        <f t="shared" si="1"/>
        <v>#N/A</v>
      </c>
      <c r="V11" s="1562" t="s">
        <v>8</v>
      </c>
      <c r="W11" s="1563" t="e">
        <f t="shared" si="2"/>
        <v>#N/A</v>
      </c>
      <c r="X11" s="1564"/>
      <c r="Y11" s="3643"/>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24"/>
      <c r="F12" s="251">
        <f>SUMIF(71:71,E12,72:72)-SUMIF(71:71,C12,72:72)+100</f>
        <v>100</v>
      </c>
      <c r="G12" s="906"/>
      <c r="H12" s="251">
        <f>SUMIF(71:71,G12,72:72)-SUMIF(71:71,C12,72:72)+100</f>
        <v>100</v>
      </c>
      <c r="I12" s="524"/>
      <c r="J12" s="251">
        <f>SUMIF(71:71,I12,72:72)-SUMIF(71:71,C12,72:72)+100</f>
        <v>100</v>
      </c>
      <c r="K12" s="577"/>
      <c r="L12" s="2130"/>
      <c r="M12" s="2131"/>
      <c r="N12" s="2131"/>
      <c r="O12" s="2131"/>
      <c r="P12" s="3701"/>
      <c r="Q12" s="1147">
        <f t="shared" si="6"/>
        <v>111</v>
      </c>
      <c r="R12" s="1562" t="s">
        <v>8</v>
      </c>
      <c r="S12" s="1563">
        <f t="shared" si="0"/>
        <v>100</v>
      </c>
      <c r="T12" s="1562" t="s">
        <v>8</v>
      </c>
      <c r="U12" s="1563">
        <f t="shared" si="1"/>
        <v>100</v>
      </c>
      <c r="V12" s="1562" t="s">
        <v>8</v>
      </c>
      <c r="W12" s="1563">
        <f t="shared" si="2"/>
        <v>100</v>
      </c>
      <c r="X12" s="1564"/>
      <c r="Y12" s="3643"/>
      <c r="Z12" s="1146">
        <f t="shared" si="7"/>
        <v>111</v>
      </c>
      <c r="AA12" s="1565">
        <f>D12/F12</f>
        <v>1</v>
      </c>
      <c r="AB12" s="1565">
        <f>D12/H12</f>
        <v>1</v>
      </c>
      <c r="AC12" s="1565">
        <f>D12/J12</f>
        <v>1</v>
      </c>
    </row>
    <row r="13" spans="1:29" ht="15">
      <c r="A13" s="2937"/>
      <c r="B13" s="2943">
        <v>111</v>
      </c>
      <c r="C13" s="535"/>
      <c r="D13" s="536">
        <v>100</v>
      </c>
      <c r="E13" s="524"/>
      <c r="F13" s="251">
        <f>SUMIF(73:73,E13,74:74)-SUMIF(73:73,C13,74:74)+100</f>
        <v>100</v>
      </c>
      <c r="G13" s="906"/>
      <c r="H13" s="536">
        <f>SUMIF(73:73,G13,74:74)-SUMIF(73:73,C13,74:74)+100</f>
        <v>100</v>
      </c>
      <c r="I13" s="524"/>
      <c r="J13" s="536">
        <f>SUMIF(73:73,I13,74:74)-SUMIF(73:73,C13,74:74)+100</f>
        <v>100</v>
      </c>
      <c r="K13" s="577"/>
      <c r="L13" s="2137"/>
      <c r="M13" s="2129"/>
      <c r="N13" s="2129"/>
      <c r="O13" s="2129"/>
      <c r="P13" s="3701"/>
      <c r="Q13" s="1147">
        <f t="shared" si="6"/>
        <v>111</v>
      </c>
      <c r="R13" s="1562" t="s">
        <v>8</v>
      </c>
      <c r="S13" s="1563">
        <f t="shared" si="0"/>
        <v>100</v>
      </c>
      <c r="T13" s="1562" t="s">
        <v>8</v>
      </c>
      <c r="U13" s="1563">
        <f t="shared" si="1"/>
        <v>100</v>
      </c>
      <c r="V13" s="1562" t="s">
        <v>8</v>
      </c>
      <c r="W13" s="1563">
        <f t="shared" si="2"/>
        <v>100</v>
      </c>
      <c r="X13" s="1564"/>
      <c r="Y13" s="3643"/>
      <c r="Z13" s="1146">
        <f t="shared" si="7"/>
        <v>111</v>
      </c>
      <c r="AA13" s="1565">
        <f t="shared" si="3"/>
        <v>1</v>
      </c>
      <c r="AB13" s="1565">
        <f t="shared" si="4"/>
        <v>1</v>
      </c>
      <c r="AC13" s="1565">
        <f t="shared" si="5"/>
        <v>1</v>
      </c>
    </row>
    <row r="14" spans="1:29" ht="15.75" thickBot="1">
      <c r="A14" s="2938"/>
      <c r="B14" s="2944">
        <v>111</v>
      </c>
      <c r="C14" s="541"/>
      <c r="D14" s="542">
        <v>100</v>
      </c>
      <c r="E14" s="907"/>
      <c r="F14" s="542">
        <f>SUMIF(75:75,E14,76:76)-SUMIF(75:75,C14,76:76)+100</f>
        <v>100</v>
      </c>
      <c r="G14" s="906"/>
      <c r="H14" s="542">
        <f>SUMIF(75:75,G14,76:76)-SUMIF(75:75,C14,76:76)+100</f>
        <v>100</v>
      </c>
      <c r="I14" s="524"/>
      <c r="J14" s="542">
        <f>SUMIF(75:75,I14,76:76)-SUMIF(75:75,C14,76:76)+100</f>
        <v>100</v>
      </c>
      <c r="K14" s="577"/>
      <c r="L14" s="2137"/>
      <c r="M14" s="2129"/>
      <c r="N14" s="2129"/>
      <c r="O14" s="2129"/>
      <c r="P14" s="3701"/>
      <c r="Q14" s="1147">
        <f t="shared" si="6"/>
        <v>111</v>
      </c>
      <c r="R14" s="1562" t="s">
        <v>8</v>
      </c>
      <c r="S14" s="1563">
        <f t="shared" si="0"/>
        <v>100</v>
      </c>
      <c r="T14" s="1562" t="s">
        <v>8</v>
      </c>
      <c r="U14" s="1563">
        <f t="shared" si="1"/>
        <v>100</v>
      </c>
      <c r="V14" s="1562" t="s">
        <v>8</v>
      </c>
      <c r="W14" s="1563">
        <f t="shared" si="2"/>
        <v>100</v>
      </c>
      <c r="X14" s="1564"/>
      <c r="Y14" s="3643"/>
      <c r="Z14" s="1146">
        <f t="shared" si="7"/>
        <v>111</v>
      </c>
      <c r="AA14" s="1565">
        <f t="shared" si="3"/>
        <v>1</v>
      </c>
      <c r="AB14" s="1565">
        <f t="shared" si="4"/>
        <v>1</v>
      </c>
      <c r="AC14" s="1565">
        <f t="shared" si="5"/>
        <v>1</v>
      </c>
    </row>
    <row r="15" spans="1:29" ht="128.25">
      <c r="A15" s="2930" t="s">
        <v>2761</v>
      </c>
      <c r="B15" s="543" t="s">
        <v>543</v>
      </c>
      <c r="C15" s="544" t="str">
        <f>估价对象房地状况!C5</f>
        <v>估价对象位于管庄商圈，周边办公楼项目较多，入驻率较高，周边2公里有世通国际大厦、意菲克大厦等多个项目，办公集聚程度较好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7"/>
      <c r="M15" s="2129"/>
      <c r="N15" s="2129"/>
      <c r="O15" s="2129"/>
      <c r="P15" s="3735" t="s">
        <v>541</v>
      </c>
      <c r="Q15" s="1566" t="str">
        <f t="shared" si="6"/>
        <v>办公集聚程度</v>
      </c>
      <c r="R15" s="1567" t="s">
        <v>8</v>
      </c>
      <c r="S15" s="1568">
        <f t="shared" si="0"/>
        <v>100</v>
      </c>
      <c r="T15" s="1567" t="s">
        <v>8</v>
      </c>
      <c r="U15" s="1568">
        <f t="shared" si="1"/>
        <v>100</v>
      </c>
      <c r="V15" s="1567" t="s">
        <v>8</v>
      </c>
      <c r="W15" s="1568">
        <f t="shared" si="2"/>
        <v>100</v>
      </c>
      <c r="X15" s="1561"/>
      <c r="Y15" s="3735" t="s">
        <v>541</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5"/>
      <c r="L16" s="2137"/>
      <c r="M16" s="2129"/>
      <c r="N16" s="2129"/>
      <c r="O16" s="2129"/>
      <c r="P16" s="3736"/>
      <c r="Q16" s="1566"/>
      <c r="R16" s="1567"/>
      <c r="S16" s="1568"/>
      <c r="T16" s="1567"/>
      <c r="U16" s="1568"/>
      <c r="V16" s="1567"/>
      <c r="W16" s="1568"/>
      <c r="X16" s="1561"/>
      <c r="Y16" s="3736"/>
      <c r="Z16" s="1569"/>
      <c r="AA16" s="1570">
        <v>1</v>
      </c>
      <c r="AB16" s="1570">
        <v>1</v>
      </c>
      <c r="AC16" s="1570">
        <v>1</v>
      </c>
    </row>
    <row r="17" spans="1:29" ht="142.5">
      <c r="A17" s="528"/>
      <c r="B17" s="556" t="s">
        <v>296</v>
      </c>
      <c r="C17" s="569" t="str">
        <f>估价对象房地状况!C6</f>
        <v>估价对象周边道路状况较好、公共交通通达情况一般、停车便捷程度较好，有364、532、690路等公交线路及地铁八通线，综合评价交通便捷度一般</v>
      </c>
      <c r="D17" s="555">
        <v>100</v>
      </c>
      <c r="E17" s="560"/>
      <c r="F17" s="555">
        <f>SUMIF(79:79,E18,80:80)-SUMIF(79:79,C18,80:80)+100</f>
        <v>100</v>
      </c>
      <c r="G17" s="558"/>
      <c r="H17" s="561">
        <f>SUMIF(79:79,G18,80:80)-SUMIF(79:79,C18,80:80)+100</f>
        <v>100</v>
      </c>
      <c r="I17" s="558"/>
      <c r="J17" s="561">
        <f>SUMIF(79:79,I18,80:80)-SUMIF(79:79,C18,80:80)+100</f>
        <v>100</v>
      </c>
      <c r="K17" s="894"/>
      <c r="L17" s="2137"/>
      <c r="M17" s="2129"/>
      <c r="N17" s="2129"/>
      <c r="O17" s="2129"/>
      <c r="P17" s="3736"/>
      <c r="Q17" s="1566" t="str">
        <f>B17</f>
        <v>交通便捷度</v>
      </c>
      <c r="R17" s="1567" t="s">
        <v>8</v>
      </c>
      <c r="S17" s="1568">
        <f>F17</f>
        <v>100</v>
      </c>
      <c r="T17" s="1567" t="s">
        <v>8</v>
      </c>
      <c r="U17" s="1568">
        <f>H17</f>
        <v>100</v>
      </c>
      <c r="V17" s="1567" t="s">
        <v>8</v>
      </c>
      <c r="W17" s="1568">
        <f>J17</f>
        <v>100</v>
      </c>
      <c r="X17" s="1561"/>
      <c r="Y17" s="3736"/>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5"/>
      <c r="L18" s="2137"/>
      <c r="M18" s="2129"/>
      <c r="N18" s="2129"/>
      <c r="O18" s="2129"/>
      <c r="P18" s="3736"/>
      <c r="Q18" s="1566"/>
      <c r="R18" s="1567"/>
      <c r="S18" s="1568"/>
      <c r="T18" s="1567"/>
      <c r="U18" s="1568"/>
      <c r="V18" s="1567"/>
      <c r="W18" s="1568"/>
      <c r="X18" s="1561"/>
      <c r="Y18" s="3736"/>
      <c r="Z18" s="1569"/>
      <c r="AA18" s="1570">
        <v>1</v>
      </c>
      <c r="AB18" s="1570">
        <v>1</v>
      </c>
      <c r="AC18" s="1570">
        <v>1</v>
      </c>
    </row>
    <row r="19" spans="1:29" ht="42.75">
      <c r="A19" s="528"/>
      <c r="B19" s="2622" t="s">
        <v>2553</v>
      </c>
      <c r="C19" s="569" t="str">
        <f>估价对象房地状况!C7</f>
        <v>估价对象所在区域公共配套设施齐备情况较好</v>
      </c>
      <c r="D19" s="561">
        <v>100</v>
      </c>
      <c r="E19" s="568"/>
      <c r="F19" s="561">
        <f>SUMIF(81:81,E20,82:82)-SUMIF(81:81,C20,82:82)+100</f>
        <v>100</v>
      </c>
      <c r="G19" s="566"/>
      <c r="H19" s="555">
        <f>SUMIF(81:81,G20,82:82)-SUMIF(81:81,C20,82:82)+100</f>
        <v>100</v>
      </c>
      <c r="I19" s="566"/>
      <c r="J19" s="555">
        <f>SUMIF(81:81,I20,82:82)-SUMIF(81:81,C20,82:82)+100</f>
        <v>100</v>
      </c>
      <c r="K19" s="894"/>
      <c r="L19" s="2137"/>
      <c r="M19" s="2129"/>
      <c r="N19" s="2129"/>
      <c r="O19" s="2129"/>
      <c r="P19" s="3736"/>
      <c r="Q19" s="1566" t="str">
        <f>B19</f>
        <v>公共配套设施</v>
      </c>
      <c r="R19" s="1567" t="s">
        <v>8</v>
      </c>
      <c r="S19" s="1568">
        <f>F19</f>
        <v>100</v>
      </c>
      <c r="T19" s="1567" t="s">
        <v>8</v>
      </c>
      <c r="U19" s="1568">
        <f>H19</f>
        <v>100</v>
      </c>
      <c r="V19" s="1567" t="s">
        <v>8</v>
      </c>
      <c r="W19" s="1568">
        <f>J19</f>
        <v>100</v>
      </c>
      <c r="X19" s="1561"/>
      <c r="Y19" s="3736"/>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5"/>
      <c r="L20" s="2137"/>
      <c r="M20" s="2129"/>
      <c r="N20" s="2129"/>
      <c r="O20" s="2129"/>
      <c r="P20" s="3736"/>
      <c r="Q20" s="1566"/>
      <c r="R20" s="1567"/>
      <c r="S20" s="1568"/>
      <c r="T20" s="1567"/>
      <c r="U20" s="1568"/>
      <c r="V20" s="1567"/>
      <c r="W20" s="1568"/>
      <c r="X20" s="1561"/>
      <c r="Y20" s="3736"/>
      <c r="Z20" s="1569"/>
      <c r="AA20" s="1570">
        <v>1</v>
      </c>
      <c r="AB20" s="1570">
        <v>1</v>
      </c>
      <c r="AC20" s="1570">
        <v>1</v>
      </c>
    </row>
    <row r="21" spans="1:29" ht="15">
      <c r="A21" s="528"/>
      <c r="B21" s="2610" t="s">
        <v>2565</v>
      </c>
      <c r="C21" s="569" t="str">
        <f>估价对象房地状况!C8</f>
        <v>七通</v>
      </c>
      <c r="D21" s="561">
        <v>100</v>
      </c>
      <c r="E21" s="568"/>
      <c r="F21" s="561">
        <f>SUMIF(83:83,E22,84:84)-SUMIF(83:83,C22,84:84)+100</f>
        <v>100</v>
      </c>
      <c r="G21" s="566"/>
      <c r="H21" s="561">
        <f>SUMIF(83:83,G22,84:84)-SUMIF(83:83,C22,84:84)+100</f>
        <v>100</v>
      </c>
      <c r="I21" s="566"/>
      <c r="J21" s="561">
        <f>SUMIF(83:83,I22,84:84)-SUMIF(83:83,C22,84:84)+100</f>
        <v>100</v>
      </c>
      <c r="K21" s="894"/>
      <c r="L21" s="2137"/>
      <c r="M21" s="2129"/>
      <c r="N21" s="2129"/>
      <c r="O21" s="2129"/>
      <c r="P21" s="3736"/>
      <c r="Q21" s="2598" t="str">
        <f>B21</f>
        <v>基础设施水平</v>
      </c>
      <c r="R21" s="1567" t="s">
        <v>8</v>
      </c>
      <c r="S21" s="1568">
        <f>F21</f>
        <v>100</v>
      </c>
      <c r="T21" s="1567" t="s">
        <v>8</v>
      </c>
      <c r="U21" s="1568">
        <f>H21</f>
        <v>100</v>
      </c>
      <c r="V21" s="1567" t="s">
        <v>8</v>
      </c>
      <c r="W21" s="1568">
        <f>J21</f>
        <v>100</v>
      </c>
      <c r="X21" s="2600"/>
      <c r="Y21" s="3736"/>
      <c r="Z21" s="2599"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621"/>
      <c r="L22" s="2137"/>
      <c r="M22" s="2129"/>
      <c r="N22" s="2129"/>
      <c r="O22" s="2129"/>
      <c r="P22" s="3736"/>
      <c r="Q22" s="2598"/>
      <c r="R22" s="1567"/>
      <c r="S22" s="1568"/>
      <c r="T22" s="1567"/>
      <c r="U22" s="1568"/>
      <c r="V22" s="1567"/>
      <c r="W22" s="1568"/>
      <c r="X22" s="2600"/>
      <c r="Y22" s="3736"/>
      <c r="Z22" s="2599"/>
      <c r="AA22" s="1570">
        <v>1</v>
      </c>
      <c r="AB22" s="1570">
        <v>1</v>
      </c>
      <c r="AC22" s="1570">
        <v>1</v>
      </c>
    </row>
    <row r="23" spans="1:29" ht="99.75">
      <c r="A23" s="528"/>
      <c r="B23" s="556" t="s">
        <v>779</v>
      </c>
      <c r="C23" s="569" t="str">
        <f>估价对象房地状况!C9</f>
        <v>区域自然环境：八里桥音乐主题公园、西汇公园、金田公园等；人文环境；综合评价环境状况较好</v>
      </c>
      <c r="D23" s="555">
        <v>100</v>
      </c>
      <c r="E23" s="560"/>
      <c r="F23" s="555">
        <f>SUMIF(85:85,E24,86:86)-SUMIF(85:85,C24,86:86)+100</f>
        <v>100</v>
      </c>
      <c r="G23" s="558"/>
      <c r="H23" s="555">
        <f>SUMIF(85:85,G24,86:86)-SUMIF(85:85,C24,86:86)+100</f>
        <v>100</v>
      </c>
      <c r="I23" s="558"/>
      <c r="J23" s="555">
        <f>SUMIF(85:85,I24,86:86)-SUMIF(85:85,C24,86:86)+100</f>
        <v>100</v>
      </c>
      <c r="K23" s="894"/>
      <c r="L23" s="2137"/>
      <c r="M23" s="2129"/>
      <c r="N23" s="2129"/>
      <c r="O23" s="2129"/>
      <c r="P23" s="3736"/>
      <c r="Q23" s="1566" t="str">
        <f>B23</f>
        <v>环境质量</v>
      </c>
      <c r="R23" s="1567" t="s">
        <v>8</v>
      </c>
      <c r="S23" s="1568">
        <f>F23</f>
        <v>100</v>
      </c>
      <c r="T23" s="1567" t="s">
        <v>8</v>
      </c>
      <c r="U23" s="1568">
        <f>H23</f>
        <v>100</v>
      </c>
      <c r="V23" s="1567" t="s">
        <v>8</v>
      </c>
      <c r="W23" s="1568">
        <f>J23</f>
        <v>100</v>
      </c>
      <c r="X23" s="1561"/>
      <c r="Y23" s="3736"/>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5"/>
      <c r="L24" s="2137"/>
      <c r="M24" s="2129"/>
      <c r="N24" s="2129"/>
      <c r="O24" s="2129"/>
      <c r="P24" s="3736"/>
      <c r="Q24" s="1566"/>
      <c r="R24" s="1567"/>
      <c r="S24" s="1568"/>
      <c r="T24" s="1567"/>
      <c r="U24" s="1568"/>
      <c r="V24" s="1567"/>
      <c r="W24" s="1568"/>
      <c r="X24" s="1561"/>
      <c r="Y24" s="3736"/>
      <c r="Z24" s="1569"/>
      <c r="AA24" s="1570">
        <v>1</v>
      </c>
      <c r="AB24" s="1570">
        <v>1</v>
      </c>
      <c r="AC24" s="1570">
        <v>1</v>
      </c>
    </row>
    <row r="25" spans="1:29" ht="27">
      <c r="A25" s="511"/>
      <c r="B25" s="556" t="s">
        <v>549</v>
      </c>
      <c r="C25" s="908"/>
      <c r="D25" s="536">
        <v>100</v>
      </c>
      <c r="E25" s="535"/>
      <c r="F25" s="536">
        <f>SUMIF(87:87,E26,88:88)-SUMIF(87:87,C26,88:88)+100</f>
        <v>100</v>
      </c>
      <c r="G25" s="908"/>
      <c r="H25" s="536">
        <f>SUMIF(87:87,G26,88:88)-SUMIF(87:87,C26,88:88)+100</f>
        <v>100</v>
      </c>
      <c r="I25" s="535"/>
      <c r="J25" s="536">
        <f>SUMIF(87:87,I26,88:88)-SUMIF(87:87,C26,88:88)+100</f>
        <v>100</v>
      </c>
      <c r="K25" s="894"/>
      <c r="L25" s="2137"/>
      <c r="M25" s="2129"/>
      <c r="N25" s="2129"/>
      <c r="O25" s="2129"/>
      <c r="P25" s="3736"/>
      <c r="Q25" s="1566" t="str">
        <f>B25</f>
        <v>毗邻道路的类型与等级</v>
      </c>
      <c r="R25" s="1567" t="s">
        <v>8</v>
      </c>
      <c r="S25" s="1568">
        <f>F25</f>
        <v>100</v>
      </c>
      <c r="T25" s="1567" t="s">
        <v>8</v>
      </c>
      <c r="U25" s="1568">
        <f>H25</f>
        <v>100</v>
      </c>
      <c r="V25" s="1567" t="s">
        <v>8</v>
      </c>
      <c r="W25" s="1568">
        <f>J25</f>
        <v>100</v>
      </c>
      <c r="X25" s="1561"/>
      <c r="Y25" s="3736"/>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5"/>
      <c r="L26" s="2137"/>
      <c r="M26" s="2129"/>
      <c r="N26" s="2129"/>
      <c r="O26" s="2129"/>
      <c r="P26" s="3736"/>
      <c r="Q26" s="1566"/>
      <c r="R26" s="1567"/>
      <c r="S26" s="1568"/>
      <c r="T26" s="1567"/>
      <c r="U26" s="1568"/>
      <c r="V26" s="1567"/>
      <c r="W26" s="1568"/>
      <c r="X26" s="1561"/>
      <c r="Y26" s="3736"/>
      <c r="Z26" s="1569"/>
      <c r="AA26" s="1570">
        <v>1</v>
      </c>
      <c r="AB26" s="1570">
        <v>1</v>
      </c>
      <c r="AC26" s="1570">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36"/>
      <c r="Q27" s="1566" t="str">
        <f t="shared" ref="Q27:Q47" si="11">B27</f>
        <v>楼层</v>
      </c>
      <c r="R27" s="1567" t="s">
        <v>8</v>
      </c>
      <c r="S27" s="1568">
        <f>F27</f>
        <v>100</v>
      </c>
      <c r="T27" s="1567" t="s">
        <v>8</v>
      </c>
      <c r="U27" s="1568">
        <f>H27</f>
        <v>100</v>
      </c>
      <c r="V27" s="1567" t="s">
        <v>8</v>
      </c>
      <c r="W27" s="1568">
        <f>J27</f>
        <v>100</v>
      </c>
      <c r="X27" s="1561"/>
      <c r="Y27" s="3736"/>
      <c r="Z27" s="1569" t="str">
        <f>Q27</f>
        <v>楼层</v>
      </c>
      <c r="AA27" s="1570">
        <f t="shared" si="3"/>
        <v>1</v>
      </c>
      <c r="AB27" s="1570">
        <f t="shared" si="4"/>
        <v>1</v>
      </c>
      <c r="AC27" s="1570">
        <f t="shared" si="5"/>
        <v>1</v>
      </c>
    </row>
    <row r="28" spans="1:29" s="1216" customFormat="1" ht="15">
      <c r="A28" s="532"/>
      <c r="B28" s="556" t="s">
        <v>780</v>
      </c>
      <c r="C28" s="909"/>
      <c r="D28" s="871">
        <v>100</v>
      </c>
      <c r="E28" s="897"/>
      <c r="F28" s="871">
        <f>SUMIF(91:91,E28,92:92)-SUMIF(91:91,C28,92:92)+100</f>
        <v>100</v>
      </c>
      <c r="G28" s="909"/>
      <c r="H28" s="871">
        <f>SUMIF(91:91,G28,92:92)-SUMIF(91:91,C28,92:92)+100</f>
        <v>100</v>
      </c>
      <c r="I28" s="897"/>
      <c r="J28" s="871">
        <f>SUMIF(91:91,I28,92:92)-SUMIF(91:91,C28,92:92)+100</f>
        <v>100</v>
      </c>
      <c r="K28" s="580"/>
      <c r="L28" s="2130"/>
      <c r="M28" s="2131"/>
      <c r="N28" s="2131"/>
      <c r="O28" s="2131"/>
      <c r="P28" s="3736"/>
      <c r="Q28" s="1147" t="str">
        <f t="shared" si="11"/>
        <v>朝向</v>
      </c>
      <c r="R28" s="1562" t="s">
        <v>8</v>
      </c>
      <c r="S28" s="1563">
        <f>F28</f>
        <v>100</v>
      </c>
      <c r="T28" s="1562" t="s">
        <v>8</v>
      </c>
      <c r="U28" s="1563">
        <f>H28</f>
        <v>100</v>
      </c>
      <c r="V28" s="1562" t="s">
        <v>8</v>
      </c>
      <c r="W28" s="1563">
        <f>J28</f>
        <v>100</v>
      </c>
      <c r="X28" s="1564"/>
      <c r="Y28" s="3736"/>
      <c r="Z28" s="1146" t="str">
        <f>Q28</f>
        <v>朝向</v>
      </c>
      <c r="AA28" s="1570">
        <f>D28/F28</f>
        <v>1</v>
      </c>
      <c r="AB28" s="1570">
        <f>D28/H28</f>
        <v>1</v>
      </c>
      <c r="AC28" s="1570">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7"/>
      <c r="M29" s="2129"/>
      <c r="N29" s="2129"/>
      <c r="O29" s="2129"/>
      <c r="P29" s="3736"/>
      <c r="Q29" s="1566">
        <f t="shared" si="11"/>
        <v>111</v>
      </c>
      <c r="R29" s="1567" t="s">
        <v>8</v>
      </c>
      <c r="S29" s="1568">
        <f t="shared" ref="S29:S47" si="12">F29</f>
        <v>100</v>
      </c>
      <c r="T29" s="1567" t="s">
        <v>8</v>
      </c>
      <c r="U29" s="1568">
        <f t="shared" ref="U29:U47" si="13">H29</f>
        <v>100</v>
      </c>
      <c r="V29" s="1567" t="s">
        <v>8</v>
      </c>
      <c r="W29" s="1568">
        <f t="shared" ref="W29:W47" si="14">J29</f>
        <v>100</v>
      </c>
      <c r="X29" s="1561"/>
      <c r="Y29" s="3736"/>
      <c r="Z29" s="1569">
        <f t="shared" ref="Z29:Z47" si="15">Q29</f>
        <v>111</v>
      </c>
      <c r="AA29" s="1570">
        <f t="shared" si="3"/>
        <v>1</v>
      </c>
      <c r="AB29" s="1570">
        <f t="shared" si="4"/>
        <v>1</v>
      </c>
      <c r="AC29" s="1570">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7"/>
      <c r="M30" s="2129"/>
      <c r="N30" s="2129"/>
      <c r="O30" s="2129"/>
      <c r="P30" s="3736"/>
      <c r="Q30" s="1566">
        <f t="shared" si="11"/>
        <v>111</v>
      </c>
      <c r="R30" s="1567" t="s">
        <v>8</v>
      </c>
      <c r="S30" s="1568">
        <f t="shared" si="12"/>
        <v>100</v>
      </c>
      <c r="T30" s="1567" t="s">
        <v>8</v>
      </c>
      <c r="U30" s="1568">
        <f t="shared" si="13"/>
        <v>100</v>
      </c>
      <c r="V30" s="1567" t="s">
        <v>8</v>
      </c>
      <c r="W30" s="1568">
        <f t="shared" si="14"/>
        <v>100</v>
      </c>
      <c r="X30" s="1561"/>
      <c r="Y30" s="3736"/>
      <c r="Z30" s="1569">
        <f t="shared" si="15"/>
        <v>111</v>
      </c>
      <c r="AA30" s="1570">
        <f t="shared" si="3"/>
        <v>1</v>
      </c>
      <c r="AB30" s="1570">
        <f t="shared" si="4"/>
        <v>1</v>
      </c>
      <c r="AC30" s="1570">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7"/>
      <c r="M31" s="2129"/>
      <c r="N31" s="2129"/>
      <c r="O31" s="2129"/>
      <c r="P31" s="3736"/>
      <c r="Q31" s="1566">
        <f t="shared" si="11"/>
        <v>111</v>
      </c>
      <c r="R31" s="1567" t="s">
        <v>8</v>
      </c>
      <c r="S31" s="1568">
        <f t="shared" si="12"/>
        <v>100</v>
      </c>
      <c r="T31" s="1567" t="s">
        <v>8</v>
      </c>
      <c r="U31" s="1568">
        <f t="shared" si="13"/>
        <v>100</v>
      </c>
      <c r="V31" s="1567" t="s">
        <v>8</v>
      </c>
      <c r="W31" s="1568">
        <f t="shared" si="14"/>
        <v>100</v>
      </c>
      <c r="X31" s="1561"/>
      <c r="Y31" s="3736"/>
      <c r="Z31" s="1569">
        <f t="shared" si="15"/>
        <v>111</v>
      </c>
      <c r="AA31" s="1570">
        <f t="shared" si="3"/>
        <v>1</v>
      </c>
      <c r="AB31" s="1570">
        <f t="shared" si="4"/>
        <v>1</v>
      </c>
      <c r="AC31" s="1570">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7"/>
      <c r="M32" s="2129"/>
      <c r="N32" s="2129"/>
      <c r="O32" s="2129"/>
      <c r="P32" s="3736"/>
      <c r="Q32" s="1566">
        <f t="shared" si="11"/>
        <v>111</v>
      </c>
      <c r="R32" s="1567" t="s">
        <v>8</v>
      </c>
      <c r="S32" s="1568">
        <f t="shared" si="12"/>
        <v>100</v>
      </c>
      <c r="T32" s="1567" t="s">
        <v>8</v>
      </c>
      <c r="U32" s="1568">
        <f t="shared" si="13"/>
        <v>100</v>
      </c>
      <c r="V32" s="1567" t="s">
        <v>8</v>
      </c>
      <c r="W32" s="1568">
        <f t="shared" si="14"/>
        <v>100</v>
      </c>
      <c r="X32" s="1561"/>
      <c r="Y32" s="3736"/>
      <c r="Z32" s="1569">
        <f t="shared" si="15"/>
        <v>111</v>
      </c>
      <c r="AA32" s="1570">
        <f t="shared" si="3"/>
        <v>1</v>
      </c>
      <c r="AB32" s="1570">
        <f t="shared" si="4"/>
        <v>1</v>
      </c>
      <c r="AC32" s="1570">
        <f t="shared" si="5"/>
        <v>1</v>
      </c>
    </row>
    <row r="33" spans="1:29" ht="15">
      <c r="A33" s="2927" t="s">
        <v>2762</v>
      </c>
      <c r="B33" s="171" t="s">
        <v>781</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7"/>
      <c r="M33" s="2129"/>
      <c r="N33" s="2129"/>
      <c r="O33" s="2129"/>
      <c r="P33" s="3737" t="s">
        <v>551</v>
      </c>
      <c r="Q33" s="1566" t="str">
        <f t="shared" si="11"/>
        <v>建筑类型</v>
      </c>
      <c r="R33" s="1567" t="s">
        <v>8</v>
      </c>
      <c r="S33" s="1568">
        <f t="shared" si="12"/>
        <v>100</v>
      </c>
      <c r="T33" s="1567" t="s">
        <v>8</v>
      </c>
      <c r="U33" s="1568">
        <f t="shared" si="13"/>
        <v>100</v>
      </c>
      <c r="V33" s="1567" t="s">
        <v>8</v>
      </c>
      <c r="W33" s="1568">
        <f t="shared" si="14"/>
        <v>100</v>
      </c>
      <c r="X33" s="1561"/>
      <c r="Y33" s="3738" t="s">
        <v>551</v>
      </c>
      <c r="Z33" s="1569" t="str">
        <f t="shared" si="15"/>
        <v>建筑类型</v>
      </c>
      <c r="AA33" s="1570">
        <f t="shared" si="3"/>
        <v>1</v>
      </c>
      <c r="AB33" s="1570">
        <f t="shared" si="4"/>
        <v>1</v>
      </c>
      <c r="AC33" s="1570">
        <f t="shared" si="5"/>
        <v>1</v>
      </c>
    </row>
    <row r="34" spans="1:29" s="1335" customFormat="1" ht="15">
      <c r="A34" s="599"/>
      <c r="B34" s="523" t="s">
        <v>727</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38"/>
      <c r="Q34" s="1599" t="str">
        <f t="shared" si="11"/>
        <v>项目建筑规模</v>
      </c>
      <c r="R34" s="1571" t="s">
        <v>8</v>
      </c>
      <c r="S34" s="1572" t="e">
        <f t="shared" si="12"/>
        <v>#N/A</v>
      </c>
      <c r="T34" s="1571" t="s">
        <v>8</v>
      </c>
      <c r="U34" s="1572" t="e">
        <f t="shared" si="13"/>
        <v>#N/A</v>
      </c>
      <c r="V34" s="1571" t="s">
        <v>8</v>
      </c>
      <c r="W34" s="1572" t="e">
        <f t="shared" si="14"/>
        <v>#N/A</v>
      </c>
      <c r="X34" s="1573"/>
      <c r="Y34" s="3738"/>
      <c r="Z34" s="1574" t="str">
        <f t="shared" si="15"/>
        <v>项目建筑规模</v>
      </c>
      <c r="AA34" s="1570" t="e">
        <f t="shared" si="3"/>
        <v>#N/A</v>
      </c>
      <c r="AB34" s="1570" t="e">
        <f t="shared" si="4"/>
        <v>#N/A</v>
      </c>
      <c r="AC34" s="1570"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38"/>
      <c r="Q35" s="1566" t="str">
        <f t="shared" si="11"/>
        <v>建筑结构</v>
      </c>
      <c r="R35" s="1567" t="s">
        <v>8</v>
      </c>
      <c r="S35" s="1568">
        <f t="shared" si="12"/>
        <v>100</v>
      </c>
      <c r="T35" s="1567" t="s">
        <v>8</v>
      </c>
      <c r="U35" s="1568">
        <f t="shared" si="13"/>
        <v>100</v>
      </c>
      <c r="V35" s="1567" t="s">
        <v>8</v>
      </c>
      <c r="W35" s="1568">
        <f t="shared" si="14"/>
        <v>100</v>
      </c>
      <c r="X35" s="1561"/>
      <c r="Y35" s="3738"/>
      <c r="Z35" s="1569" t="str">
        <f t="shared" si="15"/>
        <v>建筑结构</v>
      </c>
      <c r="AA35" s="1570">
        <f t="shared" si="3"/>
        <v>1</v>
      </c>
      <c r="AB35" s="1570">
        <f t="shared" si="4"/>
        <v>1</v>
      </c>
      <c r="AC35" s="1570">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38"/>
      <c r="Q36" s="1566" t="str">
        <f t="shared" si="11"/>
        <v>公共部分装修</v>
      </c>
      <c r="R36" s="1567" t="s">
        <v>8</v>
      </c>
      <c r="S36" s="1568">
        <f t="shared" si="12"/>
        <v>100</v>
      </c>
      <c r="T36" s="1567" t="s">
        <v>8</v>
      </c>
      <c r="U36" s="1568">
        <f t="shared" si="13"/>
        <v>100</v>
      </c>
      <c r="V36" s="1567" t="s">
        <v>8</v>
      </c>
      <c r="W36" s="1568">
        <f t="shared" si="14"/>
        <v>100</v>
      </c>
      <c r="X36" s="1561"/>
      <c r="Y36" s="3738"/>
      <c r="Z36" s="1569" t="str">
        <f t="shared" si="15"/>
        <v>公共部分装修</v>
      </c>
      <c r="AA36" s="1570">
        <f t="shared" si="3"/>
        <v>1</v>
      </c>
      <c r="AB36" s="1570">
        <f t="shared" si="4"/>
        <v>1</v>
      </c>
      <c r="AC36" s="1570">
        <f t="shared" si="5"/>
        <v>1</v>
      </c>
    </row>
    <row r="37" spans="1:29" ht="15">
      <c r="A37" s="590"/>
      <c r="B37" s="523" t="s">
        <v>765</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7"/>
      <c r="M37" s="2129"/>
      <c r="N37" s="2129"/>
      <c r="O37" s="2129"/>
      <c r="P37" s="3738"/>
      <c r="Q37" s="1566" t="str">
        <f t="shared" si="11"/>
        <v>成新度</v>
      </c>
      <c r="R37" s="1567" t="s">
        <v>8</v>
      </c>
      <c r="S37" s="1568" t="e">
        <f t="shared" si="12"/>
        <v>#N/A</v>
      </c>
      <c r="T37" s="1567" t="s">
        <v>8</v>
      </c>
      <c r="U37" s="1568" t="e">
        <f t="shared" si="13"/>
        <v>#N/A</v>
      </c>
      <c r="V37" s="1567" t="s">
        <v>8</v>
      </c>
      <c r="W37" s="1568" t="e">
        <f t="shared" si="14"/>
        <v>#N/A</v>
      </c>
      <c r="X37" s="1561"/>
      <c r="Y37" s="3738"/>
      <c r="Z37" s="1569" t="str">
        <f t="shared" si="15"/>
        <v>成新度</v>
      </c>
      <c r="AA37" s="1570" t="e">
        <f t="shared" si="3"/>
        <v>#N/A</v>
      </c>
      <c r="AB37" s="1570" t="e">
        <f t="shared" si="4"/>
        <v>#N/A</v>
      </c>
      <c r="AC37" s="1570" t="e">
        <f t="shared" si="5"/>
        <v>#N/A</v>
      </c>
    </row>
    <row r="38" spans="1:29" s="1216"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38"/>
      <c r="Q38" s="1147" t="str">
        <f t="shared" si="11"/>
        <v>写字楼等级</v>
      </c>
      <c r="R38" s="1562" t="s">
        <v>8</v>
      </c>
      <c r="S38" s="1563">
        <f t="shared" si="12"/>
        <v>100</v>
      </c>
      <c r="T38" s="1562" t="s">
        <v>8</v>
      </c>
      <c r="U38" s="1563">
        <f t="shared" si="13"/>
        <v>100</v>
      </c>
      <c r="V38" s="1562" t="s">
        <v>8</v>
      </c>
      <c r="W38" s="1563">
        <f t="shared" si="14"/>
        <v>100</v>
      </c>
      <c r="X38" s="1564"/>
      <c r="Y38" s="3738"/>
      <c r="Z38" s="1146" t="str">
        <f t="shared" si="15"/>
        <v>写字楼等级</v>
      </c>
      <c r="AA38" s="1565">
        <f t="shared" si="3"/>
        <v>1</v>
      </c>
      <c r="AB38" s="1565">
        <f t="shared" si="4"/>
        <v>1</v>
      </c>
      <c r="AC38" s="1565">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38" t="s">
        <v>551</v>
      </c>
      <c r="Q39" s="1566" t="str">
        <f t="shared" si="11"/>
        <v>物业管理</v>
      </c>
      <c r="R39" s="1567" t="s">
        <v>8</v>
      </c>
      <c r="S39" s="1568">
        <f t="shared" si="12"/>
        <v>100</v>
      </c>
      <c r="T39" s="1567" t="s">
        <v>8</v>
      </c>
      <c r="U39" s="1568">
        <f t="shared" si="13"/>
        <v>100</v>
      </c>
      <c r="V39" s="1567" t="s">
        <v>8</v>
      </c>
      <c r="W39" s="1568">
        <f t="shared" si="14"/>
        <v>100</v>
      </c>
      <c r="X39" s="1561"/>
      <c r="Y39" s="3738" t="s">
        <v>551</v>
      </c>
      <c r="Z39" s="1569" t="str">
        <f t="shared" si="15"/>
        <v>物业管理</v>
      </c>
      <c r="AA39" s="1570">
        <f t="shared" si="3"/>
        <v>1</v>
      </c>
      <c r="AB39" s="1570">
        <f t="shared" si="4"/>
        <v>1</v>
      </c>
      <c r="AC39" s="1570">
        <f t="shared" si="5"/>
        <v>1</v>
      </c>
    </row>
    <row r="40" spans="1:29" ht="15">
      <c r="A40" s="590"/>
      <c r="B40" s="1890" t="s">
        <v>2572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38"/>
      <c r="Q40" s="1566" t="str">
        <f t="shared" si="11"/>
        <v>市政基础设施</v>
      </c>
      <c r="R40" s="1567" t="s">
        <v>8</v>
      </c>
      <c r="S40" s="1568">
        <f t="shared" si="12"/>
        <v>100</v>
      </c>
      <c r="T40" s="1567" t="s">
        <v>8</v>
      </c>
      <c r="U40" s="1568">
        <f t="shared" si="13"/>
        <v>100</v>
      </c>
      <c r="V40" s="1567" t="s">
        <v>8</v>
      </c>
      <c r="W40" s="1568">
        <f t="shared" si="14"/>
        <v>100</v>
      </c>
      <c r="X40" s="1561"/>
      <c r="Y40" s="3738"/>
      <c r="Z40" s="1569" t="str">
        <f t="shared" si="15"/>
        <v>市政基础设施</v>
      </c>
      <c r="AA40" s="1570">
        <f t="shared" si="3"/>
        <v>1</v>
      </c>
      <c r="AB40" s="1570">
        <f t="shared" si="4"/>
        <v>1</v>
      </c>
      <c r="AC40" s="1570">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38"/>
      <c r="Q41" s="1566" t="str">
        <f t="shared" si="11"/>
        <v>层高</v>
      </c>
      <c r="R41" s="1567" t="s">
        <v>8</v>
      </c>
      <c r="S41" s="1568">
        <f t="shared" si="12"/>
        <v>100</v>
      </c>
      <c r="T41" s="1567" t="s">
        <v>8</v>
      </c>
      <c r="U41" s="1568">
        <f t="shared" si="13"/>
        <v>100</v>
      </c>
      <c r="V41" s="1567" t="s">
        <v>8</v>
      </c>
      <c r="W41" s="1568">
        <f t="shared" si="14"/>
        <v>100</v>
      </c>
      <c r="X41" s="1561"/>
      <c r="Y41" s="3738"/>
      <c r="Z41" s="1569" t="str">
        <f t="shared" si="15"/>
        <v>层高</v>
      </c>
      <c r="AA41" s="1570">
        <f t="shared" si="3"/>
        <v>1</v>
      </c>
      <c r="AB41" s="1570">
        <f t="shared" si="4"/>
        <v>1</v>
      </c>
      <c r="AC41" s="1570">
        <f t="shared" si="5"/>
        <v>1</v>
      </c>
    </row>
    <row r="42" spans="1:29" s="1335" customFormat="1" ht="15">
      <c r="A42" s="599"/>
      <c r="B42" s="900"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38"/>
      <c r="Q42" s="1599" t="str">
        <f t="shared" si="11"/>
        <v>单套建筑面积</v>
      </c>
      <c r="R42" s="1571" t="s">
        <v>8</v>
      </c>
      <c r="S42" s="1572">
        <f t="shared" si="12"/>
        <v>100</v>
      </c>
      <c r="T42" s="1571" t="s">
        <v>8</v>
      </c>
      <c r="U42" s="1572">
        <f t="shared" si="13"/>
        <v>100</v>
      </c>
      <c r="V42" s="1571" t="s">
        <v>8</v>
      </c>
      <c r="W42" s="1572">
        <f t="shared" si="14"/>
        <v>100</v>
      </c>
      <c r="X42" s="1573"/>
      <c r="Y42" s="3738"/>
      <c r="Z42" s="1574" t="str">
        <f t="shared" si="15"/>
        <v>单套建筑面积</v>
      </c>
      <c r="AA42" s="1570">
        <f t="shared" si="3"/>
        <v>1</v>
      </c>
      <c r="AB42" s="1570">
        <f t="shared" si="4"/>
        <v>1</v>
      </c>
      <c r="AC42" s="1570">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38"/>
      <c r="Q43" s="1566" t="str">
        <f t="shared" si="11"/>
        <v>内部装修</v>
      </c>
      <c r="R43" s="1567" t="s">
        <v>8</v>
      </c>
      <c r="S43" s="1568">
        <f t="shared" si="12"/>
        <v>100</v>
      </c>
      <c r="T43" s="1567" t="s">
        <v>8</v>
      </c>
      <c r="U43" s="1568">
        <f t="shared" si="13"/>
        <v>100</v>
      </c>
      <c r="V43" s="1567" t="s">
        <v>8</v>
      </c>
      <c r="W43" s="1568">
        <f t="shared" si="14"/>
        <v>100</v>
      </c>
      <c r="X43" s="1561"/>
      <c r="Y43" s="3738"/>
      <c r="Z43" s="1569" t="str">
        <f t="shared" si="15"/>
        <v>内部装修</v>
      </c>
      <c r="AA43" s="1570">
        <f t="shared" si="3"/>
        <v>1</v>
      </c>
      <c r="AB43" s="1570">
        <f t="shared" si="4"/>
        <v>1</v>
      </c>
      <c r="AC43" s="1570">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38"/>
      <c r="Q44" s="1566" t="str">
        <f t="shared" si="11"/>
        <v>内部装修维护情况</v>
      </c>
      <c r="R44" s="1567" t="s">
        <v>8</v>
      </c>
      <c r="S44" s="1568">
        <f t="shared" si="12"/>
        <v>100</v>
      </c>
      <c r="T44" s="1567" t="s">
        <v>8</v>
      </c>
      <c r="U44" s="1568">
        <f t="shared" si="13"/>
        <v>100</v>
      </c>
      <c r="V44" s="1567" t="s">
        <v>8</v>
      </c>
      <c r="W44" s="1568">
        <f t="shared" si="14"/>
        <v>100</v>
      </c>
      <c r="X44" s="1561"/>
      <c r="Y44" s="3738"/>
      <c r="Z44" s="1569" t="str">
        <f t="shared" si="15"/>
        <v>内部装修维护情况</v>
      </c>
      <c r="AA44" s="1570">
        <f t="shared" si="3"/>
        <v>1</v>
      </c>
      <c r="AB44" s="1570">
        <f t="shared" si="4"/>
        <v>1</v>
      </c>
      <c r="AC44" s="1570">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38"/>
      <c r="Q45" s="1147">
        <f t="shared" si="11"/>
        <v>111</v>
      </c>
      <c r="R45" s="1562" t="s">
        <v>8</v>
      </c>
      <c r="S45" s="1563">
        <f t="shared" si="12"/>
        <v>100</v>
      </c>
      <c r="T45" s="1562" t="s">
        <v>8</v>
      </c>
      <c r="U45" s="1563">
        <f t="shared" si="13"/>
        <v>100</v>
      </c>
      <c r="V45" s="1562" t="s">
        <v>8</v>
      </c>
      <c r="W45" s="1563">
        <f t="shared" si="14"/>
        <v>100</v>
      </c>
      <c r="X45" s="1564"/>
      <c r="Y45" s="3738"/>
      <c r="Z45" s="1146">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38"/>
      <c r="Q46" s="1566">
        <f t="shared" si="11"/>
        <v>111</v>
      </c>
      <c r="R46" s="1567" t="s">
        <v>8</v>
      </c>
      <c r="S46" s="1568">
        <f t="shared" si="12"/>
        <v>100</v>
      </c>
      <c r="T46" s="1567" t="s">
        <v>8</v>
      </c>
      <c r="U46" s="1568">
        <f t="shared" si="13"/>
        <v>100</v>
      </c>
      <c r="V46" s="1567" t="s">
        <v>8</v>
      </c>
      <c r="W46" s="1568">
        <f t="shared" si="14"/>
        <v>100</v>
      </c>
      <c r="X46" s="1561"/>
      <c r="Y46" s="3738"/>
      <c r="Z46" s="1569">
        <f t="shared" si="15"/>
        <v>111</v>
      </c>
      <c r="AA46" s="1570">
        <f t="shared" si="3"/>
        <v>1</v>
      </c>
      <c r="AB46" s="1570">
        <f t="shared" si="4"/>
        <v>1</v>
      </c>
      <c r="AC46" s="1570">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805"/>
      <c r="Q47" s="1566">
        <f t="shared" si="11"/>
        <v>111</v>
      </c>
      <c r="R47" s="1567" t="s">
        <v>8</v>
      </c>
      <c r="S47" s="1568">
        <f t="shared" si="12"/>
        <v>100</v>
      </c>
      <c r="T47" s="1567" t="s">
        <v>8</v>
      </c>
      <c r="U47" s="1568">
        <f t="shared" si="13"/>
        <v>100</v>
      </c>
      <c r="V47" s="1567" t="s">
        <v>8</v>
      </c>
      <c r="W47" s="1568">
        <f t="shared" si="14"/>
        <v>100</v>
      </c>
      <c r="X47" s="1561"/>
      <c r="Y47" s="3805"/>
      <c r="Z47" s="1569">
        <f t="shared" si="15"/>
        <v>111</v>
      </c>
      <c r="AA47" s="1570">
        <f t="shared" si="3"/>
        <v>1</v>
      </c>
      <c r="AB47" s="1570">
        <f t="shared" si="4"/>
        <v>1</v>
      </c>
      <c r="AC47" s="1570">
        <f t="shared" si="5"/>
        <v>1</v>
      </c>
    </row>
    <row r="48" spans="1:29" ht="15">
      <c r="A48" s="603" t="s">
        <v>737</v>
      </c>
      <c r="B48" s="883"/>
      <c r="C48" s="2646" t="s">
        <v>1</v>
      </c>
      <c r="D48" s="2647"/>
      <c r="E48" s="2648"/>
      <c r="F48" s="2649"/>
      <c r="G48" s="2650"/>
      <c r="H48" s="2651"/>
      <c r="I48" s="2648"/>
      <c r="J48" s="2651"/>
      <c r="K48" s="1605"/>
      <c r="L48" s="2139"/>
      <c r="M48" s="2129"/>
      <c r="N48" s="2129"/>
      <c r="O48" s="2129"/>
      <c r="P48" s="3699" t="str">
        <f>A48</f>
        <v>成交单价（元/平方米）</v>
      </c>
      <c r="Q48" s="3701"/>
      <c r="R48" s="3804">
        <f>E48</f>
        <v>0</v>
      </c>
      <c r="S48" s="3804"/>
      <c r="T48" s="3804">
        <f>G48</f>
        <v>0</v>
      </c>
      <c r="U48" s="3804"/>
      <c r="V48" s="3804">
        <f>I48</f>
        <v>0</v>
      </c>
      <c r="W48" s="3804"/>
      <c r="X48" s="1553"/>
      <c r="Y48" s="1575"/>
      <c r="Z48" s="1553"/>
      <c r="AA48" s="1553"/>
      <c r="AB48" s="1553"/>
      <c r="AC48" s="1553"/>
    </row>
    <row r="49" spans="1:29" ht="15.75" thickBot="1">
      <c r="A49" s="611" t="s">
        <v>2767</v>
      </c>
      <c r="B49" s="884"/>
      <c r="C49" s="2652" t="e">
        <f>R50</f>
        <v>#DIV/0!</v>
      </c>
      <c r="D49" s="2653"/>
      <c r="E49" s="2654" t="e">
        <f>R49</f>
        <v>#DIV/0!</v>
      </c>
      <c r="F49" s="2654"/>
      <c r="G49" s="2652" t="e">
        <f>T49</f>
        <v>#DIV/0!</v>
      </c>
      <c r="H49" s="2653"/>
      <c r="I49" s="2654" t="e">
        <f>V49</f>
        <v>#DIV/0!</v>
      </c>
      <c r="J49" s="2653"/>
      <c r="K49" s="1606"/>
      <c r="L49" s="2139"/>
      <c r="M49" s="2129"/>
      <c r="N49" s="2129"/>
      <c r="O49" s="2129"/>
      <c r="P49" s="3699" t="str">
        <f>A49</f>
        <v>比较价格（元/平方米）</v>
      </c>
      <c r="Q49" s="3701"/>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553"/>
      <c r="Y49" s="1553"/>
      <c r="Z49" s="1553"/>
      <c r="AA49" s="1553"/>
      <c r="AB49" s="1553"/>
      <c r="AC49" s="1553"/>
    </row>
    <row r="50" spans="1:29" ht="15.75" thickBot="1">
      <c r="A50" s="617" t="s">
        <v>2938</v>
      </c>
      <c r="B50" s="618"/>
      <c r="C50" s="2655" t="e">
        <f>R50</f>
        <v>#DIV/0!</v>
      </c>
      <c r="D50" s="2655"/>
      <c r="E50" s="2655"/>
      <c r="F50" s="2655"/>
      <c r="G50" s="2655"/>
      <c r="H50" s="2655"/>
      <c r="I50" s="2655"/>
      <c r="J50" s="2655"/>
      <c r="K50" s="1607"/>
      <c r="L50" s="2139"/>
      <c r="M50" s="2129"/>
      <c r="N50" s="2129"/>
      <c r="O50" s="2129"/>
      <c r="P50" s="3806" t="str">
        <f>A50</f>
        <v>估价对象XX用房的比较价格（楼面单价，元/平方米）</v>
      </c>
      <c r="Q50" s="3699"/>
      <c r="R50" s="3803" t="e">
        <f>IF(F1="售价",ROUND(AVERAGE(R49:V49),0),ROUND(AVERAGE(R49:V49),1))</f>
        <v>#DIV/0!</v>
      </c>
      <c r="S50" s="3803"/>
      <c r="T50" s="3803"/>
      <c r="U50" s="3803"/>
      <c r="V50" s="3803"/>
      <c r="W50" s="3803"/>
      <c r="X50" s="1553"/>
      <c r="Y50" s="1553"/>
      <c r="Z50" s="1553"/>
      <c r="AA50" s="1553"/>
      <c r="AB50" s="1553"/>
      <c r="AC50" s="1553"/>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1"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8" t="s">
        <v>575</v>
      </c>
      <c r="B58" s="1553"/>
      <c r="C58" s="1577"/>
      <c r="D58" s="1577"/>
      <c r="E58" s="1577"/>
      <c r="F58" s="1579"/>
      <c r="G58" s="1579"/>
      <c r="H58" s="1577"/>
      <c r="I58" s="1577"/>
      <c r="J58" s="1577"/>
      <c r="K58" s="1580"/>
      <c r="L58" s="1576"/>
      <c r="M58" s="1577"/>
      <c r="N58" s="1577"/>
      <c r="O58" s="1577"/>
      <c r="P58" s="2205"/>
      <c r="Q58" s="2153"/>
      <c r="R58" s="2140"/>
      <c r="S58" s="2140"/>
      <c r="T58" s="2140"/>
      <c r="U58" s="2140"/>
      <c r="V58" s="2140"/>
      <c r="W58" s="2140"/>
      <c r="X58" s="2140"/>
      <c r="Y58" s="2140"/>
      <c r="Z58" s="2140"/>
      <c r="AA58" s="2140"/>
      <c r="AB58" s="2140"/>
      <c r="AC58" s="2140"/>
    </row>
    <row r="59" spans="1:29" s="1343" customFormat="1" ht="15">
      <c r="A59" s="641" t="s">
        <v>530</v>
      </c>
      <c r="B59" s="642"/>
      <c r="C59" s="2822" t="str">
        <f>YEAR(C7)&amp;"-"&amp;MONTH(C7)</f>
        <v>2018-2</v>
      </c>
      <c r="D59" s="2824">
        <f>EDATE(C59,-1)</f>
        <v>43101</v>
      </c>
      <c r="E59" s="2824">
        <f t="shared" ref="E59:O59" si="16">EDATE(D59,-1)</f>
        <v>43070</v>
      </c>
      <c r="F59" s="2824">
        <f t="shared" si="16"/>
        <v>43040</v>
      </c>
      <c r="G59" s="2824">
        <f t="shared" si="16"/>
        <v>43009</v>
      </c>
      <c r="H59" s="2824">
        <f t="shared" si="16"/>
        <v>42979</v>
      </c>
      <c r="I59" s="2824">
        <f t="shared" si="16"/>
        <v>42948</v>
      </c>
      <c r="J59" s="2824">
        <f t="shared" si="16"/>
        <v>42917</v>
      </c>
      <c r="K59" s="2824">
        <f t="shared" si="16"/>
        <v>42887</v>
      </c>
      <c r="L59" s="2824">
        <f t="shared" si="16"/>
        <v>42856</v>
      </c>
      <c r="M59" s="2824">
        <f t="shared" si="16"/>
        <v>42826</v>
      </c>
      <c r="N59" s="2824">
        <f t="shared" si="16"/>
        <v>42795</v>
      </c>
      <c r="O59" s="2824">
        <f t="shared" si="16"/>
        <v>42767</v>
      </c>
      <c r="P59" s="2206"/>
      <c r="Q59" s="2156"/>
      <c r="R59" s="2156"/>
      <c r="S59" s="2156"/>
      <c r="T59" s="2156"/>
      <c r="U59" s="2156"/>
      <c r="V59" s="2156"/>
      <c r="W59" s="2156"/>
      <c r="X59" s="2156"/>
      <c r="Y59" s="2156"/>
      <c r="Z59" s="2156"/>
      <c r="AA59" s="2156"/>
      <c r="AB59" s="2156"/>
      <c r="AC59" s="2156"/>
    </row>
    <row r="60" spans="1:29" s="1216"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6"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6"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6" customFormat="1" ht="15.75" thickBot="1">
      <c r="A63" s="655"/>
      <c r="B63" s="644"/>
      <c r="C63" s="885">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5"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5"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5"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5"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5"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5"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2564</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2565</v>
      </c>
      <c r="C83" s="2617" t="s">
        <v>2566</v>
      </c>
      <c r="D83" s="2617" t="s">
        <v>2567</v>
      </c>
      <c r="E83" s="2617" t="s">
        <v>2568</v>
      </c>
      <c r="F83" s="2617" t="s">
        <v>2569</v>
      </c>
      <c r="G83" s="2617" t="s">
        <v>2570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6" customFormat="1" ht="27.75" thickTop="1">
      <c r="A87" s="705"/>
      <c r="B87" s="669" t="s">
        <v>786</v>
      </c>
      <c r="C87" s="684"/>
      <c r="D87" s="684"/>
      <c r="E87" s="684"/>
      <c r="F87" s="684"/>
      <c r="G87" s="684"/>
      <c r="H87" s="684"/>
      <c r="I87" s="684"/>
      <c r="J87" s="684"/>
      <c r="K87" s="684"/>
      <c r="L87" s="886"/>
      <c r="M87" s="887"/>
      <c r="N87" s="2157"/>
      <c r="O87" s="2157"/>
      <c r="P87" s="2209"/>
      <c r="Q87" s="2153"/>
      <c r="R87" s="1988"/>
      <c r="S87" s="1988"/>
      <c r="T87" s="1988"/>
      <c r="U87" s="1988"/>
      <c r="V87" s="1988"/>
      <c r="W87" s="1988"/>
      <c r="X87" s="1988"/>
      <c r="Y87" s="1988"/>
      <c r="Z87" s="1988"/>
      <c r="AA87" s="1988"/>
      <c r="AB87" s="1988"/>
      <c r="AC87" s="1988"/>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6" customFormat="1" ht="15.75" thickTop="1">
      <c r="A89" s="705"/>
      <c r="B89" s="669" t="str">
        <f>B27</f>
        <v>楼层</v>
      </c>
      <c r="C89" s="684"/>
      <c r="D89" s="684"/>
      <c r="E89" s="684"/>
      <c r="F89" s="888"/>
      <c r="G89" s="684"/>
      <c r="H89" s="684"/>
      <c r="I89" s="684"/>
      <c r="J89" s="684"/>
      <c r="K89" s="684"/>
      <c r="L89" s="684"/>
      <c r="M89" s="887"/>
      <c r="N89" s="2157"/>
      <c r="O89" s="2157"/>
      <c r="P89" s="2209"/>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5"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6"/>
      <c r="M93" s="887"/>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9"/>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5"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5"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90">
        <v>0.5</v>
      </c>
      <c r="D111" s="890">
        <v>0.6</v>
      </c>
      <c r="E111" s="890">
        <v>0.7</v>
      </c>
      <c r="F111" s="890">
        <v>0.8</v>
      </c>
      <c r="G111" s="890">
        <v>0.9</v>
      </c>
      <c r="H111" s="890">
        <v>1.0001</v>
      </c>
      <c r="I111" s="901"/>
      <c r="J111" s="901"/>
      <c r="K111" s="902"/>
      <c r="L111" s="903"/>
      <c r="M111" s="904"/>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5"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3" t="s">
        <v>788</v>
      </c>
      <c r="C119" s="714"/>
      <c r="D119" s="714"/>
      <c r="E119" s="714"/>
      <c r="F119" s="714"/>
      <c r="G119" s="714"/>
      <c r="H119" s="714"/>
      <c r="I119" s="714"/>
      <c r="J119" s="714"/>
      <c r="K119" s="714"/>
      <c r="L119" s="914"/>
      <c r="M119" s="915"/>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5"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5"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5"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5"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9"/>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789</v>
      </c>
      <c r="C1" s="500" t="s">
        <v>721</v>
      </c>
      <c r="D1" s="84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2" customFormat="1" ht="28.5" customHeight="1">
      <c r="A2" s="419" t="s">
        <v>467</v>
      </c>
      <c r="B2" s="846" t="e">
        <f>ROUND(B3*D3/10000,0)</f>
        <v>#DIV/0!</v>
      </c>
      <c r="C2" s="2122"/>
      <c r="D2" s="2122"/>
      <c r="E2" s="2123"/>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424"/>
    </row>
    <row r="3" spans="1:29" s="1332"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522</v>
      </c>
      <c r="B4" s="509"/>
      <c r="C4" s="3707" t="s">
        <v>523</v>
      </c>
      <c r="D4" s="3708"/>
      <c r="E4" s="3741" t="s">
        <v>524</v>
      </c>
      <c r="F4" s="3742"/>
      <c r="G4" s="3707" t="s">
        <v>525</v>
      </c>
      <c r="H4" s="3708"/>
      <c r="I4" s="3707" t="s">
        <v>526</v>
      </c>
      <c r="J4" s="3708"/>
      <c r="K4" s="510" t="s">
        <v>527</v>
      </c>
      <c r="L4" s="2128"/>
      <c r="M4" s="2129"/>
      <c r="N4" s="2129"/>
      <c r="O4" s="2129"/>
      <c r="P4" s="3709" t="s">
        <v>528</v>
      </c>
      <c r="Q4" s="3710"/>
      <c r="R4" s="3715" t="s">
        <v>524</v>
      </c>
      <c r="S4" s="3716"/>
      <c r="T4" s="3715" t="s">
        <v>525</v>
      </c>
      <c r="U4" s="3716"/>
      <c r="V4" s="3702" t="s">
        <v>526</v>
      </c>
      <c r="W4" s="3702"/>
      <c r="X4" s="1561"/>
      <c r="Y4" s="3715" t="s">
        <v>528</v>
      </c>
      <c r="Z4" s="3716"/>
      <c r="AA4" s="3704" t="s">
        <v>524</v>
      </c>
      <c r="AB4" s="3705" t="s">
        <v>525</v>
      </c>
      <c r="AC4" s="3704" t="s">
        <v>526</v>
      </c>
    </row>
    <row r="5" spans="1:29" ht="15">
      <c r="A5" s="511"/>
      <c r="B5" s="512"/>
      <c r="C5" s="3723" t="s">
        <v>2932</v>
      </c>
      <c r="D5" s="3724"/>
      <c r="E5" s="3743" t="s">
        <v>2933</v>
      </c>
      <c r="F5" s="3744"/>
      <c r="G5" s="3723" t="s">
        <v>2934</v>
      </c>
      <c r="H5" s="3724"/>
      <c r="I5" s="3723" t="s">
        <v>2935</v>
      </c>
      <c r="J5" s="3724"/>
      <c r="K5" s="510"/>
      <c r="L5" s="2128"/>
      <c r="M5" s="2129"/>
      <c r="N5" s="2129"/>
      <c r="O5" s="2129"/>
      <c r="P5" s="3711"/>
      <c r="Q5" s="3712"/>
      <c r="R5" s="3717"/>
      <c r="S5" s="3718"/>
      <c r="T5" s="3717"/>
      <c r="U5" s="3718"/>
      <c r="V5" s="3702"/>
      <c r="W5" s="3702"/>
      <c r="X5" s="1561"/>
      <c r="Y5" s="3717"/>
      <c r="Z5" s="3718"/>
      <c r="AA5" s="3705"/>
      <c r="AB5" s="3705"/>
      <c r="AC5" s="3705"/>
    </row>
    <row r="6" spans="1:29" ht="15.75" thickBot="1">
      <c r="A6" s="513"/>
      <c r="B6" s="514"/>
      <c r="C6" s="3721" t="s">
        <v>2936</v>
      </c>
      <c r="D6" s="3722"/>
      <c r="E6" s="3739" t="s">
        <v>2936</v>
      </c>
      <c r="F6" s="3740"/>
      <c r="G6" s="3721" t="s">
        <v>2936</v>
      </c>
      <c r="H6" s="3722"/>
      <c r="I6" s="3721" t="s">
        <v>2936</v>
      </c>
      <c r="J6" s="3722"/>
      <c r="K6" s="510" t="s">
        <v>529</v>
      </c>
      <c r="L6" s="2128"/>
      <c r="M6" s="2129"/>
      <c r="N6" s="2129"/>
      <c r="O6" s="2129"/>
      <c r="P6" s="3713"/>
      <c r="Q6" s="3714"/>
      <c r="R6" s="3717"/>
      <c r="S6" s="3718"/>
      <c r="T6" s="3719"/>
      <c r="U6" s="3720"/>
      <c r="V6" s="3702"/>
      <c r="W6" s="3702"/>
      <c r="X6" s="1561"/>
      <c r="Y6" s="3719"/>
      <c r="Z6" s="3720"/>
      <c r="AA6" s="3706"/>
      <c r="AB6" s="3706"/>
      <c r="AC6" s="3706"/>
    </row>
    <row r="7" spans="1:29" s="1216" customFormat="1" ht="15.75" thickBot="1">
      <c r="A7" s="2932"/>
      <c r="B7" s="2939" t="s">
        <v>530</v>
      </c>
      <c r="C7" s="515">
        <f>'数据-取费表'!B2</f>
        <v>43133</v>
      </c>
      <c r="D7" s="516">
        <v>100</v>
      </c>
      <c r="E7" s="517"/>
      <c r="F7" s="518">
        <f>SUMIF(52:52,YEAR(E7)&amp;"-"&amp;MONTH(E7),53:53)</f>
        <v>0</v>
      </c>
      <c r="G7" s="517"/>
      <c r="H7" s="516">
        <f>SUMIF(52:52,YEAR(G7)&amp;"-"&amp;MONTH(G7),53:53)</f>
        <v>0</v>
      </c>
      <c r="I7" s="517"/>
      <c r="J7" s="516">
        <f>SUMIF(52:52,YEAR(I7)&amp;"-"&amp;MONTH(I7),53:53)</f>
        <v>0</v>
      </c>
      <c r="K7" s="520"/>
      <c r="L7" s="2130"/>
      <c r="M7" s="2131"/>
      <c r="N7" s="2131"/>
      <c r="O7" s="2131"/>
      <c r="P7" s="3732" t="s">
        <v>531</v>
      </c>
      <c r="Q7" s="3734"/>
      <c r="R7" s="1562" t="s">
        <v>8</v>
      </c>
      <c r="S7" s="1563">
        <f t="shared" ref="S7:S15" si="0">F7</f>
        <v>0</v>
      </c>
      <c r="T7" s="1562" t="s">
        <v>8</v>
      </c>
      <c r="U7" s="1563">
        <f t="shared" ref="U7:U15" si="1">H7</f>
        <v>0</v>
      </c>
      <c r="V7" s="1562" t="s">
        <v>8</v>
      </c>
      <c r="W7" s="1563">
        <f t="shared" ref="W7:W15"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732" t="s">
        <v>534</v>
      </c>
      <c r="Q8" s="3733"/>
      <c r="R8" s="1562" t="s">
        <v>8</v>
      </c>
      <c r="S8" s="1563">
        <f t="shared" si="0"/>
        <v>0</v>
      </c>
      <c r="T8" s="1562" t="s">
        <v>8</v>
      </c>
      <c r="U8" s="1563">
        <f t="shared" si="1"/>
        <v>0</v>
      </c>
      <c r="V8" s="1562" t="s">
        <v>8</v>
      </c>
      <c r="W8" s="1563">
        <f t="shared" si="2"/>
        <v>0</v>
      </c>
      <c r="X8" s="1564"/>
      <c r="Y8" s="3732" t="s">
        <v>534</v>
      </c>
      <c r="Z8" s="3733"/>
      <c r="AA8" s="1565" t="e">
        <f t="shared" ref="AA8:AA40" si="3">D8/F8</f>
        <v>#DIV/0!</v>
      </c>
      <c r="AB8" s="1565" t="e">
        <f t="shared" ref="AB8:AB40" si="4">D8/H8</f>
        <v>#DIV/0!</v>
      </c>
      <c r="AC8" s="1565" t="e">
        <f t="shared" ref="AC8:AC40" si="5">D8/J8</f>
        <v>#DIV/0!</v>
      </c>
    </row>
    <row r="9" spans="1:29" s="1216" customFormat="1" ht="15">
      <c r="A9" s="2934"/>
      <c r="B9" s="2941" t="s">
        <v>2763</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701" t="s">
        <v>536</v>
      </c>
      <c r="Q9" s="1147" t="str">
        <f t="shared" ref="Q9:Q15" si="6">B9</f>
        <v>用途</v>
      </c>
      <c r="R9" s="1562" t="s">
        <v>8</v>
      </c>
      <c r="S9" s="1563">
        <f t="shared" si="0"/>
        <v>100</v>
      </c>
      <c r="T9" s="1562" t="s">
        <v>8</v>
      </c>
      <c r="U9" s="1563">
        <f t="shared" si="1"/>
        <v>100</v>
      </c>
      <c r="V9" s="1562" t="s">
        <v>8</v>
      </c>
      <c r="W9" s="1563">
        <f t="shared" si="2"/>
        <v>100</v>
      </c>
      <c r="X9" s="1564"/>
      <c r="Y9" s="3643"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701"/>
      <c r="Q11" s="1147" t="str">
        <f t="shared" si="6"/>
        <v>容积率</v>
      </c>
      <c r="R11" s="1562" t="s">
        <v>8</v>
      </c>
      <c r="S11" s="1563" t="e">
        <f t="shared" si="0"/>
        <v>#N/A</v>
      </c>
      <c r="T11" s="1562" t="s">
        <v>8</v>
      </c>
      <c r="U11" s="1563" t="e">
        <f t="shared" si="1"/>
        <v>#N/A</v>
      </c>
      <c r="V11" s="1562" t="s">
        <v>8</v>
      </c>
      <c r="W11" s="1563" t="e">
        <f t="shared" si="2"/>
        <v>#N/A</v>
      </c>
      <c r="X11" s="1564"/>
      <c r="Y11" s="3643"/>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35"/>
      <c r="F12" s="251">
        <f>SUMIF(64:64,E12,65:65)-SUMIF(64:64,C12,65:65)+100</f>
        <v>100</v>
      </c>
      <c r="G12" s="916"/>
      <c r="H12" s="251">
        <f>SUMIF(64:64,G12,65:65)-SUMIF(64:64,C12,65:65)+100</f>
        <v>100</v>
      </c>
      <c r="I12" s="876"/>
      <c r="J12" s="251">
        <f>SUMIF(64:64,I12,65:65)-SUMIF(64:64,C12,65:65)+100</f>
        <v>100</v>
      </c>
      <c r="K12" s="577"/>
      <c r="L12" s="2130"/>
      <c r="M12" s="2131"/>
      <c r="N12" s="2131"/>
      <c r="O12" s="2132"/>
      <c r="P12" s="3701"/>
      <c r="Q12" s="1147">
        <f t="shared" si="6"/>
        <v>111</v>
      </c>
      <c r="R12" s="1562" t="s">
        <v>8</v>
      </c>
      <c r="S12" s="1563">
        <f t="shared" si="0"/>
        <v>100</v>
      </c>
      <c r="T12" s="1562" t="s">
        <v>8</v>
      </c>
      <c r="U12" s="1563">
        <f t="shared" si="1"/>
        <v>100</v>
      </c>
      <c r="V12" s="1562" t="s">
        <v>8</v>
      </c>
      <c r="W12" s="1563">
        <f t="shared" si="2"/>
        <v>100</v>
      </c>
      <c r="X12" s="1564"/>
      <c r="Y12" s="3643"/>
      <c r="Z12" s="1146">
        <f t="shared" si="7"/>
        <v>111</v>
      </c>
      <c r="AA12" s="1565">
        <f>D12/F12</f>
        <v>1</v>
      </c>
      <c r="AB12" s="1565">
        <f>D12/H12</f>
        <v>1</v>
      </c>
      <c r="AC12" s="1565">
        <f>D12/J12</f>
        <v>1</v>
      </c>
    </row>
    <row r="13" spans="1:29" ht="15">
      <c r="A13" s="2937"/>
      <c r="B13" s="2943">
        <v>111</v>
      </c>
      <c r="C13" s="535"/>
      <c r="D13" s="536">
        <v>100</v>
      </c>
      <c r="E13" s="535"/>
      <c r="F13" s="251">
        <f>SUMIF(66:66,E13,67:67)-SUMIF(66:66,C13,67:67)+100</f>
        <v>100</v>
      </c>
      <c r="G13" s="916"/>
      <c r="H13" s="536">
        <f>SUMIF(66:66,G13,67:67)-SUMIF(66:66,C13,67:67)+100</f>
        <v>100</v>
      </c>
      <c r="I13" s="876"/>
      <c r="J13" s="536">
        <f>SUMIF(66:66,I13,67:67)-SUMIF(66:66,C13,67:67)+100</f>
        <v>100</v>
      </c>
      <c r="K13" s="577"/>
      <c r="L13" s="2137"/>
      <c r="M13" s="2129"/>
      <c r="N13" s="2129"/>
      <c r="O13" s="2136"/>
      <c r="P13" s="3701"/>
      <c r="Q13" s="1147">
        <f t="shared" si="6"/>
        <v>111</v>
      </c>
      <c r="R13" s="1562" t="s">
        <v>8</v>
      </c>
      <c r="S13" s="1563">
        <f t="shared" si="0"/>
        <v>100</v>
      </c>
      <c r="T13" s="1562" t="s">
        <v>8</v>
      </c>
      <c r="U13" s="1563">
        <f t="shared" si="1"/>
        <v>100</v>
      </c>
      <c r="V13" s="1562" t="s">
        <v>8</v>
      </c>
      <c r="W13" s="1563">
        <f t="shared" si="2"/>
        <v>100</v>
      </c>
      <c r="X13" s="1564"/>
      <c r="Y13" s="3643"/>
      <c r="Z13" s="1146">
        <f t="shared" si="7"/>
        <v>111</v>
      </c>
      <c r="AA13" s="1565">
        <f t="shared" si="3"/>
        <v>1</v>
      </c>
      <c r="AB13" s="1565">
        <f t="shared" si="4"/>
        <v>1</v>
      </c>
      <c r="AC13" s="1565">
        <f t="shared" si="5"/>
        <v>1</v>
      </c>
    </row>
    <row r="14" spans="1:29" ht="15.75" thickBot="1">
      <c r="A14" s="2938"/>
      <c r="B14" s="2944">
        <v>111</v>
      </c>
      <c r="C14" s="541"/>
      <c r="D14" s="542">
        <v>100</v>
      </c>
      <c r="E14" s="541"/>
      <c r="F14" s="542">
        <f>SUMIF(68:68,E14,69:69)-SUMIF(68:68,C14,69:69)+100</f>
        <v>100</v>
      </c>
      <c r="G14" s="916"/>
      <c r="H14" s="542">
        <f>SUMIF(68:68,G14,69:69)-SUMIF(68:68,C14,69:69)+100</f>
        <v>100</v>
      </c>
      <c r="I14" s="876"/>
      <c r="J14" s="542">
        <f>SUMIF(68:68,I14,69:69)-SUMIF(68:68,C14,69:69)+100</f>
        <v>100</v>
      </c>
      <c r="K14" s="577"/>
      <c r="L14" s="2137"/>
      <c r="M14" s="2129"/>
      <c r="N14" s="2129"/>
      <c r="O14" s="2136"/>
      <c r="P14" s="3701"/>
      <c r="Q14" s="1147">
        <f t="shared" si="6"/>
        <v>111</v>
      </c>
      <c r="R14" s="1562" t="s">
        <v>8</v>
      </c>
      <c r="S14" s="1563">
        <f t="shared" si="0"/>
        <v>100</v>
      </c>
      <c r="T14" s="1562" t="s">
        <v>8</v>
      </c>
      <c r="U14" s="1563">
        <f t="shared" si="1"/>
        <v>100</v>
      </c>
      <c r="V14" s="1562" t="s">
        <v>8</v>
      </c>
      <c r="W14" s="1563">
        <f t="shared" si="2"/>
        <v>100</v>
      </c>
      <c r="X14" s="1564"/>
      <c r="Y14" s="3643"/>
      <c r="Z14" s="1146">
        <f t="shared" si="7"/>
        <v>111</v>
      </c>
      <c r="AA14" s="1565">
        <f t="shared" si="3"/>
        <v>1</v>
      </c>
      <c r="AB14" s="1565">
        <f t="shared" si="4"/>
        <v>1</v>
      </c>
      <c r="AC14" s="1565">
        <f t="shared" si="5"/>
        <v>1</v>
      </c>
    </row>
    <row r="15" spans="1:29" ht="57">
      <c r="A15" s="2930" t="s">
        <v>2761</v>
      </c>
      <c r="B15" s="165" t="s">
        <v>790</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7"/>
      <c r="M15" s="2129"/>
      <c r="N15" s="2129"/>
      <c r="O15" s="2136"/>
      <c r="P15" s="3735" t="s">
        <v>541</v>
      </c>
      <c r="Q15" s="1566" t="str">
        <f t="shared" si="6"/>
        <v>产业集聚程度</v>
      </c>
      <c r="R15" s="1567" t="s">
        <v>8</v>
      </c>
      <c r="S15" s="1568">
        <f t="shared" si="0"/>
        <v>100</v>
      </c>
      <c r="T15" s="1567" t="s">
        <v>8</v>
      </c>
      <c r="U15" s="1568">
        <f t="shared" si="1"/>
        <v>100</v>
      </c>
      <c r="V15" s="1567" t="s">
        <v>8</v>
      </c>
      <c r="W15" s="1568">
        <f t="shared" si="2"/>
        <v>100</v>
      </c>
      <c r="X15" s="1561"/>
      <c r="Y15" s="3735" t="s">
        <v>541</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36"/>
      <c r="Q16" s="1566"/>
      <c r="R16" s="1567"/>
      <c r="S16" s="1568"/>
      <c r="T16" s="1567"/>
      <c r="U16" s="1568"/>
      <c r="V16" s="1567"/>
      <c r="W16" s="1568"/>
      <c r="X16" s="1561"/>
      <c r="Y16" s="3736"/>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7"/>
      <c r="M17" s="2129"/>
      <c r="N17" s="2129"/>
      <c r="O17" s="2136"/>
      <c r="P17" s="3736"/>
      <c r="Q17" s="1566" t="str">
        <f>B17</f>
        <v>交通便捷度</v>
      </c>
      <c r="R17" s="1567" t="s">
        <v>8</v>
      </c>
      <c r="S17" s="1568">
        <f>F17</f>
        <v>100</v>
      </c>
      <c r="T17" s="1567" t="s">
        <v>8</v>
      </c>
      <c r="U17" s="1568">
        <f>H17</f>
        <v>100</v>
      </c>
      <c r="V17" s="1567" t="s">
        <v>8</v>
      </c>
      <c r="W17" s="1568">
        <f>J17</f>
        <v>100</v>
      </c>
      <c r="X17" s="1561"/>
      <c r="Y17" s="3736"/>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36"/>
      <c r="Q18" s="1566"/>
      <c r="R18" s="1567"/>
      <c r="S18" s="1568"/>
      <c r="T18" s="1567"/>
      <c r="U18" s="1568"/>
      <c r="V18" s="1567"/>
      <c r="W18" s="1568"/>
      <c r="X18" s="1561"/>
      <c r="Y18" s="3736"/>
      <c r="Z18" s="1569"/>
      <c r="AA18" s="1570">
        <v>1</v>
      </c>
      <c r="AB18" s="1570">
        <v>1</v>
      </c>
      <c r="AC18" s="1570">
        <v>1</v>
      </c>
    </row>
    <row r="19" spans="1:29" ht="42.75">
      <c r="A19" s="528"/>
      <c r="B19" s="2622" t="s">
        <v>2553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7"/>
      <c r="M19" s="2129"/>
      <c r="N19" s="2129"/>
      <c r="O19" s="2136"/>
      <c r="P19" s="3736"/>
      <c r="Q19" s="1566" t="str">
        <f>B19</f>
        <v>公共配套设施</v>
      </c>
      <c r="R19" s="1567" t="s">
        <v>8</v>
      </c>
      <c r="S19" s="1568">
        <f>F19</f>
        <v>100</v>
      </c>
      <c r="T19" s="1567" t="s">
        <v>8</v>
      </c>
      <c r="U19" s="1568">
        <f>H19</f>
        <v>100</v>
      </c>
      <c r="V19" s="1567" t="s">
        <v>8</v>
      </c>
      <c r="W19" s="1568">
        <f>J19</f>
        <v>100</v>
      </c>
      <c r="X19" s="1561"/>
      <c r="Y19" s="3736"/>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5"/>
      <c r="L20" s="2137"/>
      <c r="M20" s="2129"/>
      <c r="N20" s="2129"/>
      <c r="O20" s="2136"/>
      <c r="P20" s="3736"/>
      <c r="Q20" s="1566"/>
      <c r="R20" s="1567"/>
      <c r="S20" s="1568"/>
      <c r="T20" s="1567"/>
      <c r="U20" s="1568"/>
      <c r="V20" s="1567"/>
      <c r="W20" s="1568"/>
      <c r="X20" s="1561"/>
      <c r="Y20" s="3736"/>
      <c r="Z20" s="1569"/>
      <c r="AA20" s="1570">
        <v>1</v>
      </c>
      <c r="AB20" s="1570">
        <v>1</v>
      </c>
      <c r="AC20" s="1570">
        <v>1</v>
      </c>
    </row>
    <row r="21" spans="1:29" ht="28.5">
      <c r="A21" s="528"/>
      <c r="B21" s="2610" t="s">
        <v>2565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7"/>
      <c r="M21" s="2129"/>
      <c r="N21" s="2129"/>
      <c r="O21" s="2136"/>
      <c r="P21" s="3736"/>
      <c r="Q21" s="2598" t="str">
        <f>B21</f>
        <v>基础设施水平</v>
      </c>
      <c r="R21" s="1567" t="s">
        <v>8</v>
      </c>
      <c r="S21" s="1568">
        <f>F21</f>
        <v>100</v>
      </c>
      <c r="T21" s="1567" t="s">
        <v>8</v>
      </c>
      <c r="U21" s="1568">
        <f>H21</f>
        <v>100</v>
      </c>
      <c r="V21" s="1567" t="s">
        <v>8</v>
      </c>
      <c r="W21" s="1568">
        <f>J21</f>
        <v>100</v>
      </c>
      <c r="X21" s="2600"/>
      <c r="Y21" s="3736"/>
      <c r="Z21" s="2599"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621"/>
      <c r="L22" s="2137"/>
      <c r="M22" s="2129"/>
      <c r="N22" s="2129"/>
      <c r="O22" s="2136"/>
      <c r="P22" s="3736"/>
      <c r="Q22" s="2598"/>
      <c r="R22" s="1567"/>
      <c r="S22" s="1568"/>
      <c r="T22" s="1567"/>
      <c r="U22" s="1568"/>
      <c r="V22" s="1567"/>
      <c r="W22" s="1568"/>
      <c r="X22" s="2600"/>
      <c r="Y22" s="3736"/>
      <c r="Z22" s="2599"/>
      <c r="AA22" s="1570">
        <v>1</v>
      </c>
      <c r="AB22" s="1570">
        <v>1</v>
      </c>
      <c r="AC22" s="1570">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7"/>
      <c r="M23" s="2129"/>
      <c r="N23" s="2129"/>
      <c r="O23" s="2136"/>
      <c r="P23" s="3736"/>
      <c r="Q23" s="1566" t="str">
        <f>B23</f>
        <v>环境质量</v>
      </c>
      <c r="R23" s="1567" t="s">
        <v>8</v>
      </c>
      <c r="S23" s="1568">
        <f>F23</f>
        <v>100</v>
      </c>
      <c r="T23" s="1567" t="s">
        <v>8</v>
      </c>
      <c r="U23" s="1568">
        <f>H23</f>
        <v>100</v>
      </c>
      <c r="V23" s="1567" t="s">
        <v>8</v>
      </c>
      <c r="W23" s="1568">
        <f>J23</f>
        <v>100</v>
      </c>
      <c r="X23" s="1561"/>
      <c r="Y23" s="3736"/>
      <c r="Z23" s="1569" t="str">
        <f>Q23</f>
        <v>环境质量</v>
      </c>
      <c r="AA23" s="1570">
        <f t="shared" si="3"/>
        <v>1</v>
      </c>
      <c r="AB23" s="1570">
        <f t="shared" si="4"/>
        <v>1</v>
      </c>
      <c r="AC23" s="1570">
        <f t="shared" si="5"/>
        <v>1</v>
      </c>
    </row>
    <row r="24" spans="1:29" ht="15">
      <c r="A24" s="528"/>
      <c r="B24" s="918"/>
      <c r="C24" s="572"/>
      <c r="D24" s="551"/>
      <c r="E24" s="552"/>
      <c r="F24" s="553"/>
      <c r="G24" s="554"/>
      <c r="H24" s="551"/>
      <c r="I24" s="552"/>
      <c r="J24" s="551"/>
      <c r="K24" s="895"/>
      <c r="L24" s="2137"/>
      <c r="M24" s="2129"/>
      <c r="N24" s="2129"/>
      <c r="O24" s="2136"/>
      <c r="P24" s="3736"/>
      <c r="Q24" s="1566"/>
      <c r="R24" s="1567"/>
      <c r="S24" s="1568"/>
      <c r="T24" s="1567"/>
      <c r="U24" s="1568"/>
      <c r="V24" s="1567"/>
      <c r="W24" s="1568"/>
      <c r="X24" s="1561"/>
      <c r="Y24" s="3736"/>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36"/>
      <c r="Q25" s="1566">
        <f>B25</f>
        <v>111</v>
      </c>
      <c r="R25" s="1567" t="s">
        <v>8</v>
      </c>
      <c r="S25" s="1568">
        <f>F25</f>
        <v>100</v>
      </c>
      <c r="T25" s="1567" t="s">
        <v>8</v>
      </c>
      <c r="U25" s="1568">
        <f>H25</f>
        <v>100</v>
      </c>
      <c r="V25" s="1567" t="s">
        <v>8</v>
      </c>
      <c r="W25" s="1568">
        <f>J25</f>
        <v>100</v>
      </c>
      <c r="X25" s="1561"/>
      <c r="Y25" s="3736"/>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36"/>
      <c r="Q26" s="1566">
        <f t="shared" ref="Q26:Q40" si="11">B26</f>
        <v>111</v>
      </c>
      <c r="R26" s="1567" t="s">
        <v>8</v>
      </c>
      <c r="S26" s="1568">
        <f>F26</f>
        <v>100</v>
      </c>
      <c r="T26" s="1567" t="s">
        <v>8</v>
      </c>
      <c r="U26" s="1568">
        <f>H26</f>
        <v>100</v>
      </c>
      <c r="V26" s="1567" t="s">
        <v>8</v>
      </c>
      <c r="W26" s="1568">
        <f>J26</f>
        <v>100</v>
      </c>
      <c r="X26" s="1561"/>
      <c r="Y26" s="3736"/>
      <c r="Z26" s="1569">
        <f>Q26</f>
        <v>111</v>
      </c>
      <c r="AA26" s="1570">
        <f t="shared" si="3"/>
        <v>1</v>
      </c>
      <c r="AB26" s="1570">
        <f t="shared" si="4"/>
        <v>1</v>
      </c>
      <c r="AC26" s="1570">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36"/>
      <c r="Q27" s="1147">
        <f t="shared" si="11"/>
        <v>111</v>
      </c>
      <c r="R27" s="1562" t="s">
        <v>8</v>
      </c>
      <c r="S27" s="1563">
        <f>F27</f>
        <v>100</v>
      </c>
      <c r="T27" s="1562" t="s">
        <v>8</v>
      </c>
      <c r="U27" s="1563">
        <f>H27</f>
        <v>100</v>
      </c>
      <c r="V27" s="1562" t="s">
        <v>8</v>
      </c>
      <c r="W27" s="1563">
        <f>J27</f>
        <v>100</v>
      </c>
      <c r="X27" s="1564"/>
      <c r="Y27" s="3736"/>
      <c r="Z27" s="1146">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7"/>
      <c r="M28" s="2129"/>
      <c r="N28" s="2129"/>
      <c r="O28" s="2136"/>
      <c r="P28" s="3736"/>
      <c r="Q28" s="1566">
        <f t="shared" si="11"/>
        <v>111</v>
      </c>
      <c r="R28" s="1567" t="s">
        <v>8</v>
      </c>
      <c r="S28" s="1568">
        <f t="shared" ref="S28:S40" si="12">F28</f>
        <v>100</v>
      </c>
      <c r="T28" s="1567" t="s">
        <v>8</v>
      </c>
      <c r="U28" s="1568">
        <f t="shared" ref="U28:U40" si="13">H28</f>
        <v>100</v>
      </c>
      <c r="V28" s="1567" t="s">
        <v>8</v>
      </c>
      <c r="W28" s="1568">
        <f t="shared" ref="W28:W40" si="14">J28</f>
        <v>100</v>
      </c>
      <c r="X28" s="1561"/>
      <c r="Y28" s="3736"/>
      <c r="Z28" s="1569">
        <f t="shared" ref="Z28:Z40" si="15">Q28</f>
        <v>111</v>
      </c>
      <c r="AA28" s="1570">
        <f t="shared" si="3"/>
        <v>1</v>
      </c>
      <c r="AB28" s="1570">
        <f t="shared" si="4"/>
        <v>1</v>
      </c>
      <c r="AC28" s="1570">
        <f t="shared" si="5"/>
        <v>1</v>
      </c>
    </row>
    <row r="29" spans="1:29" ht="15">
      <c r="A29" s="2927" t="s">
        <v>2762</v>
      </c>
      <c r="B29" s="171" t="s">
        <v>781</v>
      </c>
      <c r="C29" s="912"/>
      <c r="D29" s="593">
        <v>100</v>
      </c>
      <c r="E29" s="912"/>
      <c r="F29" s="571">
        <f>SUMIF(88:88,E29,89:89)-SUMIF(88:88,C29,89:89)+100</f>
        <v>100</v>
      </c>
      <c r="G29" s="912"/>
      <c r="H29" s="536">
        <f>SUMIF(88:88,G29,89:89)-SUMIF(88:88,C29,89:89)+100</f>
        <v>100</v>
      </c>
      <c r="I29" s="912"/>
      <c r="J29" s="593">
        <f>SUMIF(88:88,I29,89:89)-SUMIF(88:88,C29,89:89)+100</f>
        <v>100</v>
      </c>
      <c r="K29" s="580"/>
      <c r="L29" s="2137"/>
      <c r="M29" s="2129"/>
      <c r="N29" s="2129"/>
      <c r="O29" s="2136"/>
      <c r="P29" s="3737" t="s">
        <v>551</v>
      </c>
      <c r="Q29" s="1566" t="str">
        <f t="shared" si="11"/>
        <v>建筑类型</v>
      </c>
      <c r="R29" s="1567" t="s">
        <v>8</v>
      </c>
      <c r="S29" s="1568">
        <f t="shared" si="12"/>
        <v>100</v>
      </c>
      <c r="T29" s="1567" t="s">
        <v>8</v>
      </c>
      <c r="U29" s="1568">
        <f t="shared" si="13"/>
        <v>100</v>
      </c>
      <c r="V29" s="1567" t="s">
        <v>8</v>
      </c>
      <c r="W29" s="1568">
        <f t="shared" si="14"/>
        <v>100</v>
      </c>
      <c r="X29" s="1561"/>
      <c r="Y29" s="3738" t="s">
        <v>551</v>
      </c>
      <c r="Z29" s="1569" t="str">
        <f t="shared" si="15"/>
        <v>建筑类型</v>
      </c>
      <c r="AA29" s="1570">
        <f t="shared" si="3"/>
        <v>1</v>
      </c>
      <c r="AB29" s="1570">
        <f t="shared" si="4"/>
        <v>1</v>
      </c>
      <c r="AC29" s="1570">
        <f t="shared" si="5"/>
        <v>1</v>
      </c>
    </row>
    <row r="30" spans="1:29" s="1335" customFormat="1" ht="15">
      <c r="A30" s="599"/>
      <c r="B30" s="523" t="s">
        <v>727</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38"/>
      <c r="Q30" s="1599" t="str">
        <f t="shared" si="11"/>
        <v>项目建筑规模</v>
      </c>
      <c r="R30" s="1571" t="s">
        <v>8</v>
      </c>
      <c r="S30" s="1572" t="e">
        <f t="shared" si="12"/>
        <v>#N/A</v>
      </c>
      <c r="T30" s="1571" t="s">
        <v>8</v>
      </c>
      <c r="U30" s="1572" t="e">
        <f t="shared" si="13"/>
        <v>#N/A</v>
      </c>
      <c r="V30" s="1571" t="s">
        <v>8</v>
      </c>
      <c r="W30" s="1572" t="e">
        <f t="shared" si="14"/>
        <v>#N/A</v>
      </c>
      <c r="X30" s="1573"/>
      <c r="Y30" s="3738"/>
      <c r="Z30" s="1574" t="str">
        <f t="shared" si="15"/>
        <v>项目建筑规模</v>
      </c>
      <c r="AA30" s="1570" t="e">
        <f t="shared" si="3"/>
        <v>#N/A</v>
      </c>
      <c r="AB30" s="1570" t="e">
        <f t="shared" si="4"/>
        <v>#N/A</v>
      </c>
      <c r="AC30" s="1570"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38"/>
      <c r="Q31" s="1566" t="str">
        <f t="shared" si="11"/>
        <v>建筑结构</v>
      </c>
      <c r="R31" s="1567" t="s">
        <v>8</v>
      </c>
      <c r="S31" s="1568">
        <f t="shared" si="12"/>
        <v>100</v>
      </c>
      <c r="T31" s="1567" t="s">
        <v>8</v>
      </c>
      <c r="U31" s="1568">
        <f t="shared" si="13"/>
        <v>100</v>
      </c>
      <c r="V31" s="1567" t="s">
        <v>8</v>
      </c>
      <c r="W31" s="1568">
        <f t="shared" si="14"/>
        <v>100</v>
      </c>
      <c r="X31" s="1561"/>
      <c r="Y31" s="3738"/>
      <c r="Z31" s="1569" t="str">
        <f t="shared" si="15"/>
        <v>建筑结构</v>
      </c>
      <c r="AA31" s="1570">
        <f t="shared" si="3"/>
        <v>1</v>
      </c>
      <c r="AB31" s="1570">
        <f t="shared" si="4"/>
        <v>1</v>
      </c>
      <c r="AC31" s="1570">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38"/>
      <c r="Q32" s="1566" t="str">
        <f t="shared" si="11"/>
        <v>公共部分装修</v>
      </c>
      <c r="R32" s="1567" t="s">
        <v>8</v>
      </c>
      <c r="S32" s="1568">
        <f t="shared" si="12"/>
        <v>100</v>
      </c>
      <c r="T32" s="1567" t="s">
        <v>8</v>
      </c>
      <c r="U32" s="1568">
        <f t="shared" si="13"/>
        <v>100</v>
      </c>
      <c r="V32" s="1567" t="s">
        <v>8</v>
      </c>
      <c r="W32" s="1568">
        <f t="shared" si="14"/>
        <v>100</v>
      </c>
      <c r="X32" s="1561"/>
      <c r="Y32" s="3738"/>
      <c r="Z32" s="1569" t="str">
        <f t="shared" si="15"/>
        <v>公共部分装修</v>
      </c>
      <c r="AA32" s="1570">
        <f t="shared" si="3"/>
        <v>1</v>
      </c>
      <c r="AB32" s="1570">
        <f t="shared" si="4"/>
        <v>1</v>
      </c>
      <c r="AC32" s="1570">
        <f t="shared" si="5"/>
        <v>1</v>
      </c>
    </row>
    <row r="33" spans="1:29" ht="15">
      <c r="A33" s="590"/>
      <c r="B33" s="523" t="s">
        <v>765</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7"/>
      <c r="M33" s="2129"/>
      <c r="N33" s="2129"/>
      <c r="O33" s="2136"/>
      <c r="P33" s="3738"/>
      <c r="Q33" s="1566" t="str">
        <f t="shared" si="11"/>
        <v>成新度</v>
      </c>
      <c r="R33" s="1567" t="s">
        <v>8</v>
      </c>
      <c r="S33" s="1568" t="e">
        <f t="shared" si="12"/>
        <v>#N/A</v>
      </c>
      <c r="T33" s="1567" t="s">
        <v>8</v>
      </c>
      <c r="U33" s="1568" t="e">
        <f t="shared" si="13"/>
        <v>#N/A</v>
      </c>
      <c r="V33" s="1567" t="s">
        <v>8</v>
      </c>
      <c r="W33" s="1568" t="e">
        <f t="shared" si="14"/>
        <v>#N/A</v>
      </c>
      <c r="X33" s="1561"/>
      <c r="Y33" s="3738"/>
      <c r="Z33" s="1569" t="str">
        <f t="shared" si="15"/>
        <v>成新度</v>
      </c>
      <c r="AA33" s="1570" t="e">
        <f t="shared" si="3"/>
        <v>#N/A</v>
      </c>
      <c r="AB33" s="1570" t="e">
        <f t="shared" si="4"/>
        <v>#N/A</v>
      </c>
      <c r="AC33" s="1570" t="e">
        <f t="shared" si="5"/>
        <v>#N/A</v>
      </c>
    </row>
    <row r="34" spans="1:29" s="1216"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38"/>
      <c r="Q34" s="1147" t="str">
        <f t="shared" si="11"/>
        <v>物业管理</v>
      </c>
      <c r="R34" s="1562" t="s">
        <v>8</v>
      </c>
      <c r="S34" s="1563">
        <f t="shared" si="12"/>
        <v>100</v>
      </c>
      <c r="T34" s="1562" t="s">
        <v>8</v>
      </c>
      <c r="U34" s="1563">
        <f t="shared" si="13"/>
        <v>100</v>
      </c>
      <c r="V34" s="1562" t="s">
        <v>8</v>
      </c>
      <c r="W34" s="1563">
        <f t="shared" si="14"/>
        <v>100</v>
      </c>
      <c r="X34" s="1564"/>
      <c r="Y34" s="3738"/>
      <c r="Z34" s="1146" t="str">
        <f t="shared" si="15"/>
        <v>物业管理</v>
      </c>
      <c r="AA34" s="1565">
        <f t="shared" si="3"/>
        <v>1</v>
      </c>
      <c r="AB34" s="1565">
        <f t="shared" si="4"/>
        <v>1</v>
      </c>
      <c r="AC34" s="1565">
        <f t="shared" si="5"/>
        <v>1</v>
      </c>
    </row>
    <row r="35" spans="1:29" ht="15">
      <c r="A35" s="590"/>
      <c r="B35" s="1890" t="s">
        <v>2572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38" t="s">
        <v>551</v>
      </c>
      <c r="Q35" s="1566" t="str">
        <f t="shared" si="11"/>
        <v>市政基础设施</v>
      </c>
      <c r="R35" s="1567" t="s">
        <v>8</v>
      </c>
      <c r="S35" s="1568">
        <f t="shared" si="12"/>
        <v>100</v>
      </c>
      <c r="T35" s="1567" t="s">
        <v>8</v>
      </c>
      <c r="U35" s="1568">
        <f t="shared" si="13"/>
        <v>100</v>
      </c>
      <c r="V35" s="1567" t="s">
        <v>8</v>
      </c>
      <c r="W35" s="1568">
        <f t="shared" si="14"/>
        <v>100</v>
      </c>
      <c r="X35" s="1561"/>
      <c r="Y35" s="3738" t="s">
        <v>551</v>
      </c>
      <c r="Z35" s="1569" t="str">
        <f t="shared" si="15"/>
        <v>市政基础设施</v>
      </c>
      <c r="AA35" s="1570">
        <f t="shared" si="3"/>
        <v>1</v>
      </c>
      <c r="AB35" s="1570">
        <f t="shared" si="4"/>
        <v>1</v>
      </c>
      <c r="AC35" s="1570">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38"/>
      <c r="Q36" s="1566" t="str">
        <f t="shared" si="11"/>
        <v>内部装修</v>
      </c>
      <c r="R36" s="1567" t="s">
        <v>8</v>
      </c>
      <c r="S36" s="1568">
        <f t="shared" si="12"/>
        <v>100</v>
      </c>
      <c r="T36" s="1567" t="s">
        <v>8</v>
      </c>
      <c r="U36" s="1568">
        <f t="shared" si="13"/>
        <v>100</v>
      </c>
      <c r="V36" s="1567" t="s">
        <v>8</v>
      </c>
      <c r="W36" s="1568">
        <f t="shared" si="14"/>
        <v>100</v>
      </c>
      <c r="X36" s="1561"/>
      <c r="Y36" s="3738"/>
      <c r="Z36" s="1569" t="str">
        <f t="shared" si="15"/>
        <v>内部装修</v>
      </c>
      <c r="AA36" s="1570">
        <f t="shared" si="3"/>
        <v>1</v>
      </c>
      <c r="AB36" s="1570">
        <f t="shared" si="4"/>
        <v>1</v>
      </c>
      <c r="AC36" s="1570">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38"/>
      <c r="Q37" s="1566" t="str">
        <f t="shared" si="11"/>
        <v>内部装修状况</v>
      </c>
      <c r="R37" s="1567" t="s">
        <v>8</v>
      </c>
      <c r="S37" s="1568">
        <f t="shared" si="12"/>
        <v>100</v>
      </c>
      <c r="T37" s="1567" t="s">
        <v>8</v>
      </c>
      <c r="U37" s="1568">
        <f t="shared" si="13"/>
        <v>100</v>
      </c>
      <c r="V37" s="1567" t="s">
        <v>8</v>
      </c>
      <c r="W37" s="1568">
        <f t="shared" si="14"/>
        <v>100</v>
      </c>
      <c r="X37" s="1561"/>
      <c r="Y37" s="3738"/>
      <c r="Z37" s="1569" t="str">
        <f t="shared" si="15"/>
        <v>内部装修状况</v>
      </c>
      <c r="AA37" s="1570">
        <f t="shared" si="3"/>
        <v>1</v>
      </c>
      <c r="AB37" s="1570">
        <f t="shared" si="4"/>
        <v>1</v>
      </c>
      <c r="AC37" s="1570">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5"/>
      <c r="M38" s="2166"/>
      <c r="N38" s="2166"/>
      <c r="O38" s="2138"/>
      <c r="P38" s="3738"/>
      <c r="Q38" s="1599">
        <f t="shared" si="11"/>
        <v>111</v>
      </c>
      <c r="R38" s="1571" t="s">
        <v>8</v>
      </c>
      <c r="S38" s="1572">
        <f t="shared" si="12"/>
        <v>100</v>
      </c>
      <c r="T38" s="1571" t="s">
        <v>8</v>
      </c>
      <c r="U38" s="1572">
        <f t="shared" si="13"/>
        <v>100</v>
      </c>
      <c r="V38" s="1571" t="s">
        <v>8</v>
      </c>
      <c r="W38" s="1572">
        <f t="shared" si="14"/>
        <v>100</v>
      </c>
      <c r="X38" s="1573"/>
      <c r="Y38" s="3738"/>
      <c r="Z38" s="1574">
        <f t="shared" si="15"/>
        <v>111</v>
      </c>
      <c r="AA38" s="1570">
        <f t="shared" si="3"/>
        <v>1</v>
      </c>
      <c r="AB38" s="1570">
        <f t="shared" si="4"/>
        <v>1</v>
      </c>
      <c r="AC38" s="1570">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7"/>
      <c r="M39" s="2129"/>
      <c r="N39" s="2129"/>
      <c r="O39" s="2136"/>
      <c r="P39" s="3738"/>
      <c r="Q39" s="1566">
        <f t="shared" si="11"/>
        <v>111</v>
      </c>
      <c r="R39" s="1567" t="s">
        <v>8</v>
      </c>
      <c r="S39" s="1568">
        <f t="shared" si="12"/>
        <v>100</v>
      </c>
      <c r="T39" s="1567" t="s">
        <v>8</v>
      </c>
      <c r="U39" s="1568">
        <f t="shared" si="13"/>
        <v>100</v>
      </c>
      <c r="V39" s="1567" t="s">
        <v>8</v>
      </c>
      <c r="W39" s="1568">
        <f t="shared" si="14"/>
        <v>100</v>
      </c>
      <c r="X39" s="1561"/>
      <c r="Y39" s="3738"/>
      <c r="Z39" s="1569">
        <f t="shared" si="15"/>
        <v>111</v>
      </c>
      <c r="AA39" s="1570">
        <f t="shared" si="3"/>
        <v>1</v>
      </c>
      <c r="AB39" s="1570">
        <f t="shared" si="4"/>
        <v>1</v>
      </c>
      <c r="AC39" s="1570">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7"/>
      <c r="M40" s="2129"/>
      <c r="N40" s="2129"/>
      <c r="O40" s="2136"/>
      <c r="P40" s="3805"/>
      <c r="Q40" s="1566">
        <f t="shared" si="11"/>
        <v>111</v>
      </c>
      <c r="R40" s="1567" t="s">
        <v>8</v>
      </c>
      <c r="S40" s="1568">
        <f t="shared" si="12"/>
        <v>100</v>
      </c>
      <c r="T40" s="1567" t="s">
        <v>8</v>
      </c>
      <c r="U40" s="1568">
        <f t="shared" si="13"/>
        <v>100</v>
      </c>
      <c r="V40" s="1567" t="s">
        <v>8</v>
      </c>
      <c r="W40" s="1568">
        <f t="shared" si="14"/>
        <v>100</v>
      </c>
      <c r="X40" s="1561"/>
      <c r="Y40" s="3805"/>
      <c r="Z40" s="1569">
        <f t="shared" si="15"/>
        <v>111</v>
      </c>
      <c r="AA40" s="1570">
        <f t="shared" si="3"/>
        <v>1</v>
      </c>
      <c r="AB40" s="1570">
        <f t="shared" si="4"/>
        <v>1</v>
      </c>
      <c r="AC40" s="1570">
        <f t="shared" si="5"/>
        <v>1</v>
      </c>
    </row>
    <row r="41" spans="1:29" ht="15">
      <c r="A41" s="603" t="s">
        <v>737</v>
      </c>
      <c r="B41" s="883"/>
      <c r="C41" s="2646" t="s">
        <v>1</v>
      </c>
      <c r="D41" s="2647"/>
      <c r="E41" s="2648"/>
      <c r="F41" s="2649"/>
      <c r="G41" s="2650"/>
      <c r="H41" s="2651"/>
      <c r="I41" s="2648"/>
      <c r="J41" s="2651"/>
      <c r="K41" s="1605"/>
      <c r="L41" s="2139"/>
      <c r="M41" s="2140"/>
      <c r="N41" s="2129"/>
      <c r="O41" s="2140"/>
      <c r="P41" s="3701" t="str">
        <f>A41</f>
        <v>成交单价（元/平方米）</v>
      </c>
      <c r="Q41" s="3701"/>
      <c r="R41" s="3804">
        <f>E41</f>
        <v>0</v>
      </c>
      <c r="S41" s="3804"/>
      <c r="T41" s="3804">
        <f>G41</f>
        <v>0</v>
      </c>
      <c r="U41" s="3804"/>
      <c r="V41" s="3804">
        <f>I41</f>
        <v>0</v>
      </c>
      <c r="W41" s="3804"/>
      <c r="X41" s="1553"/>
      <c r="Y41" s="1575"/>
      <c r="Z41" s="1553"/>
      <c r="AA41" s="1553"/>
      <c r="AB41" s="1553"/>
      <c r="AC41" s="1553"/>
    </row>
    <row r="42" spans="1:29" ht="15.75" thickBot="1">
      <c r="A42" s="611" t="s">
        <v>2767</v>
      </c>
      <c r="B42" s="884"/>
      <c r="C42" s="2652" t="e">
        <f>R43</f>
        <v>#DIV/0!</v>
      </c>
      <c r="D42" s="2653"/>
      <c r="E42" s="2654" t="e">
        <f>R42</f>
        <v>#DIV/0!</v>
      </c>
      <c r="F42" s="2654"/>
      <c r="G42" s="2652" t="e">
        <f>T42</f>
        <v>#DIV/0!</v>
      </c>
      <c r="H42" s="2653"/>
      <c r="I42" s="2654" t="e">
        <f>V42</f>
        <v>#DIV/0!</v>
      </c>
      <c r="J42" s="2653"/>
      <c r="K42" s="1606"/>
      <c r="L42" s="2139"/>
      <c r="M42" s="2140"/>
      <c r="N42" s="2129"/>
      <c r="O42" s="2140"/>
      <c r="P42" s="3701" t="str">
        <f>A42</f>
        <v>比较价格（元/平方米）</v>
      </c>
      <c r="Q42" s="3701"/>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553"/>
      <c r="Y42" s="1553"/>
      <c r="Z42" s="1553"/>
      <c r="AA42" s="1553"/>
      <c r="AB42" s="1553"/>
      <c r="AC42" s="1553"/>
    </row>
    <row r="43" spans="1:29" ht="15.75" thickBot="1">
      <c r="A43" s="617" t="s">
        <v>2938</v>
      </c>
      <c r="B43" s="618"/>
      <c r="C43" s="2655" t="e">
        <f>R43</f>
        <v>#DIV/0!</v>
      </c>
      <c r="D43" s="2655"/>
      <c r="E43" s="2655"/>
      <c r="F43" s="2655"/>
      <c r="G43" s="2655"/>
      <c r="H43" s="2655"/>
      <c r="I43" s="2655"/>
      <c r="J43" s="2655"/>
      <c r="K43" s="1607"/>
      <c r="L43" s="2139"/>
      <c r="M43" s="2140"/>
      <c r="N43" s="2140"/>
      <c r="O43" s="2140"/>
      <c r="P43" s="3698" t="str">
        <f>A43</f>
        <v>估价对象XX用房的比较价格（楼面单价，元/平方米）</v>
      </c>
      <c r="Q43" s="3699"/>
      <c r="R43" s="3803" t="e">
        <f>IF(F1="售价",ROUND(AVERAGE(R42:V42),0),ROUND(AVERAGE(R42:V42),1))</f>
        <v>#DIV/0!</v>
      </c>
      <c r="S43" s="3803"/>
      <c r="T43" s="3803"/>
      <c r="U43" s="3803"/>
      <c r="V43" s="3803"/>
      <c r="W43" s="3803"/>
      <c r="X43" s="1553"/>
      <c r="Y43" s="1553"/>
      <c r="Z43" s="1553"/>
      <c r="AA43" s="1553"/>
      <c r="AB43" s="1553"/>
      <c r="AC43" s="1553"/>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1"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1"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8" t="s">
        <v>575</v>
      </c>
      <c r="B51" s="1553"/>
      <c r="C51" s="1577"/>
      <c r="D51" s="1577"/>
      <c r="E51" s="1577"/>
      <c r="F51" s="1579"/>
      <c r="G51" s="1579"/>
      <c r="H51" s="1577"/>
      <c r="I51" s="1577"/>
      <c r="J51" s="1577"/>
      <c r="K51" s="1580"/>
      <c r="L51" s="1576"/>
      <c r="M51" s="1577"/>
      <c r="N51" s="1577"/>
      <c r="O51" s="1577"/>
      <c r="P51" s="2152"/>
      <c r="Q51" s="2153"/>
      <c r="R51" s="2140"/>
      <c r="S51" s="2140"/>
      <c r="T51" s="2140"/>
      <c r="U51" s="2140"/>
      <c r="V51" s="2140"/>
      <c r="W51" s="2140"/>
      <c r="X51" s="2140"/>
      <c r="Y51" s="2140"/>
      <c r="Z51" s="2140"/>
      <c r="AA51" s="2140"/>
      <c r="AB51" s="2140"/>
      <c r="AC51" s="2140"/>
    </row>
    <row r="52" spans="1:29" s="1343" customFormat="1" ht="15">
      <c r="A52" s="641" t="s">
        <v>530</v>
      </c>
      <c r="B52" s="642"/>
      <c r="C52" s="2822" t="str">
        <f>YEAR(C7)&amp;"-"&amp;MONTH(C7)</f>
        <v>2018-2</v>
      </c>
      <c r="D52" s="2824">
        <f>EDATE(C52,-1)</f>
        <v>43101</v>
      </c>
      <c r="E52" s="2824">
        <f t="shared" ref="E52:O52" si="16">EDATE(D52,-1)</f>
        <v>43070</v>
      </c>
      <c r="F52" s="2824">
        <f t="shared" si="16"/>
        <v>43040</v>
      </c>
      <c r="G52" s="2824">
        <f t="shared" si="16"/>
        <v>43009</v>
      </c>
      <c r="H52" s="2824">
        <f t="shared" si="16"/>
        <v>42979</v>
      </c>
      <c r="I52" s="2824">
        <f t="shared" si="16"/>
        <v>42948</v>
      </c>
      <c r="J52" s="2824">
        <f t="shared" si="16"/>
        <v>42917</v>
      </c>
      <c r="K52" s="2824">
        <f t="shared" si="16"/>
        <v>42887</v>
      </c>
      <c r="L52" s="2824">
        <f t="shared" si="16"/>
        <v>42856</v>
      </c>
      <c r="M52" s="2824">
        <f t="shared" si="16"/>
        <v>42826</v>
      </c>
      <c r="N52" s="2824">
        <f t="shared" si="16"/>
        <v>42795</v>
      </c>
      <c r="O52" s="2824">
        <f t="shared" si="16"/>
        <v>42767</v>
      </c>
      <c r="P52" s="2155"/>
      <c r="Q52" s="2156"/>
      <c r="R52" s="2156"/>
      <c r="S52" s="2156"/>
      <c r="T52" s="2156"/>
      <c r="U52" s="2156"/>
      <c r="V52" s="2156"/>
      <c r="W52" s="2156"/>
      <c r="X52" s="2156"/>
      <c r="Y52" s="2156"/>
      <c r="Z52" s="2156"/>
      <c r="AA52" s="2156"/>
      <c r="AB52" s="2156"/>
      <c r="AC52" s="2156"/>
    </row>
    <row r="53" spans="1:29" s="1216"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6"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6"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6"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5"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5"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5"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5"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5"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5"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2564</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2565</v>
      </c>
      <c r="C76" s="2617" t="s">
        <v>2566</v>
      </c>
      <c r="D76" s="2617" t="s">
        <v>2567</v>
      </c>
      <c r="E76" s="2617" t="s">
        <v>2568</v>
      </c>
      <c r="F76" s="2617" t="s">
        <v>2569</v>
      </c>
      <c r="G76" s="2617" t="s">
        <v>2570</v>
      </c>
      <c r="H76" s="931"/>
      <c r="I76" s="931"/>
      <c r="J76" s="931"/>
      <c r="K76" s="931"/>
      <c r="L76" s="931"/>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6" customFormat="1" ht="15.75" thickTop="1">
      <c r="A80" s="705"/>
      <c r="B80" s="669">
        <f>B25</f>
        <v>111</v>
      </c>
      <c r="C80" s="684"/>
      <c r="D80" s="684"/>
      <c r="E80" s="684"/>
      <c r="F80" s="684"/>
      <c r="G80" s="684"/>
      <c r="H80" s="684"/>
      <c r="I80" s="684"/>
      <c r="J80" s="684"/>
      <c r="K80" s="684"/>
      <c r="L80" s="886"/>
      <c r="M80" s="887"/>
      <c r="N80" s="2157"/>
      <c r="O80" s="2157"/>
      <c r="P80" s="2160"/>
      <c r="Q80" s="2153"/>
      <c r="R80" s="1988"/>
      <c r="S80" s="1988"/>
      <c r="T80" s="1988"/>
      <c r="U80" s="1988"/>
      <c r="V80" s="1988"/>
      <c r="W80" s="1988"/>
      <c r="X80" s="1988"/>
      <c r="Y80" s="1988"/>
      <c r="Z80" s="1988"/>
      <c r="AA80" s="1988"/>
      <c r="AB80" s="1988"/>
      <c r="AC80" s="1988"/>
    </row>
    <row r="81" spans="1:29" s="1216"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6" customFormat="1" ht="15.75" thickTop="1">
      <c r="A82" s="705"/>
      <c r="B82" s="669">
        <f>B26</f>
        <v>111</v>
      </c>
      <c r="C82" s="684"/>
      <c r="D82" s="684"/>
      <c r="E82" s="684"/>
      <c r="F82" s="684"/>
      <c r="G82" s="684"/>
      <c r="H82" s="684"/>
      <c r="I82" s="684"/>
      <c r="J82" s="684"/>
      <c r="K82" s="684"/>
      <c r="L82" s="886"/>
      <c r="M82" s="887"/>
      <c r="N82" s="2157"/>
      <c r="O82" s="2157"/>
      <c r="P82" s="2160"/>
      <c r="Q82" s="2153"/>
      <c r="R82" s="1988"/>
      <c r="S82" s="1988"/>
      <c r="T82" s="1988"/>
      <c r="U82" s="1988"/>
      <c r="V82" s="1988"/>
      <c r="W82" s="1988"/>
      <c r="X82" s="1988"/>
      <c r="Y82" s="1988"/>
      <c r="Z82" s="1988"/>
      <c r="AA82" s="1988"/>
      <c r="AB82" s="1988"/>
      <c r="AC82" s="1988"/>
    </row>
    <row r="83" spans="1:29" s="1216"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5" customFormat="1" ht="15.75" thickTop="1">
      <c r="A84" s="683"/>
      <c r="B84" s="669">
        <f>B27</f>
        <v>111</v>
      </c>
      <c r="C84" s="684"/>
      <c r="D84" s="684"/>
      <c r="E84" s="684"/>
      <c r="F84" s="684"/>
      <c r="G84" s="684"/>
      <c r="H84" s="684"/>
      <c r="I84" s="684"/>
      <c r="J84" s="684"/>
      <c r="K84" s="684"/>
      <c r="L84" s="886"/>
      <c r="M84" s="8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9"/>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5"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90">
        <v>0.5</v>
      </c>
      <c r="D98" s="890">
        <v>0.6</v>
      </c>
      <c r="E98" s="890">
        <v>0.7</v>
      </c>
      <c r="F98" s="890">
        <v>0.8</v>
      </c>
      <c r="G98" s="890">
        <v>0.9</v>
      </c>
      <c r="H98" s="890">
        <v>1.0001</v>
      </c>
      <c r="I98" s="901"/>
      <c r="J98" s="901"/>
      <c r="K98" s="902"/>
      <c r="L98" s="903"/>
      <c r="M98" s="904"/>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5"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3"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5"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5"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9"/>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北京诚志置业有限公司：</v>
      </c>
    </row>
    <row r="4" spans="1:4" ht="37.5">
      <c r="A4" s="1786" t="str">
        <f>"受贵公司委托，我公司对"&amp;项目基本情况!K2&amp;项目基本情况!B9&amp;"进行了预评估。"</f>
        <v>受贵公司委托，我公司对北京市朝阳区管庄乡塔营村1208-605地块F1住宅混合公建用地项目出让国有建设用地使用权抵押价格进行了预评估。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7" spans="1:4" ht="56.25">
      <c r="A7" s="1790" t="s">
        <v>2754</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2030</v>
      </c>
    </row>
    <row r="11" spans="1:4" ht="18.75">
      <c r="A11" s="1775" t="str">
        <f>TEXT(项目基本情况!D3,"yyyy年m月d日;;")&amp;IF(项目基本情况!B3=项目基本情况!D3,"（评估专业人员勘察现场之日）","")</f>
        <v>2018年2月2日（评估专业人员勘察现场之日）</v>
      </c>
    </row>
    <row r="12" spans="1:4" ht="18.75">
      <c r="A12" s="1792" t="s">
        <v>2029</v>
      </c>
    </row>
    <row r="13" spans="1:4" ht="18.75">
      <c r="A13" s="1786" t="s">
        <v>2946</v>
      </c>
    </row>
    <row r="14" spans="1:4" ht="37.5">
      <c r="A14" s="1786" t="str">
        <f>"根据"&amp;项目基本情况!F12&amp;"，本次评估估价对象证载（地类）用途为"&amp;项目基本情况!B12&amp;"。"</f>
        <v>根据《国有建设用地使用权出让合同》[]及附件、，本次评估估价对象证载（地类）用途为住宅、商业、办公、地下车库。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76"/>
      <c r="D15" s="1777"/>
    </row>
    <row r="16" spans="1:4" ht="18.75">
      <c r="A16" s="1786" t="s">
        <v>2076</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2077</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根据《国有土地使用证》[]，估价对象（分摊）出让国有建设用地使用权面积为57230.39平方米。根据《建设工程规划许可证》[]、《出让合同》[]，估价对象规划建筑面积为177832.7平方米。</v>
      </c>
    </row>
    <row r="21" spans="1:1" ht="18.75">
      <c r="A21" s="1786" t="s">
        <v>2078</v>
      </c>
    </row>
    <row r="22" spans="1:1" ht="93.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证载土地终止日期为住宅2087年5月22日、商业2057年5月22日、办公2067年5月22日、地下车库2067年5月22日、仓储2067年5月22日。截至估价期日，出让国有建设用地使用权剩余土地使用年限为住宅69.3、办公49.3、地下车库49.3。</v>
      </c>
    </row>
    <row r="23" spans="1:1" ht="37.5">
      <c r="A23" s="1786" t="str">
        <f>IF(项目基本情况!B16="出让","本次评估设定估价对象剩余土地使用年限为"&amp;项目基本情况!D20&amp;"。","")</f>
        <v>本次评估设定估价对象剩余土地使用年限为住宅69.3、办公49.3、地下车库49.3。</v>
      </c>
    </row>
    <row r="24" spans="1:1" ht="18.75">
      <c r="A24" s="1786" t="s">
        <v>2079</v>
      </c>
    </row>
    <row r="25" spans="1:1" ht="93.75">
      <c r="A25" s="1786"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2031</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IF(B37="元/平方米",C39,ROUND(B2*10000/D3,0))</f>
        <v>#DIV/0!</v>
      </c>
      <c r="C3" s="848" t="s">
        <v>797</v>
      </c>
      <c r="D3" s="847">
        <f>SUMIF('数据-汇总表'!$C19:$C33,D1,'数据-汇总表'!$E19:$E33)</f>
        <v>0</v>
      </c>
      <c r="E3" s="1843" t="s">
        <v>2080</v>
      </c>
      <c r="F3" s="847">
        <f>SUMIF('数据-取费表'!A5:A15,D1,'数据-取费表'!AH5:AH15)</f>
        <v>0</v>
      </c>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07" t="s">
        <v>799</v>
      </c>
      <c r="D4" s="3708"/>
      <c r="E4" s="3707" t="s">
        <v>800</v>
      </c>
      <c r="F4" s="3708"/>
      <c r="G4" s="3707" t="s">
        <v>801</v>
      </c>
      <c r="H4" s="3708"/>
      <c r="I4" s="3707" t="s">
        <v>802</v>
      </c>
      <c r="J4" s="3708"/>
      <c r="K4" s="510" t="s">
        <v>803</v>
      </c>
      <c r="L4" s="2128"/>
      <c r="M4" s="2129"/>
      <c r="N4" s="2129"/>
      <c r="O4" s="2129"/>
      <c r="P4" s="3709" t="s">
        <v>804</v>
      </c>
      <c r="Q4" s="3710"/>
      <c r="R4" s="3715" t="s">
        <v>800</v>
      </c>
      <c r="S4" s="3716"/>
      <c r="T4" s="3715" t="s">
        <v>801</v>
      </c>
      <c r="U4" s="3716"/>
      <c r="V4" s="3702" t="s">
        <v>802</v>
      </c>
      <c r="W4" s="3702"/>
      <c r="X4" s="1561"/>
      <c r="Y4" s="3715" t="s">
        <v>804</v>
      </c>
      <c r="Z4" s="3716"/>
      <c r="AA4" s="3704" t="s">
        <v>800</v>
      </c>
      <c r="AB4" s="3705" t="s">
        <v>801</v>
      </c>
      <c r="AC4" s="3704" t="s">
        <v>802</v>
      </c>
    </row>
    <row r="5" spans="1:29" ht="15">
      <c r="A5" s="511"/>
      <c r="B5" s="512"/>
      <c r="C5" s="3723" t="s">
        <v>2932</v>
      </c>
      <c r="D5" s="3724"/>
      <c r="E5" s="3723" t="s">
        <v>2933</v>
      </c>
      <c r="F5" s="3724"/>
      <c r="G5" s="3723" t="s">
        <v>2934</v>
      </c>
      <c r="H5" s="3724"/>
      <c r="I5" s="3723" t="s">
        <v>2935</v>
      </c>
      <c r="J5" s="3724"/>
      <c r="K5" s="510"/>
      <c r="L5" s="2128"/>
      <c r="M5" s="2129"/>
      <c r="N5" s="2129"/>
      <c r="O5" s="2129"/>
      <c r="P5" s="3711"/>
      <c r="Q5" s="3712"/>
      <c r="R5" s="3717"/>
      <c r="S5" s="3718"/>
      <c r="T5" s="3717"/>
      <c r="U5" s="3718"/>
      <c r="V5" s="3702"/>
      <c r="W5" s="3702"/>
      <c r="X5" s="1561"/>
      <c r="Y5" s="3717"/>
      <c r="Z5" s="3718"/>
      <c r="AA5" s="3705"/>
      <c r="AB5" s="3705"/>
      <c r="AC5" s="3705"/>
    </row>
    <row r="6" spans="1:29" ht="15.75" thickBot="1">
      <c r="A6" s="513"/>
      <c r="B6" s="514"/>
      <c r="C6" s="3721" t="s">
        <v>2936</v>
      </c>
      <c r="D6" s="3722"/>
      <c r="E6" s="3725" t="s">
        <v>2936</v>
      </c>
      <c r="F6" s="3726"/>
      <c r="G6" s="3721" t="s">
        <v>2936</v>
      </c>
      <c r="H6" s="3722"/>
      <c r="I6" s="3721" t="s">
        <v>2936</v>
      </c>
      <c r="J6" s="3722"/>
      <c r="K6" s="510" t="s">
        <v>529</v>
      </c>
      <c r="L6" s="2128"/>
      <c r="M6" s="2129"/>
      <c r="N6" s="2129"/>
      <c r="O6" s="2129"/>
      <c r="P6" s="3713"/>
      <c r="Q6" s="3714"/>
      <c r="R6" s="3717"/>
      <c r="S6" s="3718"/>
      <c r="T6" s="3719"/>
      <c r="U6" s="3720"/>
      <c r="V6" s="3702"/>
      <c r="W6" s="3702"/>
      <c r="X6" s="1561"/>
      <c r="Y6" s="3719"/>
      <c r="Z6" s="3720"/>
      <c r="AA6" s="3706"/>
      <c r="AB6" s="3706"/>
      <c r="AC6" s="3706"/>
    </row>
    <row r="7" spans="1:29" s="1216" customFormat="1" ht="15.75" thickBot="1">
      <c r="A7" s="2932"/>
      <c r="B7" s="2939" t="s">
        <v>530</v>
      </c>
      <c r="C7" s="515">
        <f>'数据-取费表'!B2</f>
        <v>43133</v>
      </c>
      <c r="D7" s="516">
        <v>100</v>
      </c>
      <c r="E7" s="517"/>
      <c r="F7" s="518">
        <f>SUMIF(48:48,YEAR(E7)&amp;"-"&amp;MONTH(E7),49:49)</f>
        <v>0</v>
      </c>
      <c r="G7" s="519"/>
      <c r="H7" s="516">
        <f>SUMIF(48:48,YEAR(G7)&amp;"-"&amp;MONTH(G7),49:49)</f>
        <v>0</v>
      </c>
      <c r="I7" s="519"/>
      <c r="J7" s="516">
        <f>SUMIF(48:48,YEAR(I7)&amp;"-"&amp;MONTH(I7),49:49)</f>
        <v>0</v>
      </c>
      <c r="K7" s="520"/>
      <c r="L7" s="2130"/>
      <c r="M7" s="2131"/>
      <c r="N7" s="2131"/>
      <c r="O7" s="2131"/>
      <c r="P7" s="3732" t="s">
        <v>531</v>
      </c>
      <c r="Q7" s="3734"/>
      <c r="R7" s="1562" t="s">
        <v>8</v>
      </c>
      <c r="S7" s="1563">
        <f t="shared" ref="S7:S14" si="0">F7</f>
        <v>0</v>
      </c>
      <c r="T7" s="1562" t="s">
        <v>8</v>
      </c>
      <c r="U7" s="1563">
        <f t="shared" ref="U7:U14" si="1">H7</f>
        <v>0</v>
      </c>
      <c r="V7" s="1562" t="s">
        <v>8</v>
      </c>
      <c r="W7" s="1563">
        <f t="shared" ref="W7:W14"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732" t="s">
        <v>534</v>
      </c>
      <c r="Q8" s="3733"/>
      <c r="R8" s="1562" t="s">
        <v>8</v>
      </c>
      <c r="S8" s="1563">
        <f t="shared" si="0"/>
        <v>0</v>
      </c>
      <c r="T8" s="1562" t="s">
        <v>8</v>
      </c>
      <c r="U8" s="1563">
        <f t="shared" si="1"/>
        <v>0</v>
      </c>
      <c r="V8" s="1562" t="s">
        <v>8</v>
      </c>
      <c r="W8" s="1563">
        <f t="shared" si="2"/>
        <v>0</v>
      </c>
      <c r="X8" s="1564"/>
      <c r="Y8" s="3732" t="s">
        <v>534</v>
      </c>
      <c r="Z8" s="3733"/>
      <c r="AA8" s="1565" t="e">
        <f t="shared" ref="AA8:AA36" si="3">D8/F8</f>
        <v>#DIV/0!</v>
      </c>
      <c r="AB8" s="1565" t="e">
        <f t="shared" ref="AB8:AB36" si="4">D8/H8</f>
        <v>#DIV/0!</v>
      </c>
      <c r="AC8" s="1565" t="e">
        <f t="shared" ref="AC8:AC36" si="5">D8/J8</f>
        <v>#DIV/0!</v>
      </c>
    </row>
    <row r="9" spans="1:29" s="1216" customFormat="1" ht="15">
      <c r="A9" s="2934"/>
      <c r="B9" s="2941" t="s">
        <v>2763</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701" t="s">
        <v>536</v>
      </c>
      <c r="Q9" s="1147" t="str">
        <f t="shared" ref="Q9:Q14" si="6">B9</f>
        <v>用途</v>
      </c>
      <c r="R9" s="1562" t="s">
        <v>8</v>
      </c>
      <c r="S9" s="1563">
        <f t="shared" si="0"/>
        <v>100</v>
      </c>
      <c r="T9" s="1562" t="s">
        <v>8</v>
      </c>
      <c r="U9" s="1563">
        <f t="shared" si="1"/>
        <v>100</v>
      </c>
      <c r="V9" s="1562" t="s">
        <v>8</v>
      </c>
      <c r="W9" s="1563">
        <f t="shared" si="2"/>
        <v>100</v>
      </c>
      <c r="X9" s="1564"/>
      <c r="Y9" s="3643" t="s">
        <v>537</v>
      </c>
      <c r="Z9" s="1146" t="str">
        <f t="shared" ref="Z9:Z14" si="7">Q9</f>
        <v>用途</v>
      </c>
      <c r="AA9" s="1565">
        <f t="shared" si="3"/>
        <v>1</v>
      </c>
      <c r="AB9" s="1565">
        <f t="shared" si="4"/>
        <v>1</v>
      </c>
      <c r="AC9" s="1565">
        <f t="shared" si="5"/>
        <v>1</v>
      </c>
    </row>
    <row r="10" spans="1:29" s="1334" customFormat="1" ht="27">
      <c r="A10" s="2935"/>
      <c r="B10" s="2940" t="s">
        <v>2764</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7"/>
      <c r="B11" s="2943">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701"/>
      <c r="Q11" s="1147">
        <f t="shared" si="6"/>
        <v>111</v>
      </c>
      <c r="R11" s="1562" t="s">
        <v>8</v>
      </c>
      <c r="S11" s="1563">
        <f t="shared" si="0"/>
        <v>100</v>
      </c>
      <c r="T11" s="1562" t="s">
        <v>8</v>
      </c>
      <c r="U11" s="1563">
        <f t="shared" si="1"/>
        <v>100</v>
      </c>
      <c r="V11" s="1562" t="s">
        <v>8</v>
      </c>
      <c r="W11" s="1563">
        <f t="shared" si="2"/>
        <v>100</v>
      </c>
      <c r="X11" s="1564"/>
      <c r="Y11" s="3643"/>
      <c r="Z11" s="1146">
        <f t="shared" si="7"/>
        <v>111</v>
      </c>
      <c r="AA11" s="1565">
        <f t="shared" si="3"/>
        <v>1</v>
      </c>
      <c r="AB11" s="1565">
        <f t="shared" si="4"/>
        <v>1</v>
      </c>
      <c r="AC11" s="1565">
        <f t="shared" si="5"/>
        <v>1</v>
      </c>
    </row>
    <row r="12" spans="1:29" s="1216" customFormat="1" ht="15">
      <c r="A12" s="2937"/>
      <c r="B12" s="2943">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701"/>
      <c r="Q12" s="1147">
        <f t="shared" si="6"/>
        <v>111</v>
      </c>
      <c r="R12" s="1562" t="s">
        <v>8</v>
      </c>
      <c r="S12" s="1563">
        <f t="shared" si="0"/>
        <v>100</v>
      </c>
      <c r="T12" s="1562" t="s">
        <v>8</v>
      </c>
      <c r="U12" s="1563">
        <f t="shared" si="1"/>
        <v>100</v>
      </c>
      <c r="V12" s="1562" t="s">
        <v>8</v>
      </c>
      <c r="W12" s="1563">
        <f t="shared" si="2"/>
        <v>100</v>
      </c>
      <c r="X12" s="1564"/>
      <c r="Y12" s="3643"/>
      <c r="Z12" s="1146">
        <f t="shared" si="7"/>
        <v>111</v>
      </c>
      <c r="AA12" s="1565">
        <f>D12/F12</f>
        <v>1</v>
      </c>
      <c r="AB12" s="1565">
        <f>D12/H12</f>
        <v>1</v>
      </c>
      <c r="AC12" s="1565">
        <f>D12/J12</f>
        <v>1</v>
      </c>
    </row>
    <row r="13" spans="1:29" ht="15.75" thickBot="1">
      <c r="A13" s="2938"/>
      <c r="B13" s="2944">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701"/>
      <c r="Q13" s="1147">
        <f t="shared" si="6"/>
        <v>111</v>
      </c>
      <c r="R13" s="1562" t="s">
        <v>8</v>
      </c>
      <c r="S13" s="1563">
        <f t="shared" si="0"/>
        <v>100</v>
      </c>
      <c r="T13" s="1562" t="s">
        <v>8</v>
      </c>
      <c r="U13" s="1563">
        <f t="shared" si="1"/>
        <v>100</v>
      </c>
      <c r="V13" s="1562" t="s">
        <v>8</v>
      </c>
      <c r="W13" s="1563">
        <f t="shared" si="2"/>
        <v>100</v>
      </c>
      <c r="X13" s="1564"/>
      <c r="Y13" s="3643"/>
      <c r="Z13" s="1146">
        <f t="shared" si="7"/>
        <v>111</v>
      </c>
      <c r="AA13" s="1565">
        <f t="shared" si="3"/>
        <v>1</v>
      </c>
      <c r="AB13" s="1565">
        <f t="shared" si="4"/>
        <v>1</v>
      </c>
      <c r="AC13" s="1565">
        <f t="shared" si="5"/>
        <v>1</v>
      </c>
    </row>
    <row r="14" spans="1:29" ht="142.5">
      <c r="A14" s="2930" t="s">
        <v>2761</v>
      </c>
      <c r="B14" s="543" t="s">
        <v>544</v>
      </c>
      <c r="C14" s="917" t="str">
        <f>IF(B1="工业",估价对象房地状况!G4,估价对象房地状况!C6)</f>
        <v>估价对象周边道路状况较好、公共交通通达情况一般、停车便捷程度较好，有364、532、690路等公交线路及地铁八通线，综合评价交通便捷度一般</v>
      </c>
      <c r="D14" s="545">
        <v>100</v>
      </c>
      <c r="E14" s="546"/>
      <c r="F14" s="547">
        <f>SUMIF(63:63,E15,64:64)-SUMIF(63:63,C15,64:64)+100</f>
        <v>100</v>
      </c>
      <c r="G14" s="548"/>
      <c r="H14" s="545">
        <f>SUMIF(63:63,G15,64:64)-SUMIF(63:63,C15,64:64)+100</f>
        <v>100</v>
      </c>
      <c r="I14" s="546"/>
      <c r="J14" s="545">
        <f>SUMIF(63:63,I15,64:64)-SUMIF(63:63,C15,64:64)+100</f>
        <v>100</v>
      </c>
      <c r="K14" s="894"/>
      <c r="L14" s="2137"/>
      <c r="M14" s="2129"/>
      <c r="N14" s="2129"/>
      <c r="O14" s="2136"/>
      <c r="P14" s="3735" t="s">
        <v>541</v>
      </c>
      <c r="Q14" s="1566" t="str">
        <f t="shared" si="6"/>
        <v>交通便捷度</v>
      </c>
      <c r="R14" s="1567" t="s">
        <v>8</v>
      </c>
      <c r="S14" s="1568">
        <f t="shared" si="0"/>
        <v>100</v>
      </c>
      <c r="T14" s="1567" t="s">
        <v>8</v>
      </c>
      <c r="U14" s="1568">
        <f t="shared" si="1"/>
        <v>100</v>
      </c>
      <c r="V14" s="1567" t="s">
        <v>8</v>
      </c>
      <c r="W14" s="1568">
        <f t="shared" si="2"/>
        <v>100</v>
      </c>
      <c r="X14" s="1561"/>
      <c r="Y14" s="3735" t="s">
        <v>541</v>
      </c>
      <c r="Z14" s="1569" t="str">
        <f t="shared" si="7"/>
        <v>交通便捷度</v>
      </c>
      <c r="AA14" s="1570">
        <f t="shared" si="3"/>
        <v>1</v>
      </c>
      <c r="AB14" s="1570">
        <f t="shared" si="4"/>
        <v>1</v>
      </c>
      <c r="AC14" s="1570">
        <f t="shared" si="5"/>
        <v>1</v>
      </c>
    </row>
    <row r="15" spans="1:29" ht="15">
      <c r="A15" s="511"/>
      <c r="B15" s="920"/>
      <c r="C15" s="572"/>
      <c r="D15" s="551"/>
      <c r="E15" s="572"/>
      <c r="F15" s="553"/>
      <c r="G15" s="572"/>
      <c r="H15" s="555"/>
      <c r="I15" s="572"/>
      <c r="J15" s="551"/>
      <c r="K15" s="895"/>
      <c r="L15" s="2137"/>
      <c r="M15" s="2129"/>
      <c r="N15" s="2129"/>
      <c r="O15" s="2136"/>
      <c r="P15" s="3736"/>
      <c r="Q15" s="1566"/>
      <c r="R15" s="1567"/>
      <c r="S15" s="1568"/>
      <c r="T15" s="1567"/>
      <c r="U15" s="1568"/>
      <c r="V15" s="1567"/>
      <c r="W15" s="1568"/>
      <c r="X15" s="1561"/>
      <c r="Y15" s="3736"/>
      <c r="Z15" s="1569"/>
      <c r="AA15" s="1570">
        <v>1</v>
      </c>
      <c r="AB15" s="1570">
        <v>1</v>
      </c>
      <c r="AC15" s="1570">
        <v>1</v>
      </c>
    </row>
    <row r="16" spans="1:29" ht="42.75">
      <c r="A16" s="511"/>
      <c r="B16" s="2622" t="s">
        <v>2553</v>
      </c>
      <c r="C16" s="868" t="str">
        <f>IF(B1="工业",估价对象房地状况!G5,估价对象房地状况!C7)</f>
        <v>估价对象所在区域公共配套设施齐备情况较好</v>
      </c>
      <c r="D16" s="561">
        <v>100</v>
      </c>
      <c r="E16" s="568"/>
      <c r="F16" s="567">
        <f>SUMIF(65:65,E17,66:66)-SUMIF(65:65,C17,66:66)+100</f>
        <v>100</v>
      </c>
      <c r="G16" s="568"/>
      <c r="H16" s="561">
        <f>SUMIF(65:65,G17,66:66)-SUMIF(65:65,C17,66:66)+100</f>
        <v>100</v>
      </c>
      <c r="I16" s="566"/>
      <c r="J16" s="561">
        <f>SUMIF(65:65,I17,66:66)-SUMIF(65:65,C17,66:66)+100</f>
        <v>100</v>
      </c>
      <c r="K16" s="894"/>
      <c r="L16" s="2137"/>
      <c r="M16" s="2129"/>
      <c r="N16" s="2129"/>
      <c r="O16" s="2136"/>
      <c r="P16" s="3736"/>
      <c r="Q16" s="1566" t="str">
        <f>B16</f>
        <v>公共配套设施</v>
      </c>
      <c r="R16" s="1567" t="s">
        <v>8</v>
      </c>
      <c r="S16" s="1568">
        <f>F16</f>
        <v>100</v>
      </c>
      <c r="T16" s="1567" t="s">
        <v>8</v>
      </c>
      <c r="U16" s="1568">
        <f>H16</f>
        <v>100</v>
      </c>
      <c r="V16" s="1567" t="s">
        <v>8</v>
      </c>
      <c r="W16" s="1568">
        <f>J16</f>
        <v>100</v>
      </c>
      <c r="X16" s="1561"/>
      <c r="Y16" s="3736"/>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5"/>
      <c r="L17" s="2137"/>
      <c r="M17" s="2129"/>
      <c r="N17" s="2129"/>
      <c r="O17" s="2136"/>
      <c r="P17" s="3736"/>
      <c r="Q17" s="1566"/>
      <c r="R17" s="1567"/>
      <c r="S17" s="1568"/>
      <c r="T17" s="1567"/>
      <c r="U17" s="1568"/>
      <c r="V17" s="1567"/>
      <c r="W17" s="1568"/>
      <c r="X17" s="1561"/>
      <c r="Y17" s="3736"/>
      <c r="Z17" s="1569"/>
      <c r="AA17" s="1570">
        <v>1</v>
      </c>
      <c r="AB17" s="1570">
        <v>1</v>
      </c>
      <c r="AC17" s="1570">
        <v>1</v>
      </c>
    </row>
    <row r="18" spans="1:29" ht="15">
      <c r="A18" s="511"/>
      <c r="B18" s="2610" t="s">
        <v>2565</v>
      </c>
      <c r="C18" s="868" t="str">
        <f>IF(B1="工业",估价对象房地状况!G6,估价对象房地状况!C8)</f>
        <v>七通</v>
      </c>
      <c r="D18" s="555">
        <v>100</v>
      </c>
      <c r="E18" s="568"/>
      <c r="F18" s="567">
        <f>SUMIF(67:67,E19,68:68)-SUMIF(67:67,C19,68:68)+100</f>
        <v>100</v>
      </c>
      <c r="G18" s="568"/>
      <c r="H18" s="561">
        <f>SUMIF(67:67,G19,68:68)-SUMIF(67:67,C19,68:68)+100</f>
        <v>100</v>
      </c>
      <c r="I18" s="566"/>
      <c r="J18" s="561">
        <f>SUMIF(67:67,I19,68:68)-SUMIF(67:67,C19,68:68)+100</f>
        <v>100</v>
      </c>
      <c r="K18" s="894"/>
      <c r="L18" s="2137"/>
      <c r="M18" s="2129"/>
      <c r="N18" s="2129"/>
      <c r="O18" s="2136"/>
      <c r="P18" s="3736"/>
      <c r="Q18" s="2598" t="str">
        <f>B18</f>
        <v>基础设施水平</v>
      </c>
      <c r="R18" s="1567" t="s">
        <v>8</v>
      </c>
      <c r="S18" s="1568">
        <f>F18</f>
        <v>100</v>
      </c>
      <c r="T18" s="1567" t="s">
        <v>8</v>
      </c>
      <c r="U18" s="1568">
        <f>H18</f>
        <v>100</v>
      </c>
      <c r="V18" s="1567" t="s">
        <v>8</v>
      </c>
      <c r="W18" s="1568">
        <f>J18</f>
        <v>100</v>
      </c>
      <c r="X18" s="2600"/>
      <c r="Y18" s="3736"/>
      <c r="Z18" s="2599"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621"/>
      <c r="L19" s="2137"/>
      <c r="M19" s="2129"/>
      <c r="N19" s="2129"/>
      <c r="O19" s="2136"/>
      <c r="P19" s="3736"/>
      <c r="Q19" s="2598"/>
      <c r="R19" s="1567"/>
      <c r="S19" s="1568"/>
      <c r="T19" s="1567"/>
      <c r="U19" s="1568"/>
      <c r="V19" s="1567"/>
      <c r="W19" s="1568"/>
      <c r="X19" s="2600"/>
      <c r="Y19" s="3736"/>
      <c r="Z19" s="2599"/>
      <c r="AA19" s="1570">
        <v>1</v>
      </c>
      <c r="AB19" s="1570">
        <v>1</v>
      </c>
      <c r="AC19" s="1570">
        <v>1</v>
      </c>
    </row>
    <row r="20" spans="1:29" ht="99.75">
      <c r="A20" s="511"/>
      <c r="B20" s="556" t="s">
        <v>805</v>
      </c>
      <c r="C20" s="868" t="str">
        <f>IF(B1="工业",估价对象房地状况!G7,估价对象房地状况!C9)</f>
        <v>区域自然环境：八里桥音乐主题公园、西汇公园、金田公园等；人文环境；综合评价环境状况较好</v>
      </c>
      <c r="D20" s="561">
        <v>100</v>
      </c>
      <c r="E20" s="558"/>
      <c r="F20" s="559">
        <f>SUMIF(69:69,E21,70:70)-SUMIF(69:69,C21,70:70)+100</f>
        <v>100</v>
      </c>
      <c r="G20" s="560"/>
      <c r="H20" s="555">
        <f>SUMIF(69:69,G21,70:70)-SUMIF(69:69,C21,70:70)+100</f>
        <v>100</v>
      </c>
      <c r="I20" s="558"/>
      <c r="J20" s="555">
        <f>SUMIF(69:69,I21,70:70)-SUMIF(69:69,C21,70:70)+100</f>
        <v>100</v>
      </c>
      <c r="K20" s="894"/>
      <c r="L20" s="2137"/>
      <c r="M20" s="2129"/>
      <c r="N20" s="2129"/>
      <c r="O20" s="2136"/>
      <c r="P20" s="3736"/>
      <c r="Q20" s="1566" t="str">
        <f>B20</f>
        <v>自然及人文环境</v>
      </c>
      <c r="R20" s="1567" t="s">
        <v>8</v>
      </c>
      <c r="S20" s="1568">
        <f>F20</f>
        <v>100</v>
      </c>
      <c r="T20" s="1567" t="s">
        <v>8</v>
      </c>
      <c r="U20" s="1568">
        <f>H20</f>
        <v>100</v>
      </c>
      <c r="V20" s="1567" t="s">
        <v>8</v>
      </c>
      <c r="W20" s="1568">
        <f>J20</f>
        <v>100</v>
      </c>
      <c r="X20" s="1561"/>
      <c r="Y20" s="3736"/>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5"/>
      <c r="L21" s="2137"/>
      <c r="M21" s="2129"/>
      <c r="N21" s="2129"/>
      <c r="O21" s="2136"/>
      <c r="P21" s="3736"/>
      <c r="Q21" s="1566"/>
      <c r="R21" s="1567"/>
      <c r="S21" s="1568"/>
      <c r="T21" s="1567"/>
      <c r="U21" s="1568"/>
      <c r="V21" s="1567"/>
      <c r="W21" s="1568"/>
      <c r="X21" s="1561"/>
      <c r="Y21" s="3736"/>
      <c r="Z21" s="1569"/>
      <c r="AA21" s="1570">
        <v>1</v>
      </c>
      <c r="AB21" s="1570">
        <v>1</v>
      </c>
      <c r="AC21" s="1570">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36"/>
      <c r="Q22" s="1566" t="str">
        <f>B22</f>
        <v>楼层</v>
      </c>
      <c r="R22" s="1567" t="s">
        <v>8</v>
      </c>
      <c r="S22" s="1568">
        <f>F22</f>
        <v>100</v>
      </c>
      <c r="T22" s="1567" t="s">
        <v>8</v>
      </c>
      <c r="U22" s="1568">
        <f>H22</f>
        <v>100</v>
      </c>
      <c r="V22" s="1567" t="s">
        <v>8</v>
      </c>
      <c r="W22" s="1568">
        <f>J22</f>
        <v>100</v>
      </c>
      <c r="X22" s="1561"/>
      <c r="Y22" s="3736"/>
      <c r="Z22" s="1569" t="str">
        <f>Q22</f>
        <v>楼层</v>
      </c>
      <c r="AA22" s="1570">
        <f t="shared" si="3"/>
        <v>1</v>
      </c>
      <c r="AB22" s="1570">
        <f t="shared" si="4"/>
        <v>1</v>
      </c>
      <c r="AC22" s="1570">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36"/>
      <c r="Q23" s="1566">
        <f>B23</f>
        <v>111</v>
      </c>
      <c r="R23" s="1567" t="s">
        <v>8</v>
      </c>
      <c r="S23" s="1568">
        <f>F23</f>
        <v>100</v>
      </c>
      <c r="T23" s="1567" t="s">
        <v>8</v>
      </c>
      <c r="U23" s="1568">
        <f>H23</f>
        <v>100</v>
      </c>
      <c r="V23" s="1567" t="s">
        <v>8</v>
      </c>
      <c r="W23" s="1568">
        <f>J23</f>
        <v>100</v>
      </c>
      <c r="X23" s="1561"/>
      <c r="Y23" s="3736"/>
      <c r="Z23" s="1569">
        <f>Q23</f>
        <v>111</v>
      </c>
      <c r="AA23" s="1570">
        <f t="shared" si="3"/>
        <v>1</v>
      </c>
      <c r="AB23" s="1570">
        <f t="shared" si="4"/>
        <v>1</v>
      </c>
      <c r="AC23" s="1570">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36"/>
      <c r="Q24" s="1566">
        <f t="shared" ref="Q24:Q36" si="11">B24</f>
        <v>111</v>
      </c>
      <c r="R24" s="1567" t="s">
        <v>8</v>
      </c>
      <c r="S24" s="1568">
        <f>F24</f>
        <v>100</v>
      </c>
      <c r="T24" s="1567" t="s">
        <v>8</v>
      </c>
      <c r="U24" s="1568">
        <f>H24</f>
        <v>100</v>
      </c>
      <c r="V24" s="1567" t="s">
        <v>8</v>
      </c>
      <c r="W24" s="1568">
        <f>J24</f>
        <v>100</v>
      </c>
      <c r="X24" s="1561"/>
      <c r="Y24" s="3736"/>
      <c r="Z24" s="1569">
        <f>Q24</f>
        <v>111</v>
      </c>
      <c r="AA24" s="1570">
        <f t="shared" si="3"/>
        <v>1</v>
      </c>
      <c r="AB24" s="1570">
        <f t="shared" si="4"/>
        <v>1</v>
      </c>
      <c r="AC24" s="1570">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0"/>
      <c r="M25" s="2131"/>
      <c r="N25" s="2131"/>
      <c r="O25" s="2132"/>
      <c r="P25" s="3736"/>
      <c r="Q25" s="1147">
        <f t="shared" si="11"/>
        <v>111</v>
      </c>
      <c r="R25" s="1562" t="s">
        <v>8</v>
      </c>
      <c r="S25" s="1563">
        <f>F25</f>
        <v>100</v>
      </c>
      <c r="T25" s="1562" t="s">
        <v>8</v>
      </c>
      <c r="U25" s="1563">
        <f>H25</f>
        <v>100</v>
      </c>
      <c r="V25" s="1562" t="s">
        <v>8</v>
      </c>
      <c r="W25" s="1563">
        <f>J25</f>
        <v>100</v>
      </c>
      <c r="X25" s="1564"/>
      <c r="Y25" s="3736"/>
      <c r="Z25" s="1146">
        <f>Q25</f>
        <v>111</v>
      </c>
      <c r="AA25" s="1570">
        <f>D25/F25</f>
        <v>1</v>
      </c>
      <c r="AB25" s="1570">
        <f>D25/H25</f>
        <v>1</v>
      </c>
      <c r="AC25" s="1570">
        <f>D25/J25</f>
        <v>1</v>
      </c>
    </row>
    <row r="26" spans="1:29" ht="15">
      <c r="A26" s="2927" t="s">
        <v>2762</v>
      </c>
      <c r="B26" s="169" t="s">
        <v>807</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737"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738" t="s">
        <v>551</v>
      </c>
      <c r="Z26" s="1569" t="str">
        <f t="shared" ref="Z26:Z36" si="15">Q26</f>
        <v>配套类型</v>
      </c>
      <c r="AA26" s="1570">
        <f t="shared" si="3"/>
        <v>1</v>
      </c>
      <c r="AB26" s="1570">
        <f t="shared" si="4"/>
        <v>1</v>
      </c>
      <c r="AC26" s="1570">
        <f t="shared" si="5"/>
        <v>1</v>
      </c>
    </row>
    <row r="27" spans="1:29" s="1335" customFormat="1" ht="15">
      <c r="A27" s="925"/>
      <c r="B27" s="578" t="s">
        <v>808</v>
      </c>
      <c r="C27" s="926"/>
      <c r="D27" s="251">
        <v>100</v>
      </c>
      <c r="E27" s="926"/>
      <c r="F27" s="571">
        <f>SUMIF(81:81,E27,82:82)-SUMIF(81:81,C27,82:82)+100</f>
        <v>100</v>
      </c>
      <c r="G27" s="926"/>
      <c r="H27" s="536">
        <f>SUMIF(81:81,G27,82:82)-SUMIF(81:81,C27,82:82)+100</f>
        <v>100</v>
      </c>
      <c r="I27" s="926"/>
      <c r="J27" s="536">
        <f>SUMIF(81:81,I27,82:82)-SUMIF(81:81,C27,82:82)+100</f>
        <v>100</v>
      </c>
      <c r="K27" s="577"/>
      <c r="L27" s="2135"/>
      <c r="M27" s="2166"/>
      <c r="N27" s="2166"/>
      <c r="O27" s="2138"/>
      <c r="P27" s="3738"/>
      <c r="Q27" s="1599" t="str">
        <f t="shared" si="11"/>
        <v>项目停车位配比</v>
      </c>
      <c r="R27" s="1571" t="s">
        <v>8</v>
      </c>
      <c r="S27" s="1572">
        <f t="shared" si="12"/>
        <v>100</v>
      </c>
      <c r="T27" s="1571" t="s">
        <v>8</v>
      </c>
      <c r="U27" s="1572">
        <f t="shared" si="13"/>
        <v>100</v>
      </c>
      <c r="V27" s="1571" t="s">
        <v>8</v>
      </c>
      <c r="W27" s="1572">
        <f t="shared" si="14"/>
        <v>100</v>
      </c>
      <c r="X27" s="1573"/>
      <c r="Y27" s="3738"/>
      <c r="Z27" s="1574" t="str">
        <f t="shared" si="15"/>
        <v>项目停车位配比</v>
      </c>
      <c r="AA27" s="1570">
        <f t="shared" si="3"/>
        <v>1</v>
      </c>
      <c r="AB27" s="1570">
        <f t="shared" si="4"/>
        <v>1</v>
      </c>
      <c r="AC27" s="1570">
        <f t="shared" si="5"/>
        <v>1</v>
      </c>
    </row>
    <row r="28" spans="1:29" ht="15">
      <c r="A28" s="927"/>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38"/>
      <c r="Q28" s="1566" t="str">
        <f t="shared" si="11"/>
        <v>公共部分装修</v>
      </c>
      <c r="R28" s="1567" t="s">
        <v>8</v>
      </c>
      <c r="S28" s="1568">
        <f t="shared" si="12"/>
        <v>100</v>
      </c>
      <c r="T28" s="1567" t="s">
        <v>8</v>
      </c>
      <c r="U28" s="1568">
        <f t="shared" si="13"/>
        <v>100</v>
      </c>
      <c r="V28" s="1567" t="s">
        <v>8</v>
      </c>
      <c r="W28" s="1568">
        <f t="shared" si="14"/>
        <v>100</v>
      </c>
      <c r="X28" s="1561"/>
      <c r="Y28" s="3738"/>
      <c r="Z28" s="1569" t="str">
        <f t="shared" si="15"/>
        <v>公共部分装修</v>
      </c>
      <c r="AA28" s="1570">
        <f t="shared" si="3"/>
        <v>1</v>
      </c>
      <c r="AB28" s="1570">
        <f t="shared" si="4"/>
        <v>1</v>
      </c>
      <c r="AC28" s="1570">
        <f t="shared" si="5"/>
        <v>1</v>
      </c>
    </row>
    <row r="29" spans="1:29" ht="15">
      <c r="A29" s="927"/>
      <c r="B29" s="578" t="s">
        <v>810</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7"/>
      <c r="M29" s="2129"/>
      <c r="N29" s="2129"/>
      <c r="O29" s="2136"/>
      <c r="P29" s="3738"/>
      <c r="Q29" s="1566" t="str">
        <f t="shared" si="11"/>
        <v>成新率</v>
      </c>
      <c r="R29" s="1567" t="s">
        <v>8</v>
      </c>
      <c r="S29" s="1568" t="e">
        <f t="shared" si="12"/>
        <v>#N/A</v>
      </c>
      <c r="T29" s="1567" t="s">
        <v>8</v>
      </c>
      <c r="U29" s="1568" t="e">
        <f t="shared" si="13"/>
        <v>#N/A</v>
      </c>
      <c r="V29" s="1567" t="s">
        <v>8</v>
      </c>
      <c r="W29" s="1568" t="e">
        <f t="shared" si="14"/>
        <v>#N/A</v>
      </c>
      <c r="X29" s="1561"/>
      <c r="Y29" s="3738"/>
      <c r="Z29" s="1569" t="str">
        <f t="shared" si="15"/>
        <v>成新率</v>
      </c>
      <c r="AA29" s="1570" t="e">
        <f t="shared" si="3"/>
        <v>#N/A</v>
      </c>
      <c r="AB29" s="1570" t="e">
        <f t="shared" si="4"/>
        <v>#N/A</v>
      </c>
      <c r="AC29" s="1570" t="e">
        <f t="shared" si="5"/>
        <v>#N/A</v>
      </c>
    </row>
    <row r="30" spans="1:29" ht="15">
      <c r="A30" s="927"/>
      <c r="B30" s="578" t="s">
        <v>811</v>
      </c>
      <c r="C30" s="928"/>
      <c r="D30" s="536">
        <v>100</v>
      </c>
      <c r="E30" s="928"/>
      <c r="F30" s="571">
        <f>SUMIF(88:88,E30,89:89)-SUMIF(88:88,C30,89:89)+100</f>
        <v>100</v>
      </c>
      <c r="G30" s="928"/>
      <c r="H30" s="536">
        <f>SUMIF(88:88,E30,89:89)-SUMIF(88:88,C30,89:89)+100</f>
        <v>100</v>
      </c>
      <c r="I30" s="928"/>
      <c r="J30" s="536">
        <f>SUMIF(88:88,E30,89:89)-SUMIF(88:88,C30,89:89)+100</f>
        <v>100</v>
      </c>
      <c r="K30" s="580"/>
      <c r="L30" s="2137"/>
      <c r="M30" s="2129"/>
      <c r="N30" s="2129"/>
      <c r="O30" s="2136"/>
      <c r="P30" s="3738"/>
      <c r="Q30" s="1566" t="str">
        <f t="shared" si="11"/>
        <v>物业等级</v>
      </c>
      <c r="R30" s="1567" t="s">
        <v>8</v>
      </c>
      <c r="S30" s="1568">
        <f t="shared" si="12"/>
        <v>100</v>
      </c>
      <c r="T30" s="1567" t="s">
        <v>8</v>
      </c>
      <c r="U30" s="1568">
        <f t="shared" si="13"/>
        <v>100</v>
      </c>
      <c r="V30" s="1567" t="s">
        <v>8</v>
      </c>
      <c r="W30" s="1568">
        <f t="shared" si="14"/>
        <v>100</v>
      </c>
      <c r="X30" s="1561"/>
      <c r="Y30" s="3738"/>
      <c r="Z30" s="1569" t="str">
        <f t="shared" si="15"/>
        <v>物业等级</v>
      </c>
      <c r="AA30" s="1570">
        <f t="shared" si="3"/>
        <v>1</v>
      </c>
      <c r="AB30" s="1570">
        <f t="shared" si="4"/>
        <v>1</v>
      </c>
      <c r="AC30" s="1570">
        <f t="shared" si="5"/>
        <v>1</v>
      </c>
    </row>
    <row r="31" spans="1:29" s="1216" customFormat="1" ht="15">
      <c r="A31" s="929"/>
      <c r="B31" s="578" t="s">
        <v>812</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30"/>
      <c r="M31" s="2131"/>
      <c r="N31" s="2131"/>
      <c r="O31" s="2132"/>
      <c r="P31" s="3738"/>
      <c r="Q31" s="1147" t="str">
        <f t="shared" si="11"/>
        <v>停车位面积</v>
      </c>
      <c r="R31" s="1562" t="s">
        <v>8</v>
      </c>
      <c r="S31" s="1563" t="e">
        <f t="shared" si="12"/>
        <v>#N/A</v>
      </c>
      <c r="T31" s="1562" t="s">
        <v>8</v>
      </c>
      <c r="U31" s="1563" t="e">
        <f t="shared" si="13"/>
        <v>#N/A</v>
      </c>
      <c r="V31" s="1562" t="s">
        <v>8</v>
      </c>
      <c r="W31" s="1563" t="e">
        <f t="shared" si="14"/>
        <v>#N/A</v>
      </c>
      <c r="X31" s="1564"/>
      <c r="Y31" s="3738"/>
      <c r="Z31" s="1146" t="str">
        <f t="shared" si="15"/>
        <v>停车位面积</v>
      </c>
      <c r="AA31" s="1565" t="e">
        <f t="shared" si="3"/>
        <v>#N/A</v>
      </c>
      <c r="AB31" s="1565" t="e">
        <f t="shared" si="4"/>
        <v>#N/A</v>
      </c>
      <c r="AC31" s="1565" t="e">
        <f t="shared" si="5"/>
        <v>#N/A</v>
      </c>
    </row>
    <row r="32" spans="1:29" ht="15">
      <c r="A32" s="927"/>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38" t="s">
        <v>551</v>
      </c>
      <c r="Q32" s="1566" t="str">
        <f t="shared" si="11"/>
        <v>车位类型</v>
      </c>
      <c r="R32" s="1567" t="s">
        <v>8</v>
      </c>
      <c r="S32" s="1568">
        <f t="shared" si="12"/>
        <v>100</v>
      </c>
      <c r="T32" s="1567" t="s">
        <v>8</v>
      </c>
      <c r="U32" s="1568">
        <f t="shared" si="13"/>
        <v>100</v>
      </c>
      <c r="V32" s="1567" t="s">
        <v>8</v>
      </c>
      <c r="W32" s="1568">
        <f t="shared" si="14"/>
        <v>100</v>
      </c>
      <c r="X32" s="1561"/>
      <c r="Y32" s="3738" t="s">
        <v>551</v>
      </c>
      <c r="Z32" s="1569" t="str">
        <f t="shared" si="15"/>
        <v>车位类型</v>
      </c>
      <c r="AA32" s="1570">
        <f t="shared" si="3"/>
        <v>1</v>
      </c>
      <c r="AB32" s="1570">
        <f t="shared" si="4"/>
        <v>1</v>
      </c>
      <c r="AC32" s="1570">
        <f t="shared" si="5"/>
        <v>1</v>
      </c>
    </row>
    <row r="33" spans="1:29" ht="15">
      <c r="A33" s="927"/>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38"/>
      <c r="Q33" s="1566" t="str">
        <f t="shared" si="11"/>
        <v>是否直接入户</v>
      </c>
      <c r="R33" s="1567" t="s">
        <v>8</v>
      </c>
      <c r="S33" s="1568">
        <f t="shared" si="12"/>
        <v>100</v>
      </c>
      <c r="T33" s="1567" t="s">
        <v>8</v>
      </c>
      <c r="U33" s="1568">
        <f t="shared" si="13"/>
        <v>100</v>
      </c>
      <c r="V33" s="1567" t="s">
        <v>8</v>
      </c>
      <c r="W33" s="1568">
        <f t="shared" si="14"/>
        <v>100</v>
      </c>
      <c r="X33" s="1561"/>
      <c r="Y33" s="3738"/>
      <c r="Z33" s="1569" t="str">
        <f t="shared" si="15"/>
        <v>是否直接入户</v>
      </c>
      <c r="AA33" s="1570">
        <f t="shared" si="3"/>
        <v>1</v>
      </c>
      <c r="AB33" s="1570">
        <f t="shared" si="4"/>
        <v>1</v>
      </c>
      <c r="AC33" s="1570">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38"/>
      <c r="Q34" s="1566">
        <f t="shared" si="11"/>
        <v>111</v>
      </c>
      <c r="R34" s="1567" t="s">
        <v>8</v>
      </c>
      <c r="S34" s="1568">
        <f t="shared" si="12"/>
        <v>100</v>
      </c>
      <c r="T34" s="1567" t="s">
        <v>8</v>
      </c>
      <c r="U34" s="1568">
        <f t="shared" si="13"/>
        <v>100</v>
      </c>
      <c r="V34" s="1567" t="s">
        <v>8</v>
      </c>
      <c r="W34" s="1568">
        <f t="shared" si="14"/>
        <v>100</v>
      </c>
      <c r="X34" s="1561"/>
      <c r="Y34" s="3738"/>
      <c r="Z34" s="1569">
        <f t="shared" si="15"/>
        <v>111</v>
      </c>
      <c r="AA34" s="1570">
        <f t="shared" si="3"/>
        <v>1</v>
      </c>
      <c r="AB34" s="1570">
        <f t="shared" si="4"/>
        <v>1</v>
      </c>
      <c r="AC34" s="1570">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38"/>
      <c r="Q35" s="1599">
        <f t="shared" si="11"/>
        <v>111</v>
      </c>
      <c r="R35" s="1571" t="s">
        <v>8</v>
      </c>
      <c r="S35" s="1572">
        <f t="shared" si="12"/>
        <v>100</v>
      </c>
      <c r="T35" s="1571" t="s">
        <v>8</v>
      </c>
      <c r="U35" s="1572">
        <f t="shared" si="13"/>
        <v>100</v>
      </c>
      <c r="V35" s="1571" t="s">
        <v>8</v>
      </c>
      <c r="W35" s="1572">
        <f t="shared" si="14"/>
        <v>100</v>
      </c>
      <c r="X35" s="1573"/>
      <c r="Y35" s="3738"/>
      <c r="Z35" s="1574">
        <f t="shared" si="15"/>
        <v>111</v>
      </c>
      <c r="AA35" s="1570">
        <f t="shared" si="3"/>
        <v>1</v>
      </c>
      <c r="AB35" s="1570">
        <f t="shared" si="4"/>
        <v>1</v>
      </c>
      <c r="AC35" s="1570">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38"/>
      <c r="Q36" s="1566">
        <f t="shared" si="11"/>
        <v>111</v>
      </c>
      <c r="R36" s="1567" t="s">
        <v>8</v>
      </c>
      <c r="S36" s="1568">
        <f t="shared" si="12"/>
        <v>100</v>
      </c>
      <c r="T36" s="1567" t="s">
        <v>8</v>
      </c>
      <c r="U36" s="1568">
        <f t="shared" si="13"/>
        <v>100</v>
      </c>
      <c r="V36" s="1567" t="s">
        <v>8</v>
      </c>
      <c r="W36" s="1568">
        <f t="shared" si="14"/>
        <v>100</v>
      </c>
      <c r="X36" s="1561"/>
      <c r="Y36" s="3738"/>
      <c r="Z36" s="1569">
        <f t="shared" si="15"/>
        <v>111</v>
      </c>
      <c r="AA36" s="1570">
        <f t="shared" si="3"/>
        <v>1</v>
      </c>
      <c r="AB36" s="1570">
        <f t="shared" si="4"/>
        <v>1</v>
      </c>
      <c r="AC36" s="1570">
        <f t="shared" si="5"/>
        <v>1</v>
      </c>
    </row>
    <row r="37" spans="1:29" ht="15">
      <c r="A37" s="1841" t="s">
        <v>2081</v>
      </c>
      <c r="B37" s="1842" t="s">
        <v>2082</v>
      </c>
      <c r="C37" s="2646" t="s">
        <v>1</v>
      </c>
      <c r="D37" s="2647"/>
      <c r="E37" s="2648"/>
      <c r="F37" s="2649"/>
      <c r="G37" s="2650"/>
      <c r="H37" s="2651"/>
      <c r="I37" s="2648"/>
      <c r="J37" s="2651"/>
      <c r="K37" s="1605"/>
      <c r="L37" s="2139"/>
      <c r="M37" s="2140"/>
      <c r="N37" s="2129"/>
      <c r="O37" s="2140"/>
      <c r="P37" s="3701" t="str">
        <f>A37</f>
        <v>成交单价</v>
      </c>
      <c r="Q37" s="3701"/>
      <c r="R37" s="3804">
        <f>E37</f>
        <v>0</v>
      </c>
      <c r="S37" s="3804"/>
      <c r="T37" s="3804">
        <f>G37</f>
        <v>0</v>
      </c>
      <c r="U37" s="3804"/>
      <c r="V37" s="3804">
        <f>I37</f>
        <v>0</v>
      </c>
      <c r="W37" s="3804"/>
      <c r="X37" s="1553"/>
      <c r="Y37" s="1575"/>
      <c r="Z37" s="1553"/>
      <c r="AA37" s="1553"/>
      <c r="AB37" s="1553"/>
      <c r="AC37" s="1553"/>
    </row>
    <row r="38" spans="1:29" ht="15.75" thickBot="1">
      <c r="A38" s="611" t="s">
        <v>2767</v>
      </c>
      <c r="B38" s="884"/>
      <c r="C38" s="2652" t="e">
        <f>R39</f>
        <v>#DIV/0!</v>
      </c>
      <c r="D38" s="2653"/>
      <c r="E38" s="2654" t="e">
        <f>R38</f>
        <v>#DIV/0!</v>
      </c>
      <c r="F38" s="2654"/>
      <c r="G38" s="2652" t="e">
        <f>T38</f>
        <v>#DIV/0!</v>
      </c>
      <c r="H38" s="2653"/>
      <c r="I38" s="2654" t="e">
        <f>V38</f>
        <v>#DIV/0!</v>
      </c>
      <c r="J38" s="2653"/>
      <c r="K38" s="1606"/>
      <c r="L38" s="2139"/>
      <c r="M38" s="2140"/>
      <c r="N38" s="2140"/>
      <c r="O38" s="2140"/>
      <c r="P38" s="3701" t="str">
        <f>A38</f>
        <v>比较价格（元/平方米）</v>
      </c>
      <c r="Q38" s="3701"/>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553"/>
      <c r="Y38" s="1553"/>
      <c r="Z38" s="1553"/>
      <c r="AA38" s="1553"/>
      <c r="AB38" s="1553"/>
      <c r="AC38" s="1553"/>
    </row>
    <row r="39" spans="1:29" ht="15.75" thickBot="1">
      <c r="A39" s="617" t="s">
        <v>2938</v>
      </c>
      <c r="B39" s="618"/>
      <c r="C39" s="2655" t="e">
        <f>R39</f>
        <v>#DIV/0!</v>
      </c>
      <c r="D39" s="2655"/>
      <c r="E39" s="2655"/>
      <c r="F39" s="2655"/>
      <c r="G39" s="2655"/>
      <c r="H39" s="2655"/>
      <c r="I39" s="2655"/>
      <c r="J39" s="2655"/>
      <c r="K39" s="1607"/>
      <c r="L39" s="2139"/>
      <c r="M39" s="2140"/>
      <c r="N39" s="2140"/>
      <c r="O39" s="2140"/>
      <c r="P39" s="3698" t="str">
        <f>A39</f>
        <v>估价对象XX用房的比较价格（楼面单价，元/平方米）</v>
      </c>
      <c r="Q39" s="3699"/>
      <c r="R39" s="3803" t="e">
        <f>IF(F1="售价",ROUND(AVERAGE(R38:V38),0),ROUND(AVERAGE(R38:V38),1))</f>
        <v>#DIV/0!</v>
      </c>
      <c r="S39" s="3803"/>
      <c r="T39" s="3803"/>
      <c r="U39" s="3803"/>
      <c r="V39" s="3803"/>
      <c r="W39" s="3803"/>
      <c r="X39" s="1553"/>
      <c r="Y39" s="1553"/>
      <c r="Z39" s="1553"/>
      <c r="AA39" s="1553"/>
      <c r="AB39" s="1553"/>
      <c r="AC39" s="1553"/>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1"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1"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8" t="s">
        <v>575</v>
      </c>
      <c r="B47" s="1553"/>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3" customFormat="1" ht="15">
      <c r="A48" s="641" t="s">
        <v>530</v>
      </c>
      <c r="B48" s="642"/>
      <c r="C48" s="2822" t="str">
        <f>YEAR(C7)&amp;"-"&amp;MONTH(C7)</f>
        <v>2018-2</v>
      </c>
      <c r="D48" s="2824">
        <f>EDATE(C48,-1)</f>
        <v>43101</v>
      </c>
      <c r="E48" s="2824">
        <f t="shared" ref="E48:O48" si="16">EDATE(D48,-1)</f>
        <v>43070</v>
      </c>
      <c r="F48" s="2824">
        <f t="shared" si="16"/>
        <v>43040</v>
      </c>
      <c r="G48" s="2824">
        <f t="shared" si="16"/>
        <v>43009</v>
      </c>
      <c r="H48" s="2824">
        <f t="shared" si="16"/>
        <v>42979</v>
      </c>
      <c r="I48" s="2824">
        <f t="shared" si="16"/>
        <v>42948</v>
      </c>
      <c r="J48" s="2824">
        <f t="shared" si="16"/>
        <v>42917</v>
      </c>
      <c r="K48" s="2824">
        <f t="shared" si="16"/>
        <v>42887</v>
      </c>
      <c r="L48" s="2824">
        <f t="shared" si="16"/>
        <v>42856</v>
      </c>
      <c r="M48" s="2824">
        <f t="shared" si="16"/>
        <v>42826</v>
      </c>
      <c r="N48" s="2824">
        <f t="shared" si="16"/>
        <v>42795</v>
      </c>
      <c r="O48" s="2824">
        <f t="shared" si="16"/>
        <v>42767</v>
      </c>
      <c r="P48" s="2155"/>
      <c r="Q48" s="2156"/>
      <c r="R48" s="2156"/>
      <c r="S48" s="2156"/>
      <c r="T48" s="2156"/>
      <c r="U48" s="2156"/>
      <c r="V48" s="2156"/>
      <c r="W48" s="2156"/>
      <c r="X48" s="2156"/>
      <c r="Y48" s="2156"/>
      <c r="Z48" s="2156"/>
      <c r="AA48" s="2156"/>
      <c r="AB48" s="2156"/>
      <c r="AC48" s="2156"/>
    </row>
    <row r="49" spans="1:29" s="1216"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6"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6"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6"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1">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5"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5"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5"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5"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2564</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2565</v>
      </c>
      <c r="C67" s="2617" t="s">
        <v>2566</v>
      </c>
      <c r="D67" s="2617" t="s">
        <v>2567</v>
      </c>
      <c r="E67" s="2617" t="s">
        <v>2568</v>
      </c>
      <c r="F67" s="2617" t="s">
        <v>2569</v>
      </c>
      <c r="G67" s="2617" t="s">
        <v>2570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6" customFormat="1" ht="15.75" thickTop="1">
      <c r="A73" s="705"/>
      <c r="B73" s="669">
        <f>B23</f>
        <v>111</v>
      </c>
      <c r="C73" s="537"/>
      <c r="D73" s="537"/>
      <c r="E73" s="537"/>
      <c r="F73" s="537"/>
      <c r="G73" s="684"/>
      <c r="H73" s="684"/>
      <c r="I73" s="684"/>
      <c r="J73" s="684"/>
      <c r="K73" s="684"/>
      <c r="L73" s="886"/>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6" customFormat="1" ht="15.75" thickTop="1">
      <c r="A75" s="705"/>
      <c r="B75" s="669">
        <f>B24</f>
        <v>111</v>
      </c>
      <c r="C75" s="537"/>
      <c r="D75" s="537"/>
      <c r="E75" s="537"/>
      <c r="F75" s="537"/>
      <c r="G75" s="684"/>
      <c r="H75" s="684"/>
      <c r="I75" s="684"/>
      <c r="J75" s="684"/>
      <c r="K75" s="684"/>
      <c r="L75" s="684"/>
      <c r="M75" s="887"/>
      <c r="N75" s="2157"/>
      <c r="O75" s="2157"/>
      <c r="P75" s="2160"/>
      <c r="Q75" s="2153"/>
      <c r="R75" s="1988"/>
      <c r="S75" s="1988"/>
      <c r="T75" s="1988"/>
      <c r="U75" s="1988"/>
      <c r="V75" s="1988"/>
      <c r="W75" s="1988"/>
      <c r="X75" s="1988"/>
      <c r="Y75" s="1988"/>
      <c r="Z75" s="1988"/>
      <c r="AA75" s="1988"/>
      <c r="AB75" s="1988"/>
      <c r="AC75" s="1988"/>
    </row>
    <row r="76" spans="1:29" s="1216"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5"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5"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2"/>
      <c r="D81" s="932"/>
      <c r="E81" s="932"/>
      <c r="F81" s="932"/>
      <c r="G81" s="932"/>
      <c r="H81" s="932"/>
      <c r="I81" s="932"/>
      <c r="J81" s="932"/>
      <c r="K81" s="933"/>
      <c r="L81" s="934"/>
      <c r="M81" s="935"/>
      <c r="N81" s="2157"/>
      <c r="O81" s="2157"/>
      <c r="P81" s="2160"/>
      <c r="Q81" s="2153"/>
      <c r="R81" s="2140"/>
      <c r="S81" s="2140"/>
      <c r="T81" s="2140"/>
      <c r="U81" s="2140"/>
      <c r="V81" s="2140"/>
      <c r="W81" s="2140"/>
      <c r="X81" s="2140"/>
      <c r="Y81" s="2140"/>
      <c r="Z81" s="2140"/>
      <c r="AA81" s="2140"/>
      <c r="AB81" s="2140"/>
      <c r="AC81" s="2140"/>
    </row>
    <row r="82" spans="1:29" s="1335"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90">
        <v>0.5</v>
      </c>
      <c r="D86" s="890">
        <v>0.6</v>
      </c>
      <c r="E86" s="890">
        <v>0.7</v>
      </c>
      <c r="F86" s="890">
        <v>0.8</v>
      </c>
      <c r="G86" s="890">
        <v>0.9</v>
      </c>
      <c r="H86" s="890">
        <v>1.0001</v>
      </c>
      <c r="I86" s="901"/>
      <c r="J86" s="901"/>
      <c r="K86" s="902"/>
      <c r="L86" s="903"/>
      <c r="M86" s="904"/>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5"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5"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3">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5"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5"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ROUND(B3*D3/10000,0)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07" t="s">
        <v>799</v>
      </c>
      <c r="D4" s="3708"/>
      <c r="E4" s="3741" t="s">
        <v>800</v>
      </c>
      <c r="F4" s="3742"/>
      <c r="G4" s="3707" t="s">
        <v>801</v>
      </c>
      <c r="H4" s="3708"/>
      <c r="I4" s="3707" t="s">
        <v>802</v>
      </c>
      <c r="J4" s="3708"/>
      <c r="K4" s="510" t="s">
        <v>803</v>
      </c>
      <c r="L4" s="2128"/>
      <c r="M4" s="2129"/>
      <c r="N4" s="2129"/>
      <c r="O4" s="2129"/>
      <c r="P4" s="3709" t="s">
        <v>804</v>
      </c>
      <c r="Q4" s="3710"/>
      <c r="R4" s="3715" t="s">
        <v>800</v>
      </c>
      <c r="S4" s="3716"/>
      <c r="T4" s="3715" t="s">
        <v>801</v>
      </c>
      <c r="U4" s="3716"/>
      <c r="V4" s="3702" t="s">
        <v>802</v>
      </c>
      <c r="W4" s="3702"/>
      <c r="X4" s="1561"/>
      <c r="Y4" s="3715" t="s">
        <v>804</v>
      </c>
      <c r="Z4" s="3716"/>
      <c r="AA4" s="3704" t="s">
        <v>800</v>
      </c>
      <c r="AB4" s="3705" t="s">
        <v>801</v>
      </c>
      <c r="AC4" s="3704" t="s">
        <v>802</v>
      </c>
    </row>
    <row r="5" spans="1:29" ht="15">
      <c r="A5" s="511"/>
      <c r="B5" s="512"/>
      <c r="C5" s="3723" t="s">
        <v>2932</v>
      </c>
      <c r="D5" s="3724"/>
      <c r="E5" s="3743" t="s">
        <v>2933</v>
      </c>
      <c r="F5" s="3744"/>
      <c r="G5" s="3723" t="s">
        <v>2934</v>
      </c>
      <c r="H5" s="3724"/>
      <c r="I5" s="3723" t="s">
        <v>2935</v>
      </c>
      <c r="J5" s="3724"/>
      <c r="K5" s="510"/>
      <c r="L5" s="2128"/>
      <c r="M5" s="2129"/>
      <c r="N5" s="2129"/>
      <c r="O5" s="2129"/>
      <c r="P5" s="3711"/>
      <c r="Q5" s="3712"/>
      <c r="R5" s="3717"/>
      <c r="S5" s="3718"/>
      <c r="T5" s="3717"/>
      <c r="U5" s="3718"/>
      <c r="V5" s="3702"/>
      <c r="W5" s="3702"/>
      <c r="X5" s="1561"/>
      <c r="Y5" s="3717"/>
      <c r="Z5" s="3718"/>
      <c r="AA5" s="3705"/>
      <c r="AB5" s="3705"/>
      <c r="AC5" s="3705"/>
    </row>
    <row r="6" spans="1:29" ht="15.75" thickBot="1">
      <c r="A6" s="513"/>
      <c r="B6" s="514"/>
      <c r="C6" s="3721" t="s">
        <v>2936</v>
      </c>
      <c r="D6" s="3722"/>
      <c r="E6" s="3739" t="s">
        <v>2936</v>
      </c>
      <c r="F6" s="3740"/>
      <c r="G6" s="3721" t="s">
        <v>2936</v>
      </c>
      <c r="H6" s="3722"/>
      <c r="I6" s="3721" t="s">
        <v>2936</v>
      </c>
      <c r="J6" s="3722"/>
      <c r="K6" s="510" t="s">
        <v>529</v>
      </c>
      <c r="L6" s="2128"/>
      <c r="M6" s="2129"/>
      <c r="N6" s="2129"/>
      <c r="O6" s="2129"/>
      <c r="P6" s="3713"/>
      <c r="Q6" s="3714"/>
      <c r="R6" s="3717"/>
      <c r="S6" s="3718"/>
      <c r="T6" s="3719"/>
      <c r="U6" s="3720"/>
      <c r="V6" s="3702"/>
      <c r="W6" s="3702"/>
      <c r="X6" s="1561"/>
      <c r="Y6" s="3719"/>
      <c r="Z6" s="3720"/>
      <c r="AA6" s="3706"/>
      <c r="AB6" s="3706"/>
      <c r="AC6" s="3706"/>
    </row>
    <row r="7" spans="1:29" s="1216" customFormat="1" ht="15.75" thickBot="1">
      <c r="A7" s="2932"/>
      <c r="B7" s="2939" t="s">
        <v>530</v>
      </c>
      <c r="C7" s="515">
        <f>'数据-取费表'!B2</f>
        <v>43133</v>
      </c>
      <c r="D7" s="516">
        <v>100</v>
      </c>
      <c r="E7" s="517"/>
      <c r="F7" s="518">
        <f>SUMIF(46:46,YEAR(E7)&amp;"-"&amp;MONTH(E7),47:47)</f>
        <v>0</v>
      </c>
      <c r="G7" s="519"/>
      <c r="H7" s="516">
        <f>SUMIF(46:46,YEAR(G7)&amp;"-"&amp;MONTH(G7),47:47)</f>
        <v>0</v>
      </c>
      <c r="I7" s="519"/>
      <c r="J7" s="516">
        <f>SUMIF(46:46,YEAR(I7)&amp;"-"&amp;MONTH(I7),47:47)</f>
        <v>0</v>
      </c>
      <c r="K7" s="520"/>
      <c r="L7" s="2130"/>
      <c r="M7" s="2131"/>
      <c r="N7" s="2131"/>
      <c r="O7" s="2131"/>
      <c r="P7" s="3732" t="s">
        <v>531</v>
      </c>
      <c r="Q7" s="3734"/>
      <c r="R7" s="1562" t="s">
        <v>8</v>
      </c>
      <c r="S7" s="1563">
        <f t="shared" ref="S7:S14" si="0">F7</f>
        <v>0</v>
      </c>
      <c r="T7" s="1562" t="s">
        <v>8</v>
      </c>
      <c r="U7" s="1563">
        <f t="shared" ref="U7:U14" si="1">H7</f>
        <v>0</v>
      </c>
      <c r="V7" s="1562" t="s">
        <v>8</v>
      </c>
      <c r="W7" s="1563">
        <f t="shared" ref="W7:W14" si="2">J7</f>
        <v>0</v>
      </c>
      <c r="X7" s="1564"/>
      <c r="Y7" s="3732" t="s">
        <v>531</v>
      </c>
      <c r="Z7" s="3733"/>
      <c r="AA7" s="1565" t="e">
        <f>D7/F7</f>
        <v>#DIV/0!</v>
      </c>
      <c r="AB7" s="1565" t="e">
        <f>D7/H7</f>
        <v>#DIV/0!</v>
      </c>
      <c r="AC7" s="1565" t="e">
        <f>D7/J7</f>
        <v>#DIV/0!</v>
      </c>
    </row>
    <row r="8" spans="1:29" s="1216" customFormat="1" ht="15.75" thickBot="1">
      <c r="A8" s="2933"/>
      <c r="B8" s="2940"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732" t="s">
        <v>534</v>
      </c>
      <c r="Q8" s="3733"/>
      <c r="R8" s="1562" t="s">
        <v>8</v>
      </c>
      <c r="S8" s="1563">
        <f t="shared" si="0"/>
        <v>0</v>
      </c>
      <c r="T8" s="1562" t="s">
        <v>8</v>
      </c>
      <c r="U8" s="1563">
        <f t="shared" si="1"/>
        <v>0</v>
      </c>
      <c r="V8" s="1562" t="s">
        <v>8</v>
      </c>
      <c r="W8" s="1563">
        <f t="shared" si="2"/>
        <v>0</v>
      </c>
      <c r="X8" s="1564"/>
      <c r="Y8" s="3732" t="s">
        <v>534</v>
      </c>
      <c r="Z8" s="3733"/>
      <c r="AA8" s="1565" t="e">
        <f t="shared" ref="AA8:AA34" si="3">D8/F8</f>
        <v>#DIV/0!</v>
      </c>
      <c r="AB8" s="1565" t="e">
        <f t="shared" ref="AB8:AB34" si="4">D8/H8</f>
        <v>#DIV/0!</v>
      </c>
      <c r="AC8" s="1565" t="e">
        <f t="shared" ref="AC8:AC34" si="5">D8/J8</f>
        <v>#DIV/0!</v>
      </c>
    </row>
    <row r="9" spans="1:29" s="1216" customFormat="1" ht="15">
      <c r="A9" s="2934"/>
      <c r="B9" s="2941" t="s">
        <v>2763</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701" t="s">
        <v>536</v>
      </c>
      <c r="Q9" s="1147" t="str">
        <f t="shared" ref="Q9:Q14" si="6">B9</f>
        <v>用途</v>
      </c>
      <c r="R9" s="1562" t="s">
        <v>8</v>
      </c>
      <c r="S9" s="1563">
        <f t="shared" si="0"/>
        <v>100</v>
      </c>
      <c r="T9" s="1562" t="s">
        <v>8</v>
      </c>
      <c r="U9" s="1563">
        <f t="shared" si="1"/>
        <v>100</v>
      </c>
      <c r="V9" s="1562" t="s">
        <v>8</v>
      </c>
      <c r="W9" s="1563">
        <f t="shared" si="2"/>
        <v>100</v>
      </c>
      <c r="X9" s="1564"/>
      <c r="Y9" s="3643" t="s">
        <v>537</v>
      </c>
      <c r="Z9" s="1146" t="str">
        <f t="shared" ref="Z9:Z14" si="7">Q9</f>
        <v>用途</v>
      </c>
      <c r="AA9" s="1565">
        <f t="shared" si="3"/>
        <v>1</v>
      </c>
      <c r="AB9" s="1565">
        <f t="shared" si="4"/>
        <v>1</v>
      </c>
      <c r="AC9" s="1565">
        <f t="shared" si="5"/>
        <v>1</v>
      </c>
    </row>
    <row r="10" spans="1:29" s="1334" customFormat="1" ht="27">
      <c r="A10" s="2935"/>
      <c r="B10" s="2940" t="s">
        <v>2764</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701"/>
      <c r="Q10" s="1147" t="str">
        <f t="shared" si="6"/>
        <v>土地使用年限（年）</v>
      </c>
      <c r="R10" s="1562" t="s">
        <v>8</v>
      </c>
      <c r="S10" s="1563">
        <f t="shared" si="0"/>
        <v>100</v>
      </c>
      <c r="T10" s="1562" t="s">
        <v>8</v>
      </c>
      <c r="U10" s="1563">
        <f t="shared" si="1"/>
        <v>100</v>
      </c>
      <c r="V10" s="1562" t="s">
        <v>8</v>
      </c>
      <c r="W10" s="1563">
        <f t="shared" si="2"/>
        <v>100</v>
      </c>
      <c r="X10" s="1564"/>
      <c r="Y10" s="3643"/>
      <c r="Z10" s="1146" t="str">
        <f t="shared" si="7"/>
        <v>土地使用年限（年）</v>
      </c>
      <c r="AA10" s="1565">
        <f t="shared" si="3"/>
        <v>1</v>
      </c>
      <c r="AB10" s="1565">
        <f t="shared" si="4"/>
        <v>1</v>
      </c>
      <c r="AC10" s="1565">
        <f t="shared" si="5"/>
        <v>1</v>
      </c>
    </row>
    <row r="11" spans="1:29" ht="15">
      <c r="A11" s="2937"/>
      <c r="B11" s="2943">
        <v>111</v>
      </c>
      <c r="C11" s="524"/>
      <c r="D11" s="251">
        <v>100</v>
      </c>
      <c r="E11" s="876"/>
      <c r="F11" s="251">
        <f>SUMIF(55:55,E11,56:56)-SUMIF(55:55,C11,56:56)+100</f>
        <v>100</v>
      </c>
      <c r="G11" s="876"/>
      <c r="H11" s="251">
        <f>SUMIF(55:55,G11,56:56)-SUMIF(55:55,C11,56:56)+100</f>
        <v>100</v>
      </c>
      <c r="I11" s="876"/>
      <c r="J11" s="251">
        <f>SUMIF(55:55,I11,56:56)-SUMIF(55:55,C11,56:56)+100</f>
        <v>100</v>
      </c>
      <c r="K11" s="577"/>
      <c r="L11" s="2135"/>
      <c r="M11" s="2129"/>
      <c r="N11" s="2129"/>
      <c r="O11" s="2136"/>
      <c r="P11" s="3701"/>
      <c r="Q11" s="1147">
        <f t="shared" si="6"/>
        <v>111</v>
      </c>
      <c r="R11" s="1562" t="s">
        <v>8</v>
      </c>
      <c r="S11" s="1563">
        <f t="shared" si="0"/>
        <v>100</v>
      </c>
      <c r="T11" s="1562" t="s">
        <v>8</v>
      </c>
      <c r="U11" s="1563">
        <f t="shared" si="1"/>
        <v>100</v>
      </c>
      <c r="V11" s="1562" t="s">
        <v>8</v>
      </c>
      <c r="W11" s="1563">
        <f t="shared" si="2"/>
        <v>100</v>
      </c>
      <c r="X11" s="1564"/>
      <c r="Y11" s="3643"/>
      <c r="Z11" s="1146">
        <f t="shared" si="7"/>
        <v>111</v>
      </c>
      <c r="AA11" s="1565">
        <f t="shared" si="3"/>
        <v>1</v>
      </c>
      <c r="AB11" s="1565">
        <f t="shared" si="4"/>
        <v>1</v>
      </c>
      <c r="AC11" s="1565">
        <f t="shared" si="5"/>
        <v>1</v>
      </c>
    </row>
    <row r="12" spans="1:29" s="1216" customFormat="1" ht="15">
      <c r="A12" s="2937"/>
      <c r="B12" s="2943">
        <v>111</v>
      </c>
      <c r="C12" s="524"/>
      <c r="D12" s="534">
        <v>100</v>
      </c>
      <c r="E12" s="876"/>
      <c r="F12" s="251">
        <f>SUMIF(57:57,E12,58:58)-SUMIF(57:57,C12,58:58)+100</f>
        <v>100</v>
      </c>
      <c r="G12" s="876"/>
      <c r="H12" s="251">
        <f>SUMIF(57:57,G12,58:58)-SUMIF(57:57,C12,58:58)+100</f>
        <v>100</v>
      </c>
      <c r="I12" s="876"/>
      <c r="J12" s="251">
        <f>SUMIF(57:57,I12,58:58)-SUMIF(57:57,C12,58:58)+100</f>
        <v>100</v>
      </c>
      <c r="K12" s="577"/>
      <c r="L12" s="2130"/>
      <c r="M12" s="2131"/>
      <c r="N12" s="2131"/>
      <c r="O12" s="2132"/>
      <c r="P12" s="3701"/>
      <c r="Q12" s="1147">
        <f t="shared" si="6"/>
        <v>111</v>
      </c>
      <c r="R12" s="1562" t="s">
        <v>8</v>
      </c>
      <c r="S12" s="1563">
        <f t="shared" si="0"/>
        <v>100</v>
      </c>
      <c r="T12" s="1562" t="s">
        <v>8</v>
      </c>
      <c r="U12" s="1563">
        <f t="shared" si="1"/>
        <v>100</v>
      </c>
      <c r="V12" s="1562" t="s">
        <v>8</v>
      </c>
      <c r="W12" s="1563">
        <f t="shared" si="2"/>
        <v>100</v>
      </c>
      <c r="X12" s="1564"/>
      <c r="Y12" s="3643"/>
      <c r="Z12" s="1146">
        <f t="shared" si="7"/>
        <v>111</v>
      </c>
      <c r="AA12" s="1565">
        <f>D12/F12</f>
        <v>1</v>
      </c>
      <c r="AB12" s="1565">
        <f>D12/H12</f>
        <v>1</v>
      </c>
      <c r="AC12" s="1565">
        <f>D12/J12</f>
        <v>1</v>
      </c>
    </row>
    <row r="13" spans="1:29" ht="15.75" thickBot="1">
      <c r="A13" s="2938"/>
      <c r="B13" s="2944">
        <v>111</v>
      </c>
      <c r="C13" s="535"/>
      <c r="D13" s="536">
        <v>100</v>
      </c>
      <c r="E13" s="876"/>
      <c r="F13" s="251">
        <f>SUMIF(59:59,E13,60:60)-SUMIF(59:59,C13,60:60)+100</f>
        <v>100</v>
      </c>
      <c r="G13" s="876"/>
      <c r="H13" s="536">
        <f>SUMIF(59:59,G13,60:60)-SUMIF(59:59,C13,60:60)+100</f>
        <v>100</v>
      </c>
      <c r="I13" s="876"/>
      <c r="J13" s="536">
        <f>SUMIF(59:59,I13,60:60)-SUMIF(59:59,C13,60:60)+100</f>
        <v>100</v>
      </c>
      <c r="K13" s="577"/>
      <c r="L13" s="2137"/>
      <c r="M13" s="2129"/>
      <c r="N13" s="2129"/>
      <c r="O13" s="2136"/>
      <c r="P13" s="3701"/>
      <c r="Q13" s="1147">
        <f t="shared" si="6"/>
        <v>111</v>
      </c>
      <c r="R13" s="1562" t="s">
        <v>8</v>
      </c>
      <c r="S13" s="1563">
        <f t="shared" si="0"/>
        <v>100</v>
      </c>
      <c r="T13" s="1562" t="s">
        <v>8</v>
      </c>
      <c r="U13" s="1563">
        <f t="shared" si="1"/>
        <v>100</v>
      </c>
      <c r="V13" s="1562" t="s">
        <v>8</v>
      </c>
      <c r="W13" s="1563">
        <f t="shared" si="2"/>
        <v>100</v>
      </c>
      <c r="X13" s="1564"/>
      <c r="Y13" s="3643"/>
      <c r="Z13" s="1146">
        <f t="shared" si="7"/>
        <v>111</v>
      </c>
      <c r="AA13" s="1565">
        <f t="shared" si="3"/>
        <v>1</v>
      </c>
      <c r="AB13" s="1565">
        <f t="shared" si="4"/>
        <v>1</v>
      </c>
      <c r="AC13" s="1565">
        <f t="shared" si="5"/>
        <v>1</v>
      </c>
    </row>
    <row r="14" spans="1:29" ht="142.5">
      <c r="A14" s="2930" t="s">
        <v>2761</v>
      </c>
      <c r="B14" s="165" t="s">
        <v>544</v>
      </c>
      <c r="C14" s="917" t="str">
        <f>IF(B1="工业",估价对象房地状况!G4,估价对象房地状况!C6)</f>
        <v>估价对象周边道路状况较好、公共交通通达情况一般、停车便捷程度较好，有364、532、690路等公交线路及地铁八通线，综合评价交通便捷度一般</v>
      </c>
      <c r="D14" s="545">
        <v>100</v>
      </c>
      <c r="E14" s="546"/>
      <c r="F14" s="547">
        <f>SUMIF(61:61,E15,62:62)-SUMIF(61:61,C15,62:62)+100</f>
        <v>100</v>
      </c>
      <c r="G14" s="548"/>
      <c r="H14" s="545">
        <f>SUMIF(61:61,G15,62:62)-SUMIF(61:61,C15,62:62)+100</f>
        <v>100</v>
      </c>
      <c r="I14" s="546"/>
      <c r="J14" s="545">
        <f>SUMIF(61:61,I15,62:62)-SUMIF(61:61,C15,62:62)+100</f>
        <v>100</v>
      </c>
      <c r="K14" s="894"/>
      <c r="L14" s="2137"/>
      <c r="M14" s="2129"/>
      <c r="N14" s="2129"/>
      <c r="O14" s="2136"/>
      <c r="P14" s="3735" t="s">
        <v>541</v>
      </c>
      <c r="Q14" s="1566" t="str">
        <f t="shared" si="6"/>
        <v>交通便捷度</v>
      </c>
      <c r="R14" s="1567" t="s">
        <v>8</v>
      </c>
      <c r="S14" s="1568">
        <f t="shared" si="0"/>
        <v>100</v>
      </c>
      <c r="T14" s="1567" t="s">
        <v>8</v>
      </c>
      <c r="U14" s="1568">
        <f t="shared" si="1"/>
        <v>100</v>
      </c>
      <c r="V14" s="1567" t="s">
        <v>8</v>
      </c>
      <c r="W14" s="1568">
        <f t="shared" si="2"/>
        <v>100</v>
      </c>
      <c r="X14" s="1561"/>
      <c r="Y14" s="3735" t="s">
        <v>541</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5"/>
      <c r="L15" s="2137"/>
      <c r="M15" s="2129"/>
      <c r="N15" s="2129"/>
      <c r="O15" s="2136"/>
      <c r="P15" s="3736"/>
      <c r="Q15" s="1566"/>
      <c r="R15" s="1567"/>
      <c r="S15" s="1568"/>
      <c r="T15" s="1567"/>
      <c r="U15" s="1568"/>
      <c r="V15" s="1567"/>
      <c r="W15" s="1568"/>
      <c r="X15" s="1561"/>
      <c r="Y15" s="3736"/>
      <c r="Z15" s="1569"/>
      <c r="AA15" s="1570">
        <v>1</v>
      </c>
      <c r="AB15" s="1570">
        <v>1</v>
      </c>
      <c r="AC15" s="1570">
        <v>1</v>
      </c>
    </row>
    <row r="16" spans="1:29" ht="42.75">
      <c r="A16" s="528"/>
      <c r="B16" s="2622" t="s">
        <v>2553</v>
      </c>
      <c r="C16" s="868" t="str">
        <f>IF(B1="工业",估价对象房地状况!G5,估价对象房地状况!C7)</f>
        <v>估价对象所在区域公共配套设施齐备情况较好</v>
      </c>
      <c r="D16" s="561">
        <v>100</v>
      </c>
      <c r="E16" s="566"/>
      <c r="F16" s="567">
        <f>SUMIF(63:63,E17,64:64)-SUMIF(63:63,C17,64:64)+100</f>
        <v>100</v>
      </c>
      <c r="G16" s="568"/>
      <c r="H16" s="561">
        <f>SUMIF(63:63,G17,64:64)-SUMIF(63:63,C17,64:64)+100</f>
        <v>100</v>
      </c>
      <c r="I16" s="566"/>
      <c r="J16" s="561">
        <f>SUMIF(63:63,I17,64:64)-SUMIF(63:63,C17,64:64)+100</f>
        <v>100</v>
      </c>
      <c r="K16" s="894"/>
      <c r="L16" s="2137"/>
      <c r="M16" s="2129"/>
      <c r="N16" s="2129"/>
      <c r="O16" s="2136"/>
      <c r="P16" s="3736"/>
      <c r="Q16" s="1566" t="str">
        <f>B16</f>
        <v>公共配套设施</v>
      </c>
      <c r="R16" s="1567" t="s">
        <v>8</v>
      </c>
      <c r="S16" s="1568">
        <f>F16</f>
        <v>100</v>
      </c>
      <c r="T16" s="1567" t="s">
        <v>8</v>
      </c>
      <c r="U16" s="1568">
        <f>H16</f>
        <v>100</v>
      </c>
      <c r="V16" s="1567" t="s">
        <v>8</v>
      </c>
      <c r="W16" s="1568">
        <f>J16</f>
        <v>100</v>
      </c>
      <c r="X16" s="1561"/>
      <c r="Y16" s="3736"/>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5"/>
      <c r="L17" s="2137"/>
      <c r="M17" s="2129"/>
      <c r="N17" s="2129"/>
      <c r="O17" s="2136"/>
      <c r="P17" s="3736"/>
      <c r="Q17" s="1566"/>
      <c r="R17" s="1567"/>
      <c r="S17" s="1568"/>
      <c r="T17" s="1567"/>
      <c r="U17" s="1568"/>
      <c r="V17" s="1567"/>
      <c r="W17" s="1568"/>
      <c r="X17" s="1561"/>
      <c r="Y17" s="3736"/>
      <c r="Z17" s="1569"/>
      <c r="AA17" s="1570">
        <v>1</v>
      </c>
      <c r="AB17" s="1570">
        <v>1</v>
      </c>
      <c r="AC17" s="1570">
        <v>1</v>
      </c>
    </row>
    <row r="18" spans="1:29" ht="15">
      <c r="A18" s="528"/>
      <c r="B18" s="2610" t="s">
        <v>2565</v>
      </c>
      <c r="C18" s="868" t="str">
        <f>IF(B1="工业",估价对象房地状况!G6,估价对象房地状况!C8)</f>
        <v>七通</v>
      </c>
      <c r="D18" s="555">
        <v>100</v>
      </c>
      <c r="E18" s="558"/>
      <c r="F18" s="559">
        <f>SUMIF(65:65,E19,66:66)-SUMIF(65:65,C19,66:66)+100</f>
        <v>100</v>
      </c>
      <c r="G18" s="560"/>
      <c r="H18" s="561">
        <f>SUMIF(65:65,G19,66:66)-SUMIF(65:65,C19,66:66)+100</f>
        <v>100</v>
      </c>
      <c r="I18" s="566"/>
      <c r="J18" s="561">
        <f>SUMIF(65:65,I19,66:66)-SUMIF(65:65,C19,66:66)+100</f>
        <v>100</v>
      </c>
      <c r="K18" s="894"/>
      <c r="L18" s="2137"/>
      <c r="M18" s="2129"/>
      <c r="N18" s="2129"/>
      <c r="O18" s="2136"/>
      <c r="P18" s="3736"/>
      <c r="Q18" s="2598" t="str">
        <f>B18</f>
        <v>基础设施水平</v>
      </c>
      <c r="R18" s="1567" t="s">
        <v>8</v>
      </c>
      <c r="S18" s="1568">
        <f>F18</f>
        <v>100</v>
      </c>
      <c r="T18" s="1567" t="s">
        <v>8</v>
      </c>
      <c r="U18" s="1568">
        <f>H18</f>
        <v>100</v>
      </c>
      <c r="V18" s="1567" t="s">
        <v>8</v>
      </c>
      <c r="W18" s="1568">
        <f>J18</f>
        <v>100</v>
      </c>
      <c r="X18" s="2600"/>
      <c r="Y18" s="3736"/>
      <c r="Z18" s="2599"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621"/>
      <c r="L19" s="2137"/>
      <c r="M19" s="2129"/>
      <c r="N19" s="2129"/>
      <c r="O19" s="2136"/>
      <c r="P19" s="3736"/>
      <c r="Q19" s="2598"/>
      <c r="R19" s="1567"/>
      <c r="S19" s="1568"/>
      <c r="T19" s="1567"/>
      <c r="U19" s="1568"/>
      <c r="V19" s="1567"/>
      <c r="W19" s="1568"/>
      <c r="X19" s="2600"/>
      <c r="Y19" s="3736"/>
      <c r="Z19" s="2599"/>
      <c r="AA19" s="1570">
        <v>1</v>
      </c>
      <c r="AB19" s="1570">
        <v>1</v>
      </c>
      <c r="AC19" s="1570">
        <v>1</v>
      </c>
    </row>
    <row r="20" spans="1:29" ht="99.75">
      <c r="A20" s="528"/>
      <c r="B20" s="867" t="s">
        <v>805</v>
      </c>
      <c r="C20" s="868" t="str">
        <f>IF(B1="工业",估价对象房地状况!G7,估价对象房地状况!C9)</f>
        <v>区域自然环境：八里桥音乐主题公园、西汇公园、金田公园等；人文环境；综合评价环境状况较好</v>
      </c>
      <c r="D20" s="561">
        <v>100</v>
      </c>
      <c r="E20" s="566"/>
      <c r="F20" s="567">
        <f>SUMIF(67:67,E21,68:68)-SUMIF(67:67,C21,68:68)+100</f>
        <v>100</v>
      </c>
      <c r="G20" s="568"/>
      <c r="H20" s="555">
        <f>SUMIF(67:67,G21,68:68)-SUMIF(67:67,C21,68:68)+100</f>
        <v>100</v>
      </c>
      <c r="I20" s="558"/>
      <c r="J20" s="555">
        <f>SUMIF(67:67,I21,68:68)-SUMIF(67:67,C21,68:68)+100</f>
        <v>100</v>
      </c>
      <c r="K20" s="894"/>
      <c r="L20" s="2137"/>
      <c r="M20" s="2129"/>
      <c r="N20" s="2129"/>
      <c r="O20" s="2136"/>
      <c r="P20" s="3736"/>
      <c r="Q20" s="1566" t="str">
        <f>B20</f>
        <v>自然及人文环境</v>
      </c>
      <c r="R20" s="1567" t="s">
        <v>8</v>
      </c>
      <c r="S20" s="1568">
        <f>F20</f>
        <v>100</v>
      </c>
      <c r="T20" s="1567" t="s">
        <v>8</v>
      </c>
      <c r="U20" s="1568">
        <f>H20</f>
        <v>100</v>
      </c>
      <c r="V20" s="1567" t="s">
        <v>8</v>
      </c>
      <c r="W20" s="1568">
        <f>J20</f>
        <v>100</v>
      </c>
      <c r="X20" s="1561"/>
      <c r="Y20" s="3736"/>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5"/>
      <c r="L21" s="2137"/>
      <c r="M21" s="2129"/>
      <c r="N21" s="2129"/>
      <c r="O21" s="2136"/>
      <c r="P21" s="3736"/>
      <c r="Q21" s="1566"/>
      <c r="R21" s="1567"/>
      <c r="S21" s="1568"/>
      <c r="T21" s="1567"/>
      <c r="U21" s="1568"/>
      <c r="V21" s="1567"/>
      <c r="W21" s="1568"/>
      <c r="X21" s="1561"/>
      <c r="Y21" s="3736"/>
      <c r="Z21" s="1569"/>
      <c r="AA21" s="1570">
        <v>1</v>
      </c>
      <c r="AB21" s="1570">
        <v>1</v>
      </c>
      <c r="AC21" s="1570">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36"/>
      <c r="Q22" s="1566" t="str">
        <f>B22</f>
        <v>楼层</v>
      </c>
      <c r="R22" s="1567" t="s">
        <v>8</v>
      </c>
      <c r="S22" s="1568">
        <f>F22</f>
        <v>100</v>
      </c>
      <c r="T22" s="1567" t="s">
        <v>8</v>
      </c>
      <c r="U22" s="1568">
        <f>H22</f>
        <v>100</v>
      </c>
      <c r="V22" s="1567" t="s">
        <v>8</v>
      </c>
      <c r="W22" s="1568">
        <f>J22</f>
        <v>100</v>
      </c>
      <c r="X22" s="1561"/>
      <c r="Y22" s="3736"/>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36"/>
      <c r="Q23" s="1566">
        <f>B23</f>
        <v>111</v>
      </c>
      <c r="R23" s="1567" t="s">
        <v>8</v>
      </c>
      <c r="S23" s="1568">
        <f>F23</f>
        <v>100</v>
      </c>
      <c r="T23" s="1567" t="s">
        <v>8</v>
      </c>
      <c r="U23" s="1568">
        <f>H23</f>
        <v>100</v>
      </c>
      <c r="V23" s="1567" t="s">
        <v>8</v>
      </c>
      <c r="W23" s="1568">
        <f>J23</f>
        <v>100</v>
      </c>
      <c r="X23" s="1561"/>
      <c r="Y23" s="3736"/>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36"/>
      <c r="Q24" s="1566">
        <f t="shared" ref="Q24:Q34" si="11">B24</f>
        <v>111</v>
      </c>
      <c r="R24" s="1567" t="s">
        <v>8</v>
      </c>
      <c r="S24" s="1568">
        <f>F24</f>
        <v>100</v>
      </c>
      <c r="T24" s="1567" t="s">
        <v>8</v>
      </c>
      <c r="U24" s="1568">
        <f>H24</f>
        <v>100</v>
      </c>
      <c r="V24" s="1567" t="s">
        <v>8</v>
      </c>
      <c r="W24" s="1568">
        <f>J24</f>
        <v>100</v>
      </c>
      <c r="X24" s="1561"/>
      <c r="Y24" s="3736"/>
      <c r="Z24" s="1569">
        <f>Q24</f>
        <v>111</v>
      </c>
      <c r="AA24" s="1570">
        <f t="shared" si="3"/>
        <v>1</v>
      </c>
      <c r="AB24" s="1570">
        <f t="shared" si="4"/>
        <v>1</v>
      </c>
      <c r="AC24" s="1570">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0"/>
      <c r="M25" s="2131"/>
      <c r="N25" s="2131"/>
      <c r="O25" s="2132"/>
      <c r="P25" s="3736"/>
      <c r="Q25" s="1147">
        <f t="shared" si="11"/>
        <v>111</v>
      </c>
      <c r="R25" s="1562" t="s">
        <v>8</v>
      </c>
      <c r="S25" s="1563">
        <f>F25</f>
        <v>100</v>
      </c>
      <c r="T25" s="1562" t="s">
        <v>8</v>
      </c>
      <c r="U25" s="1563">
        <f>H25</f>
        <v>100</v>
      </c>
      <c r="V25" s="1562" t="s">
        <v>8</v>
      </c>
      <c r="W25" s="1563">
        <f>J25</f>
        <v>100</v>
      </c>
      <c r="X25" s="1564"/>
      <c r="Y25" s="3736"/>
      <c r="Z25" s="1146">
        <f>Q25</f>
        <v>111</v>
      </c>
      <c r="AA25" s="1570">
        <f>D25/F25</f>
        <v>1</v>
      </c>
      <c r="AB25" s="1570">
        <f>D25/H25</f>
        <v>1</v>
      </c>
      <c r="AC25" s="1570">
        <f>D25/J25</f>
        <v>1</v>
      </c>
    </row>
    <row r="26" spans="1:29" ht="15">
      <c r="A26" s="2927" t="s">
        <v>2762</v>
      </c>
      <c r="B26" s="171" t="s">
        <v>809</v>
      </c>
      <c r="C26" s="912"/>
      <c r="D26" s="593">
        <v>100</v>
      </c>
      <c r="E26" s="912"/>
      <c r="F26" s="939">
        <f>SUMIF(77:77,E26,78:78)-SUMIF(77:77,C26,78:78)+100</f>
        <v>100</v>
      </c>
      <c r="G26" s="912"/>
      <c r="H26" s="593">
        <f>SUMIF(77:77,G26,78:78)-SUMIF(77:77,C26,78:78)+100</f>
        <v>100</v>
      </c>
      <c r="I26" s="912"/>
      <c r="J26" s="593">
        <f>SUMIF(77:77,I26,78:78)-SUMIF(77:77,C26,78:78)+100</f>
        <v>100</v>
      </c>
      <c r="K26" s="580"/>
      <c r="L26" s="2137"/>
      <c r="M26" s="2129"/>
      <c r="N26" s="2129"/>
      <c r="O26" s="2136"/>
      <c r="P26" s="3737"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738" t="s">
        <v>822</v>
      </c>
      <c r="Z26" s="1569" t="str">
        <f t="shared" ref="Z26:Z34" si="15">Q26</f>
        <v>公共部分装修</v>
      </c>
      <c r="AA26" s="1570">
        <f t="shared" si="3"/>
        <v>1</v>
      </c>
      <c r="AB26" s="1570">
        <f t="shared" si="4"/>
        <v>1</v>
      </c>
      <c r="AC26" s="1570">
        <f t="shared" si="5"/>
        <v>1</v>
      </c>
    </row>
    <row r="27" spans="1:29" s="1335" customFormat="1" ht="15">
      <c r="A27" s="599"/>
      <c r="B27" s="523" t="s">
        <v>810</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5"/>
      <c r="M27" s="2166"/>
      <c r="N27" s="2166"/>
      <c r="O27" s="2138"/>
      <c r="P27" s="3738"/>
      <c r="Q27" s="1599" t="str">
        <f t="shared" si="11"/>
        <v>成新率</v>
      </c>
      <c r="R27" s="1571" t="s">
        <v>8</v>
      </c>
      <c r="S27" s="1572" t="e">
        <f t="shared" si="12"/>
        <v>#N/A</v>
      </c>
      <c r="T27" s="1571" t="s">
        <v>8</v>
      </c>
      <c r="U27" s="1572" t="e">
        <f t="shared" si="13"/>
        <v>#N/A</v>
      </c>
      <c r="V27" s="1571" t="s">
        <v>8</v>
      </c>
      <c r="W27" s="1572" t="e">
        <f t="shared" si="14"/>
        <v>#N/A</v>
      </c>
      <c r="X27" s="1573"/>
      <c r="Y27" s="3738"/>
      <c r="Z27" s="1574" t="str">
        <f t="shared" si="15"/>
        <v>成新率</v>
      </c>
      <c r="AA27" s="1570" t="e">
        <f t="shared" si="3"/>
        <v>#N/A</v>
      </c>
      <c r="AB27" s="1570" t="e">
        <f t="shared" si="4"/>
        <v>#N/A</v>
      </c>
      <c r="AC27" s="1570"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38"/>
      <c r="Q28" s="1566" t="str">
        <f t="shared" si="11"/>
        <v>物业等级</v>
      </c>
      <c r="R28" s="1567" t="s">
        <v>8</v>
      </c>
      <c r="S28" s="1568">
        <f t="shared" si="12"/>
        <v>100</v>
      </c>
      <c r="T28" s="1567" t="s">
        <v>8</v>
      </c>
      <c r="U28" s="1568">
        <f t="shared" si="13"/>
        <v>100</v>
      </c>
      <c r="V28" s="1567" t="s">
        <v>8</v>
      </c>
      <c r="W28" s="1568">
        <f t="shared" si="14"/>
        <v>100</v>
      </c>
      <c r="X28" s="1561"/>
      <c r="Y28" s="3738"/>
      <c r="Z28" s="1569" t="str">
        <f t="shared" si="15"/>
        <v>物业等级</v>
      </c>
      <c r="AA28" s="1570">
        <f t="shared" si="3"/>
        <v>1</v>
      </c>
      <c r="AB28" s="1570">
        <f t="shared" si="4"/>
        <v>1</v>
      </c>
      <c r="AC28" s="1570">
        <f t="shared" si="5"/>
        <v>1</v>
      </c>
    </row>
    <row r="29" spans="1:29" ht="15">
      <c r="A29" s="590"/>
      <c r="B29" s="523" t="s">
        <v>823</v>
      </c>
      <c r="C29" s="928"/>
      <c r="D29" s="536">
        <v>100</v>
      </c>
      <c r="E29" s="928"/>
      <c r="F29" s="571">
        <f>SUMIF(84:84,E29,85:85)-SUMIF(84:84,C29,85:85)+100</f>
        <v>100</v>
      </c>
      <c r="G29" s="928"/>
      <c r="H29" s="536">
        <f>SUMIF(84:84,G29,85:85)-SUMIF(84:84,C29,85:85)+100</f>
        <v>100</v>
      </c>
      <c r="I29" s="928"/>
      <c r="J29" s="536">
        <f>SUMIF(84:84,I29,85:85)-SUMIF(84:84,C29,85:85)+100</f>
        <v>100</v>
      </c>
      <c r="K29" s="580"/>
      <c r="L29" s="2137"/>
      <c r="M29" s="2129"/>
      <c r="N29" s="2129"/>
      <c r="O29" s="2136"/>
      <c r="P29" s="3738"/>
      <c r="Q29" s="1566" t="str">
        <f t="shared" si="11"/>
        <v>有无电梯</v>
      </c>
      <c r="R29" s="1567" t="s">
        <v>8</v>
      </c>
      <c r="S29" s="1568">
        <f t="shared" si="12"/>
        <v>100</v>
      </c>
      <c r="T29" s="1567" t="s">
        <v>8</v>
      </c>
      <c r="U29" s="1568">
        <f t="shared" si="13"/>
        <v>100</v>
      </c>
      <c r="V29" s="1567" t="s">
        <v>8</v>
      </c>
      <c r="W29" s="1568">
        <f t="shared" si="14"/>
        <v>100</v>
      </c>
      <c r="X29" s="1561"/>
      <c r="Y29" s="3738"/>
      <c r="Z29" s="1569" t="str">
        <f t="shared" si="15"/>
        <v>有无电梯</v>
      </c>
      <c r="AA29" s="1570">
        <f t="shared" si="3"/>
        <v>1</v>
      </c>
      <c r="AB29" s="1570">
        <f t="shared" si="4"/>
        <v>1</v>
      </c>
      <c r="AC29" s="1570">
        <f t="shared" si="5"/>
        <v>1</v>
      </c>
    </row>
    <row r="30" spans="1:29" ht="15">
      <c r="A30" s="590"/>
      <c r="B30" s="523" t="s">
        <v>824</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7"/>
      <c r="M30" s="2129"/>
      <c r="N30" s="2129"/>
      <c r="O30" s="2136"/>
      <c r="P30" s="3738"/>
      <c r="Q30" s="1566" t="str">
        <f t="shared" si="11"/>
        <v>建筑面积</v>
      </c>
      <c r="R30" s="1567" t="s">
        <v>8</v>
      </c>
      <c r="S30" s="1568" t="e">
        <f t="shared" si="12"/>
        <v>#N/A</v>
      </c>
      <c r="T30" s="1567" t="s">
        <v>8</v>
      </c>
      <c r="U30" s="1568" t="e">
        <f t="shared" si="13"/>
        <v>#N/A</v>
      </c>
      <c r="V30" s="1567" t="s">
        <v>8</v>
      </c>
      <c r="W30" s="1568" t="e">
        <f t="shared" si="14"/>
        <v>#N/A</v>
      </c>
      <c r="X30" s="1561"/>
      <c r="Y30" s="3738"/>
      <c r="Z30" s="1569" t="str">
        <f t="shared" si="15"/>
        <v>建筑面积</v>
      </c>
      <c r="AA30" s="1570" t="e">
        <f t="shared" si="3"/>
        <v>#N/A</v>
      </c>
      <c r="AB30" s="1570" t="e">
        <f t="shared" si="4"/>
        <v>#N/A</v>
      </c>
      <c r="AC30" s="1570" t="e">
        <f t="shared" si="5"/>
        <v>#N/A</v>
      </c>
    </row>
    <row r="31" spans="1:29" s="1216" customFormat="1" ht="15">
      <c r="A31" s="596"/>
      <c r="B31" s="523" t="s">
        <v>825</v>
      </c>
      <c r="C31" s="928"/>
      <c r="D31" s="251">
        <v>100</v>
      </c>
      <c r="E31" s="928"/>
      <c r="F31" s="571">
        <f>SUMIF(89:89,E31,90:90)-SUMIF(89:89,C31,90:90)+100</f>
        <v>100</v>
      </c>
      <c r="G31" s="928"/>
      <c r="H31" s="536">
        <f>SUMIF(89:89,G31,90:90)-SUMIF(89:89,C31,90:90)+100</f>
        <v>100</v>
      </c>
      <c r="I31" s="928"/>
      <c r="J31" s="536">
        <f>SUMIF(89:89,I31,90:90)-SUMIF(89:89,C31,90:90)+100</f>
        <v>100</v>
      </c>
      <c r="K31" s="580"/>
      <c r="L31" s="2130"/>
      <c r="M31" s="2131"/>
      <c r="N31" s="2131"/>
      <c r="O31" s="2132"/>
      <c r="P31" s="3738"/>
      <c r="Q31" s="1147" t="str">
        <f t="shared" si="11"/>
        <v>是否封闭</v>
      </c>
      <c r="R31" s="1562" t="s">
        <v>8</v>
      </c>
      <c r="S31" s="1563">
        <f t="shared" si="12"/>
        <v>100</v>
      </c>
      <c r="T31" s="1562" t="s">
        <v>8</v>
      </c>
      <c r="U31" s="1563">
        <f t="shared" si="13"/>
        <v>100</v>
      </c>
      <c r="V31" s="1562" t="s">
        <v>8</v>
      </c>
      <c r="W31" s="1563">
        <f t="shared" si="14"/>
        <v>100</v>
      </c>
      <c r="X31" s="1564"/>
      <c r="Y31" s="3738"/>
      <c r="Z31" s="1146" t="str">
        <f t="shared" si="15"/>
        <v>是否封闭</v>
      </c>
      <c r="AA31" s="1565">
        <f t="shared" si="3"/>
        <v>1</v>
      </c>
      <c r="AB31" s="1565">
        <f t="shared" si="4"/>
        <v>1</v>
      </c>
      <c r="AC31" s="1565">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7"/>
      <c r="M32" s="2129"/>
      <c r="N32" s="2129"/>
      <c r="O32" s="2136"/>
      <c r="P32" s="3738" t="s">
        <v>551</v>
      </c>
      <c r="Q32" s="1566">
        <f t="shared" si="11"/>
        <v>111</v>
      </c>
      <c r="R32" s="1567" t="s">
        <v>8</v>
      </c>
      <c r="S32" s="1568">
        <f t="shared" si="12"/>
        <v>100</v>
      </c>
      <c r="T32" s="1567" t="s">
        <v>8</v>
      </c>
      <c r="U32" s="1568">
        <f t="shared" si="13"/>
        <v>100</v>
      </c>
      <c r="V32" s="1567" t="s">
        <v>8</v>
      </c>
      <c r="W32" s="1568">
        <f t="shared" si="14"/>
        <v>100</v>
      </c>
      <c r="X32" s="1561"/>
      <c r="Y32" s="3738" t="s">
        <v>551</v>
      </c>
      <c r="Z32" s="1569">
        <f t="shared" si="15"/>
        <v>111</v>
      </c>
      <c r="AA32" s="1570">
        <f t="shared" si="3"/>
        <v>1</v>
      </c>
      <c r="AB32" s="1570">
        <f t="shared" si="4"/>
        <v>1</v>
      </c>
      <c r="AC32" s="1570">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7"/>
      <c r="M33" s="2129"/>
      <c r="N33" s="2129"/>
      <c r="O33" s="2136"/>
      <c r="P33" s="3738"/>
      <c r="Q33" s="1566">
        <f t="shared" si="11"/>
        <v>111</v>
      </c>
      <c r="R33" s="1567" t="s">
        <v>8</v>
      </c>
      <c r="S33" s="1568">
        <f t="shared" si="12"/>
        <v>100</v>
      </c>
      <c r="T33" s="1567" t="s">
        <v>8</v>
      </c>
      <c r="U33" s="1568">
        <f t="shared" si="13"/>
        <v>100</v>
      </c>
      <c r="V33" s="1567" t="s">
        <v>8</v>
      </c>
      <c r="W33" s="1568">
        <f t="shared" si="14"/>
        <v>100</v>
      </c>
      <c r="X33" s="1561"/>
      <c r="Y33" s="3738"/>
      <c r="Z33" s="1569">
        <f t="shared" si="15"/>
        <v>111</v>
      </c>
      <c r="AA33" s="1570">
        <f t="shared" si="3"/>
        <v>1</v>
      </c>
      <c r="AB33" s="1570">
        <f t="shared" si="4"/>
        <v>1</v>
      </c>
      <c r="AC33" s="1570">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7"/>
      <c r="M34" s="2129"/>
      <c r="N34" s="2129"/>
      <c r="O34" s="2136"/>
      <c r="P34" s="3738"/>
      <c r="Q34" s="1566">
        <f t="shared" si="11"/>
        <v>111</v>
      </c>
      <c r="R34" s="1567" t="s">
        <v>8</v>
      </c>
      <c r="S34" s="1568">
        <f t="shared" si="12"/>
        <v>100</v>
      </c>
      <c r="T34" s="1567" t="s">
        <v>8</v>
      </c>
      <c r="U34" s="1568">
        <f t="shared" si="13"/>
        <v>100</v>
      </c>
      <c r="V34" s="1567" t="s">
        <v>8</v>
      </c>
      <c r="W34" s="1568">
        <f t="shared" si="14"/>
        <v>100</v>
      </c>
      <c r="X34" s="1561"/>
      <c r="Y34" s="3738"/>
      <c r="Z34" s="1569">
        <f t="shared" si="15"/>
        <v>111</v>
      </c>
      <c r="AA34" s="1570">
        <f t="shared" si="3"/>
        <v>1</v>
      </c>
      <c r="AB34" s="1570">
        <f t="shared" si="4"/>
        <v>1</v>
      </c>
      <c r="AC34" s="1570">
        <f t="shared" si="5"/>
        <v>1</v>
      </c>
    </row>
    <row r="35" spans="1:29" ht="15">
      <c r="A35" s="603" t="s">
        <v>737</v>
      </c>
      <c r="B35" s="883"/>
      <c r="C35" s="2646" t="s">
        <v>1</v>
      </c>
      <c r="D35" s="2647"/>
      <c r="E35" s="2648"/>
      <c r="F35" s="2649"/>
      <c r="G35" s="2650"/>
      <c r="H35" s="2651"/>
      <c r="I35" s="2648"/>
      <c r="J35" s="2651"/>
      <c r="K35" s="1605"/>
      <c r="L35" s="2139"/>
      <c r="M35" s="2140"/>
      <c r="N35" s="2129"/>
      <c r="O35" s="2140"/>
      <c r="P35" s="3701" t="str">
        <f>A35</f>
        <v>成交单价（元/平方米）</v>
      </c>
      <c r="Q35" s="3701"/>
      <c r="R35" s="3804">
        <f>E35</f>
        <v>0</v>
      </c>
      <c r="S35" s="3804"/>
      <c r="T35" s="3804">
        <f>G35</f>
        <v>0</v>
      </c>
      <c r="U35" s="3804"/>
      <c r="V35" s="3804">
        <f>I35</f>
        <v>0</v>
      </c>
      <c r="W35" s="3804"/>
      <c r="X35" s="1553"/>
      <c r="Y35" s="1575"/>
      <c r="Z35" s="1553"/>
      <c r="AA35" s="1553"/>
      <c r="AB35" s="1553"/>
      <c r="AC35" s="1553"/>
    </row>
    <row r="36" spans="1:29" ht="15.75" thickBot="1">
      <c r="A36" s="611" t="s">
        <v>2767</v>
      </c>
      <c r="B36" s="884"/>
      <c r="C36" s="2652" t="e">
        <f>R37</f>
        <v>#DIV/0!</v>
      </c>
      <c r="D36" s="2653"/>
      <c r="E36" s="2654" t="e">
        <f>R36</f>
        <v>#DIV/0!</v>
      </c>
      <c r="F36" s="2654"/>
      <c r="G36" s="2652" t="e">
        <f>T36</f>
        <v>#DIV/0!</v>
      </c>
      <c r="H36" s="2653"/>
      <c r="I36" s="2654" t="e">
        <f>V36</f>
        <v>#DIV/0!</v>
      </c>
      <c r="J36" s="2653"/>
      <c r="K36" s="1606"/>
      <c r="L36" s="2139"/>
      <c r="M36" s="2140"/>
      <c r="N36" s="2129"/>
      <c r="O36" s="2140"/>
      <c r="P36" s="3701" t="str">
        <f>A36</f>
        <v>比较价格（元/平方米）</v>
      </c>
      <c r="Q36" s="3701"/>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553"/>
      <c r="Y36" s="1553"/>
      <c r="Z36" s="1553"/>
      <c r="AA36" s="1553"/>
      <c r="AB36" s="1553"/>
      <c r="AC36" s="1553"/>
    </row>
    <row r="37" spans="1:29" ht="15.75" thickBot="1">
      <c r="A37" s="617" t="s">
        <v>2938</v>
      </c>
      <c r="B37" s="618"/>
      <c r="C37" s="2655" t="e">
        <f>R37</f>
        <v>#DIV/0!</v>
      </c>
      <c r="D37" s="2655"/>
      <c r="E37" s="2655"/>
      <c r="F37" s="2655"/>
      <c r="G37" s="2655"/>
      <c r="H37" s="2655"/>
      <c r="I37" s="2655"/>
      <c r="J37" s="2655"/>
      <c r="K37" s="1607"/>
      <c r="L37" s="2139"/>
      <c r="M37" s="2140"/>
      <c r="N37" s="2140"/>
      <c r="O37" s="2140"/>
      <c r="P37" s="3698" t="str">
        <f>A37</f>
        <v>估价对象XX用房的比较价格（楼面单价，元/平方米）</v>
      </c>
      <c r="Q37" s="3699"/>
      <c r="R37" s="3803" t="e">
        <f>IF(F1="售价",ROUND(AVERAGE(R36:V36),0),ROUND(AVERAGE(R36:V36),1))</f>
        <v>#DIV/0!</v>
      </c>
      <c r="S37" s="3803"/>
      <c r="T37" s="3803"/>
      <c r="U37" s="3803"/>
      <c r="V37" s="3803"/>
      <c r="W37" s="3803"/>
      <c r="X37" s="1553"/>
      <c r="Y37" s="1553"/>
      <c r="Z37" s="1553"/>
      <c r="AA37" s="1553"/>
      <c r="AB37" s="1553"/>
      <c r="AC37" s="1553"/>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1"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1"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8" t="s">
        <v>575</v>
      </c>
      <c r="B45" s="1553"/>
      <c r="C45" s="1577"/>
      <c r="D45" s="1577"/>
      <c r="E45" s="1577"/>
      <c r="F45" s="1579"/>
      <c r="G45" s="1579"/>
      <c r="H45" s="1577"/>
      <c r="I45" s="1577"/>
      <c r="J45" s="1577"/>
      <c r="K45" s="1580"/>
      <c r="L45" s="1576"/>
      <c r="M45" s="1577"/>
      <c r="N45" s="1577"/>
      <c r="O45" s="1577"/>
      <c r="P45" s="2152"/>
      <c r="Q45" s="2153"/>
      <c r="R45" s="2140"/>
      <c r="S45" s="2140"/>
      <c r="T45" s="2140"/>
      <c r="U45" s="2140"/>
      <c r="V45" s="2140"/>
      <c r="W45" s="2140"/>
      <c r="X45" s="2140"/>
      <c r="Y45" s="2140"/>
      <c r="Z45" s="2140"/>
      <c r="AA45" s="2140"/>
      <c r="AB45" s="2140"/>
      <c r="AC45" s="2140"/>
    </row>
    <row r="46" spans="1:29" s="1343" customFormat="1" ht="15">
      <c r="A46" s="641" t="s">
        <v>530</v>
      </c>
      <c r="B46" s="642"/>
      <c r="C46" s="2822" t="str">
        <f>YEAR(C7)&amp;"-"&amp;MONTH(C7)</f>
        <v>2018-2</v>
      </c>
      <c r="D46" s="2824">
        <f>EDATE(C46,-1)</f>
        <v>43101</v>
      </c>
      <c r="E46" s="2824">
        <f t="shared" ref="E46:O46" si="16">EDATE(D46,-1)</f>
        <v>43070</v>
      </c>
      <c r="F46" s="2824">
        <f t="shared" si="16"/>
        <v>43040</v>
      </c>
      <c r="G46" s="2824">
        <f t="shared" si="16"/>
        <v>43009</v>
      </c>
      <c r="H46" s="2824">
        <f t="shared" si="16"/>
        <v>42979</v>
      </c>
      <c r="I46" s="2824">
        <f t="shared" si="16"/>
        <v>42948</v>
      </c>
      <c r="J46" s="2824">
        <f t="shared" si="16"/>
        <v>42917</v>
      </c>
      <c r="K46" s="2824">
        <f t="shared" si="16"/>
        <v>42887</v>
      </c>
      <c r="L46" s="2824">
        <f t="shared" si="16"/>
        <v>42856</v>
      </c>
      <c r="M46" s="2824">
        <f t="shared" si="16"/>
        <v>42826</v>
      </c>
      <c r="N46" s="2824">
        <f t="shared" si="16"/>
        <v>42795</v>
      </c>
      <c r="O46" s="2824">
        <f t="shared" si="16"/>
        <v>42767</v>
      </c>
      <c r="P46" s="2155"/>
      <c r="Q46" s="2156"/>
      <c r="R46" s="2156"/>
      <c r="S46" s="2156"/>
      <c r="T46" s="2156"/>
      <c r="U46" s="2156"/>
      <c r="V46" s="2156"/>
      <c r="W46" s="2156"/>
      <c r="X46" s="2156"/>
      <c r="Y46" s="2156"/>
      <c r="Z46" s="2156"/>
      <c r="AA46" s="2156"/>
      <c r="AB46" s="2156"/>
      <c r="AC46" s="2156"/>
    </row>
    <row r="47" spans="1:29" s="1216"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6"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6"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6"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1">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5"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5"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5"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5"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2564</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2565</v>
      </c>
      <c r="C65" s="2617" t="s">
        <v>2566</v>
      </c>
      <c r="D65" s="2617" t="s">
        <v>2567</v>
      </c>
      <c r="E65" s="2617" t="s">
        <v>2568</v>
      </c>
      <c r="F65" s="2617" t="s">
        <v>2569</v>
      </c>
      <c r="G65" s="2617" t="s">
        <v>2570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6" customFormat="1" ht="15.75" thickTop="1">
      <c r="A71" s="705"/>
      <c r="B71" s="669">
        <f>B23</f>
        <v>111</v>
      </c>
      <c r="C71" s="537"/>
      <c r="D71" s="537"/>
      <c r="E71" s="537"/>
      <c r="F71" s="537"/>
      <c r="G71" s="684"/>
      <c r="H71" s="684"/>
      <c r="I71" s="684"/>
      <c r="J71" s="684"/>
      <c r="K71" s="684"/>
      <c r="L71" s="886"/>
      <c r="M71" s="887"/>
      <c r="N71" s="2157"/>
      <c r="O71" s="2157"/>
      <c r="P71" s="2160"/>
      <c r="Q71" s="2153"/>
      <c r="R71" s="1988"/>
      <c r="S71" s="1988"/>
      <c r="T71" s="1988"/>
      <c r="U71" s="1988"/>
      <c r="V71" s="1988"/>
      <c r="W71" s="1988"/>
      <c r="X71" s="1988"/>
      <c r="Y71" s="1988"/>
      <c r="Z71" s="1988"/>
      <c r="AA71" s="1988"/>
      <c r="AB71" s="1988"/>
      <c r="AC71" s="1988"/>
    </row>
    <row r="72" spans="1:29" s="1216"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6" customFormat="1" ht="15.75" thickTop="1">
      <c r="A73" s="705"/>
      <c r="B73" s="669">
        <f>B24</f>
        <v>111</v>
      </c>
      <c r="C73" s="537"/>
      <c r="D73" s="537"/>
      <c r="E73" s="537"/>
      <c r="F73" s="537"/>
      <c r="G73" s="684"/>
      <c r="H73" s="684"/>
      <c r="I73" s="684"/>
      <c r="J73" s="684"/>
      <c r="K73" s="684"/>
      <c r="L73" s="684"/>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5"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5"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90">
        <v>0.5</v>
      </c>
      <c r="D80" s="890">
        <v>0.6</v>
      </c>
      <c r="E80" s="890">
        <v>0.7</v>
      </c>
      <c r="F80" s="890">
        <v>0.8</v>
      </c>
      <c r="G80" s="890">
        <v>0.9</v>
      </c>
      <c r="H80" s="890">
        <v>1.0001</v>
      </c>
      <c r="I80" s="931"/>
      <c r="J80" s="931"/>
      <c r="K80" s="941"/>
      <c r="L80" s="942"/>
      <c r="M80" s="943"/>
      <c r="N80" s="2157"/>
      <c r="O80" s="2157"/>
      <c r="P80" s="2160"/>
      <c r="Q80" s="2153"/>
      <c r="R80" s="2140"/>
      <c r="S80" s="2140"/>
      <c r="T80" s="2140"/>
      <c r="U80" s="2140"/>
      <c r="V80" s="2140"/>
      <c r="W80" s="2140"/>
      <c r="X80" s="2140"/>
      <c r="Y80" s="2140"/>
      <c r="Z80" s="2140"/>
      <c r="AA80" s="2140"/>
      <c r="AB80" s="2140"/>
      <c r="AC80" s="2140"/>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5" customFormat="1" ht="15" thickTop="1">
      <c r="A89" s="724"/>
      <c r="B89" s="669" t="s">
        <v>828</v>
      </c>
      <c r="C89" s="684"/>
      <c r="D89" s="684"/>
      <c r="E89" s="684"/>
      <c r="F89" s="684"/>
      <c r="G89" s="684"/>
      <c r="H89" s="684"/>
      <c r="I89" s="684"/>
      <c r="J89" s="684"/>
      <c r="K89" s="684"/>
      <c r="L89" s="684"/>
      <c r="M89" s="887"/>
      <c r="N89" s="2162"/>
      <c r="O89" s="2162"/>
      <c r="P89" s="2163"/>
      <c r="Q89" s="2164"/>
      <c r="R89" s="2165"/>
      <c r="S89" s="2165"/>
      <c r="T89" s="2165"/>
      <c r="U89" s="2165"/>
      <c r="V89" s="2165"/>
      <c r="W89" s="2165"/>
      <c r="X89" s="2165"/>
      <c r="Y89" s="2165"/>
      <c r="Z89" s="2165"/>
      <c r="AA89" s="2165"/>
      <c r="AB89" s="2165"/>
      <c r="AC89" s="2165"/>
    </row>
    <row r="90" spans="1:29" s="1335"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3">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0"/>
    <col min="19" max="19" width="9" style="1246"/>
    <col min="20" max="35" width="9" style="253"/>
    <col min="36" max="16384" width="9" style="1246"/>
  </cols>
  <sheetData>
    <row r="1" spans="1:45" s="253" customFormat="1" ht="14.25" customHeight="1" thickBot="1">
      <c r="A1" s="361"/>
      <c r="B1" s="2229" t="s">
        <v>2307</v>
      </c>
      <c r="C1" s="3813" t="s">
        <v>2308</v>
      </c>
      <c r="D1" s="3814"/>
      <c r="E1" s="3814"/>
      <c r="F1" s="3814"/>
      <c r="G1" s="3814"/>
      <c r="H1" s="3814"/>
      <c r="I1" s="3814"/>
      <c r="J1" s="3814"/>
      <c r="K1" s="3814"/>
      <c r="L1" s="3814"/>
      <c r="M1" s="3814"/>
      <c r="N1" s="3814"/>
      <c r="O1" s="3814"/>
      <c r="P1" s="3814"/>
      <c r="Q1" s="3814"/>
      <c r="R1" s="3814"/>
      <c r="S1" s="3815"/>
      <c r="T1" s="2229" t="s">
        <v>2309</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1" t="str">
        <f>S3&amp;"(含)"&amp;"-"</f>
        <v>(含)-</v>
      </c>
      <c r="T2" s="948"/>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9"/>
      <c r="C3" s="950"/>
      <c r="D3" s="951"/>
      <c r="E3" s="951"/>
      <c r="F3" s="951"/>
      <c r="G3" s="951"/>
      <c r="H3" s="951"/>
      <c r="I3" s="951"/>
      <c r="J3" s="952"/>
      <c r="K3" s="952"/>
      <c r="L3" s="953"/>
      <c r="M3" s="2234"/>
      <c r="N3" s="2235"/>
      <c r="O3" s="951"/>
      <c r="P3" s="951"/>
      <c r="Q3" s="951"/>
      <c r="R3" s="951"/>
      <c r="S3" s="2236"/>
      <c r="T3" s="954"/>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7" t="s">
        <v>2931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9" t="s">
        <v>2930</v>
      </c>
      <c r="C7" s="1956"/>
      <c r="D7" s="1957"/>
      <c r="E7" s="1957"/>
      <c r="F7" s="1957"/>
      <c r="G7" s="1957"/>
      <c r="H7" s="1957"/>
      <c r="I7" s="1957"/>
      <c r="J7" s="1957"/>
      <c r="K7" s="1957"/>
      <c r="L7" s="1957"/>
      <c r="M7" s="2254"/>
      <c r="N7" s="2255"/>
      <c r="O7" s="2256"/>
      <c r="P7" s="2257"/>
      <c r="Q7" s="2258"/>
      <c r="R7" s="2259"/>
      <c r="S7" s="2260"/>
      <c r="T7" s="955"/>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9" t="s">
        <v>2929</v>
      </c>
      <c r="C9" s="1956"/>
      <c r="D9" s="1957"/>
      <c r="E9" s="1957"/>
      <c r="F9" s="1957"/>
      <c r="G9" s="1957"/>
      <c r="H9" s="1957"/>
      <c r="I9" s="1957"/>
      <c r="J9" s="1957"/>
      <c r="K9" s="1957"/>
      <c r="L9" s="1958"/>
      <c r="M9" s="2254"/>
      <c r="N9" s="2255"/>
      <c r="O9" s="2256"/>
      <c r="P9" s="2257"/>
      <c r="Q9" s="2258"/>
      <c r="R9" s="2259"/>
      <c r="S9" s="2260"/>
      <c r="T9" s="955"/>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8"/>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7" t="s">
        <v>2944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7" t="s">
        <v>2928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7" t="s">
        <v>2927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2311</v>
      </c>
      <c r="B17" s="2273" t="s">
        <v>2312</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4"/>
      <c r="C19" s="1985"/>
      <c r="D19" s="1985"/>
      <c r="E19" s="1985"/>
      <c r="F19" s="1985"/>
      <c r="G19" s="1985"/>
      <c r="H19" s="1985"/>
      <c r="I19" s="1985"/>
      <c r="J19" s="1985"/>
      <c r="K19" s="1985"/>
      <c r="L19" s="1985"/>
      <c r="M19" s="1985"/>
      <c r="N19" s="1985"/>
      <c r="O19" s="1985"/>
      <c r="P19" s="1985"/>
      <c r="Q19" s="1985"/>
      <c r="R19" s="2220"/>
      <c r="S19" s="2023"/>
    </row>
    <row r="20" spans="1:45" ht="15.75">
      <c r="A20" s="956"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6"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810" t="s">
        <v>20</v>
      </c>
      <c r="D22" s="3811"/>
      <c r="E22" s="3811"/>
      <c r="F22" s="3811"/>
      <c r="G22" s="3811"/>
      <c r="H22" s="3811"/>
      <c r="I22" s="3811"/>
      <c r="J22" s="3811"/>
      <c r="K22" s="3811"/>
      <c r="L22" s="3811"/>
      <c r="M22" s="3811"/>
      <c r="N22" s="3811"/>
      <c r="O22" s="3811"/>
      <c r="P22" s="3811"/>
      <c r="Q22" s="3812"/>
      <c r="R22" s="486" t="e">
        <f>ROUND(S22*10000/B22,0)</f>
        <v>#DIV/0!</v>
      </c>
      <c r="S22" s="52">
        <f>SUM(S24:S10000)</f>
        <v>0</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09"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6">
        <f>IF(B25="",0,ROUND($R$24*C25*E25*G25*I25*K25*M25*O25*Q25,0))</f>
        <v>0</v>
      </c>
      <c r="S25" s="795">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6">
        <f t="shared" ref="R26:R89" si="20">IF(B26="",0,ROUND($R$24*C26*E26*G26*I26*K26*M26*O26*Q26,0))</f>
        <v>0</v>
      </c>
      <c r="S26" s="795">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6">
        <f t="shared" si="20"/>
        <v>0</v>
      </c>
      <c r="S27" s="795">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6">
        <f t="shared" si="20"/>
        <v>0</v>
      </c>
      <c r="S28" s="795">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6">
        <f t="shared" si="20"/>
        <v>0</v>
      </c>
      <c r="S29" s="795">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6">
        <f t="shared" si="20"/>
        <v>0</v>
      </c>
      <c r="S30" s="795">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6">
        <f t="shared" si="20"/>
        <v>0</v>
      </c>
      <c r="S31" s="795">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6">
        <f t="shared" si="20"/>
        <v>0</v>
      </c>
      <c r="S32" s="795">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6">
        <f t="shared" si="20"/>
        <v>0</v>
      </c>
      <c r="S33" s="795">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6">
        <f t="shared" si="20"/>
        <v>0</v>
      </c>
      <c r="S34" s="795">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6">
        <f t="shared" si="20"/>
        <v>0</v>
      </c>
      <c r="S35" s="795">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6">
        <f t="shared" si="20"/>
        <v>0</v>
      </c>
      <c r="S36" s="795">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6">
        <f t="shared" si="20"/>
        <v>0</v>
      </c>
      <c r="S37" s="795">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6">
        <f t="shared" si="20"/>
        <v>0</v>
      </c>
      <c r="S38" s="795">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6">
        <f t="shared" si="20"/>
        <v>0</v>
      </c>
      <c r="S39" s="795">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6">
        <f t="shared" si="20"/>
        <v>0</v>
      </c>
      <c r="S40" s="795">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6">
        <f t="shared" si="20"/>
        <v>0</v>
      </c>
      <c r="S41" s="795">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6">
        <f t="shared" si="20"/>
        <v>0</v>
      </c>
      <c r="S42" s="795">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6">
        <f t="shared" si="20"/>
        <v>0</v>
      </c>
      <c r="S43" s="795">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6">
        <f t="shared" si="20"/>
        <v>0</v>
      </c>
      <c r="S44" s="795">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6">
        <f t="shared" si="20"/>
        <v>0</v>
      </c>
      <c r="S45" s="795">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6">
        <f t="shared" si="20"/>
        <v>0</v>
      </c>
      <c r="S46" s="795">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6">
        <f t="shared" si="20"/>
        <v>0</v>
      </c>
      <c r="S47" s="795">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6">
        <f t="shared" si="20"/>
        <v>0</v>
      </c>
      <c r="S48" s="795">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6">
        <f t="shared" si="20"/>
        <v>0</v>
      </c>
      <c r="S49" s="795">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6">
        <f t="shared" si="20"/>
        <v>0</v>
      </c>
      <c r="S50" s="795">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6">
        <f t="shared" si="20"/>
        <v>0</v>
      </c>
      <c r="S51" s="795">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6">
        <f t="shared" si="20"/>
        <v>0</v>
      </c>
      <c r="S52" s="795">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6">
        <f t="shared" si="20"/>
        <v>0</v>
      </c>
      <c r="S53" s="795">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6">
        <f t="shared" si="20"/>
        <v>0</v>
      </c>
      <c r="S54" s="795">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6">
        <f t="shared" si="20"/>
        <v>0</v>
      </c>
      <c r="S55" s="795">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6">
        <f t="shared" si="20"/>
        <v>0</v>
      </c>
      <c r="S56" s="795">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6">
        <f t="shared" si="20"/>
        <v>0</v>
      </c>
      <c r="S57" s="795">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6">
        <f t="shared" si="20"/>
        <v>0</v>
      </c>
      <c r="S58" s="795">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6">
        <f t="shared" si="20"/>
        <v>0</v>
      </c>
      <c r="S59" s="795">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6">
        <f t="shared" si="20"/>
        <v>0</v>
      </c>
      <c r="S60" s="795">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6">
        <f t="shared" si="20"/>
        <v>0</v>
      </c>
      <c r="S61" s="795">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6">
        <f t="shared" si="20"/>
        <v>0</v>
      </c>
      <c r="S62" s="795">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6">
        <f t="shared" si="20"/>
        <v>0</v>
      </c>
      <c r="S63" s="795">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6">
        <f t="shared" si="20"/>
        <v>0</v>
      </c>
      <c r="S64" s="795">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6">
        <f t="shared" si="20"/>
        <v>0</v>
      </c>
      <c r="S65" s="795">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6">
        <f t="shared" si="20"/>
        <v>0</v>
      </c>
      <c r="S66" s="795">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6">
        <f t="shared" si="20"/>
        <v>0</v>
      </c>
      <c r="S67" s="795">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6">
        <f t="shared" si="20"/>
        <v>0</v>
      </c>
      <c r="S68" s="795">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6">
        <f t="shared" si="20"/>
        <v>0</v>
      </c>
      <c r="S69" s="795">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6">
        <f t="shared" si="20"/>
        <v>0</v>
      </c>
      <c r="S70" s="795">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6">
        <f t="shared" si="20"/>
        <v>0</v>
      </c>
      <c r="S71" s="795">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6">
        <f t="shared" si="20"/>
        <v>0</v>
      </c>
      <c r="S72" s="795">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6">
        <f t="shared" si="20"/>
        <v>0</v>
      </c>
      <c r="S73" s="795">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6">
        <f t="shared" si="20"/>
        <v>0</v>
      </c>
      <c r="S74" s="795">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6">
        <f t="shared" si="20"/>
        <v>0</v>
      </c>
      <c r="S75" s="795">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6">
        <f t="shared" si="20"/>
        <v>0</v>
      </c>
      <c r="S76" s="795">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6">
        <f t="shared" si="20"/>
        <v>0</v>
      </c>
      <c r="S77" s="795">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6">
        <f t="shared" si="20"/>
        <v>0</v>
      </c>
      <c r="S78" s="795">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6">
        <f t="shared" si="20"/>
        <v>0</v>
      </c>
      <c r="S79" s="795">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6">
        <f t="shared" si="20"/>
        <v>0</v>
      </c>
      <c r="S80" s="795">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6">
        <f t="shared" si="20"/>
        <v>0</v>
      </c>
      <c r="S81" s="795">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6">
        <f t="shared" si="20"/>
        <v>0</v>
      </c>
      <c r="S82" s="795">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6">
        <f t="shared" si="20"/>
        <v>0</v>
      </c>
      <c r="S83" s="795">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6">
        <f t="shared" si="20"/>
        <v>0</v>
      </c>
      <c r="S84" s="795">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6">
        <f t="shared" si="20"/>
        <v>0</v>
      </c>
      <c r="S85" s="795">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6">
        <f t="shared" si="20"/>
        <v>0</v>
      </c>
      <c r="S86" s="795">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6">
        <f t="shared" si="20"/>
        <v>0</v>
      </c>
      <c r="S87" s="795">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6">
        <f t="shared" si="20"/>
        <v>0</v>
      </c>
      <c r="S88" s="795">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6">
        <f t="shared" si="20"/>
        <v>0</v>
      </c>
      <c r="S89" s="795">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6">
        <f t="shared" ref="R90:R153" si="31">IF(B90="",0,ROUND($R$24*C90*E90*G90*I90*K90*M90*O90*Q90,0))</f>
        <v>0</v>
      </c>
      <c r="S90" s="795">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6">
        <f t="shared" si="31"/>
        <v>0</v>
      </c>
      <c r="S91" s="795">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6">
        <f t="shared" si="31"/>
        <v>0</v>
      </c>
      <c r="S92" s="795">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6">
        <f t="shared" si="31"/>
        <v>0</v>
      </c>
      <c r="S93" s="795">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6">
        <f t="shared" si="31"/>
        <v>0</v>
      </c>
      <c r="S94" s="795">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6">
        <f t="shared" si="31"/>
        <v>0</v>
      </c>
      <c r="S95" s="795">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6">
        <f t="shared" si="31"/>
        <v>0</v>
      </c>
      <c r="S96" s="795">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6">
        <f t="shared" si="31"/>
        <v>0</v>
      </c>
      <c r="S97" s="795">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6">
        <f t="shared" si="31"/>
        <v>0</v>
      </c>
      <c r="S98" s="795">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6">
        <f t="shared" si="31"/>
        <v>0</v>
      </c>
      <c r="S99" s="795">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6">
        <f t="shared" si="31"/>
        <v>0</v>
      </c>
      <c r="S100" s="795">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6">
        <f t="shared" si="31"/>
        <v>0</v>
      </c>
      <c r="S101" s="795">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6">
        <f t="shared" si="31"/>
        <v>0</v>
      </c>
      <c r="S102" s="795">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6">
        <f t="shared" si="31"/>
        <v>0</v>
      </c>
      <c r="S103" s="795">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6">
        <f t="shared" si="31"/>
        <v>0</v>
      </c>
      <c r="S104" s="795">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6">
        <f t="shared" si="31"/>
        <v>0</v>
      </c>
      <c r="S105" s="795">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6">
        <f t="shared" si="31"/>
        <v>0</v>
      </c>
      <c r="S106" s="795">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6">
        <f t="shared" si="31"/>
        <v>0</v>
      </c>
      <c r="S107" s="795">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6">
        <f t="shared" si="31"/>
        <v>0</v>
      </c>
      <c r="S108" s="795">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6">
        <f t="shared" si="31"/>
        <v>0</v>
      </c>
      <c r="S109" s="795">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6">
        <f t="shared" si="31"/>
        <v>0</v>
      </c>
      <c r="S110" s="795">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6">
        <f t="shared" si="31"/>
        <v>0</v>
      </c>
      <c r="S111" s="795">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6">
        <f t="shared" si="31"/>
        <v>0</v>
      </c>
      <c r="S112" s="795">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6">
        <f t="shared" si="31"/>
        <v>0</v>
      </c>
      <c r="S113" s="795">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6">
        <f t="shared" si="31"/>
        <v>0</v>
      </c>
      <c r="S114" s="795">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6">
        <f t="shared" si="31"/>
        <v>0</v>
      </c>
      <c r="S115" s="795">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6">
        <f t="shared" si="31"/>
        <v>0</v>
      </c>
      <c r="S116" s="795">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6">
        <f t="shared" si="31"/>
        <v>0</v>
      </c>
      <c r="S117" s="795">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6">
        <f t="shared" si="31"/>
        <v>0</v>
      </c>
      <c r="S118" s="795">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6">
        <f t="shared" si="31"/>
        <v>0</v>
      </c>
      <c r="S119" s="795">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6">
        <f t="shared" si="31"/>
        <v>0</v>
      </c>
      <c r="S120" s="795">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6">
        <f t="shared" si="31"/>
        <v>0</v>
      </c>
      <c r="S121" s="795">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6">
        <f t="shared" si="31"/>
        <v>0</v>
      </c>
      <c r="S122" s="795">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6">
        <f t="shared" si="31"/>
        <v>0</v>
      </c>
      <c r="S123" s="795">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6">
        <f t="shared" si="31"/>
        <v>0</v>
      </c>
      <c r="S124" s="795">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6">
        <f t="shared" si="31"/>
        <v>0</v>
      </c>
      <c r="S125" s="795">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6">
        <f t="shared" si="31"/>
        <v>0</v>
      </c>
      <c r="S126" s="795">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6">
        <f t="shared" si="31"/>
        <v>0</v>
      </c>
      <c r="S127" s="795">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6">
        <f t="shared" si="31"/>
        <v>0</v>
      </c>
      <c r="S128" s="795">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6">
        <f t="shared" si="31"/>
        <v>0</v>
      </c>
      <c r="S129" s="795">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6">
        <f t="shared" si="31"/>
        <v>0</v>
      </c>
      <c r="S130" s="795">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6">
        <f t="shared" si="31"/>
        <v>0</v>
      </c>
      <c r="S131" s="795">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6">
        <f t="shared" si="31"/>
        <v>0</v>
      </c>
      <c r="S132" s="795">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6">
        <f t="shared" si="31"/>
        <v>0</v>
      </c>
      <c r="S133" s="795">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6">
        <f t="shared" si="31"/>
        <v>0</v>
      </c>
      <c r="S134" s="795">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6">
        <f t="shared" si="31"/>
        <v>0</v>
      </c>
      <c r="S135" s="795">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6">
        <f t="shared" si="31"/>
        <v>0</v>
      </c>
      <c r="S136" s="795">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6">
        <f t="shared" si="31"/>
        <v>0</v>
      </c>
      <c r="S137" s="795">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6">
        <f t="shared" si="31"/>
        <v>0</v>
      </c>
      <c r="S138" s="795">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6">
        <f t="shared" si="31"/>
        <v>0</v>
      </c>
      <c r="S139" s="795">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6">
        <f t="shared" si="31"/>
        <v>0</v>
      </c>
      <c r="S140" s="795">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6">
        <f t="shared" si="31"/>
        <v>0</v>
      </c>
      <c r="S141" s="795">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6">
        <f t="shared" si="31"/>
        <v>0</v>
      </c>
      <c r="S142" s="795">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6">
        <f t="shared" si="31"/>
        <v>0</v>
      </c>
      <c r="S143" s="795">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6">
        <f t="shared" si="31"/>
        <v>0</v>
      </c>
      <c r="S144" s="795">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6">
        <f t="shared" si="31"/>
        <v>0</v>
      </c>
      <c r="S145" s="795">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6">
        <f t="shared" si="31"/>
        <v>0</v>
      </c>
      <c r="S146" s="795">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6">
        <f t="shared" si="31"/>
        <v>0</v>
      </c>
      <c r="S147" s="795">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6">
        <f t="shared" si="31"/>
        <v>0</v>
      </c>
      <c r="S148" s="795">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6">
        <f t="shared" si="31"/>
        <v>0</v>
      </c>
      <c r="S149" s="795">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6">
        <f t="shared" si="31"/>
        <v>0</v>
      </c>
      <c r="S150" s="795">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6">
        <f t="shared" si="31"/>
        <v>0</v>
      </c>
      <c r="S151" s="795">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6">
        <f t="shared" si="31"/>
        <v>0</v>
      </c>
      <c r="S152" s="795">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6">
        <f t="shared" si="31"/>
        <v>0</v>
      </c>
      <c r="S153" s="795">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6">
        <f t="shared" ref="R154:R217" si="41">IF(B154="",0,ROUND($R$24*C154*E154*G154*I154*K154*M154*O154*Q154,0))</f>
        <v>0</v>
      </c>
      <c r="S154" s="795">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6">
        <f t="shared" si="41"/>
        <v>0</v>
      </c>
      <c r="S155" s="795">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6">
        <f t="shared" si="41"/>
        <v>0</v>
      </c>
      <c r="S156" s="795">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6">
        <f t="shared" si="41"/>
        <v>0</v>
      </c>
      <c r="S157" s="795">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6">
        <f t="shared" si="41"/>
        <v>0</v>
      </c>
      <c r="S158" s="795">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6">
        <f t="shared" si="41"/>
        <v>0</v>
      </c>
      <c r="S159" s="795">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6">
        <f t="shared" si="41"/>
        <v>0</v>
      </c>
      <c r="S160" s="795">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6">
        <f t="shared" si="41"/>
        <v>0</v>
      </c>
      <c r="S161" s="795">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6">
        <f t="shared" si="41"/>
        <v>0</v>
      </c>
      <c r="S162" s="795">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6">
        <f t="shared" si="41"/>
        <v>0</v>
      </c>
      <c r="S163" s="795">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6">
        <f t="shared" si="41"/>
        <v>0</v>
      </c>
      <c r="S164" s="795">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6">
        <f t="shared" si="41"/>
        <v>0</v>
      </c>
      <c r="S165" s="795">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6">
        <f t="shared" si="41"/>
        <v>0</v>
      </c>
      <c r="S166" s="795">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6">
        <f t="shared" si="41"/>
        <v>0</v>
      </c>
      <c r="S167" s="795">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6">
        <f t="shared" si="41"/>
        <v>0</v>
      </c>
      <c r="S168" s="795">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6">
        <f t="shared" si="41"/>
        <v>0</v>
      </c>
      <c r="S169" s="795">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6">
        <f t="shared" si="41"/>
        <v>0</v>
      </c>
      <c r="S170" s="795">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6">
        <f t="shared" si="41"/>
        <v>0</v>
      </c>
      <c r="S171" s="795">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6">
        <f t="shared" si="41"/>
        <v>0</v>
      </c>
      <c r="S172" s="795">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6">
        <f t="shared" si="41"/>
        <v>0</v>
      </c>
      <c r="S173" s="795">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6">
        <f t="shared" si="41"/>
        <v>0</v>
      </c>
      <c r="S174" s="795">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6">
        <f t="shared" si="41"/>
        <v>0</v>
      </c>
      <c r="S175" s="795">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6">
        <f t="shared" si="41"/>
        <v>0</v>
      </c>
      <c r="S176" s="795">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6">
        <f t="shared" si="41"/>
        <v>0</v>
      </c>
      <c r="S177" s="795">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6">
        <f t="shared" si="41"/>
        <v>0</v>
      </c>
      <c r="S178" s="795">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6">
        <f t="shared" si="41"/>
        <v>0</v>
      </c>
      <c r="S179" s="795">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6">
        <f t="shared" si="41"/>
        <v>0</v>
      </c>
      <c r="S180" s="795">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6">
        <f t="shared" si="41"/>
        <v>0</v>
      </c>
      <c r="S181" s="795">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6">
        <f t="shared" si="41"/>
        <v>0</v>
      </c>
      <c r="S182" s="795">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6">
        <f t="shared" si="41"/>
        <v>0</v>
      </c>
      <c r="S183" s="795">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6">
        <f t="shared" si="41"/>
        <v>0</v>
      </c>
      <c r="S184" s="795">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6">
        <f t="shared" si="41"/>
        <v>0</v>
      </c>
      <c r="S185" s="795">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6">
        <f t="shared" si="41"/>
        <v>0</v>
      </c>
      <c r="S186" s="795">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6">
        <f t="shared" si="41"/>
        <v>0</v>
      </c>
      <c r="S187" s="795">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6">
        <f t="shared" si="41"/>
        <v>0</v>
      </c>
      <c r="S188" s="795">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6">
        <f t="shared" si="41"/>
        <v>0</v>
      </c>
      <c r="S189" s="795">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6">
        <f t="shared" si="41"/>
        <v>0</v>
      </c>
      <c r="S190" s="795">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6">
        <f t="shared" si="41"/>
        <v>0</v>
      </c>
      <c r="S191" s="795">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6">
        <f t="shared" si="41"/>
        <v>0</v>
      </c>
      <c r="S192" s="795">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6">
        <f t="shared" si="41"/>
        <v>0</v>
      </c>
      <c r="S193" s="795">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6">
        <f t="shared" si="41"/>
        <v>0</v>
      </c>
      <c r="S194" s="795">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6">
        <f t="shared" si="41"/>
        <v>0</v>
      </c>
      <c r="S195" s="795">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6">
        <f t="shared" si="41"/>
        <v>0</v>
      </c>
      <c r="S196" s="795">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6">
        <f t="shared" si="41"/>
        <v>0</v>
      </c>
      <c r="S197" s="795">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6">
        <f t="shared" si="41"/>
        <v>0</v>
      </c>
      <c r="S198" s="795">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6">
        <f t="shared" si="41"/>
        <v>0</v>
      </c>
      <c r="S199" s="795">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6">
        <f t="shared" si="41"/>
        <v>0</v>
      </c>
      <c r="S200" s="795">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6">
        <f t="shared" si="41"/>
        <v>0</v>
      </c>
      <c r="S201" s="795">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6">
        <f t="shared" si="41"/>
        <v>0</v>
      </c>
      <c r="S202" s="795">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6">
        <f t="shared" si="41"/>
        <v>0</v>
      </c>
      <c r="S203" s="795">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6">
        <f t="shared" si="41"/>
        <v>0</v>
      </c>
      <c r="S204" s="795">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6">
        <f t="shared" si="41"/>
        <v>0</v>
      </c>
      <c r="S205" s="795">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6">
        <f t="shared" si="41"/>
        <v>0</v>
      </c>
      <c r="S206" s="795">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6">
        <f t="shared" si="41"/>
        <v>0</v>
      </c>
      <c r="S207" s="795">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6">
        <f t="shared" si="41"/>
        <v>0</v>
      </c>
      <c r="S208" s="795">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6">
        <f t="shared" si="41"/>
        <v>0</v>
      </c>
      <c r="S209" s="795">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6">
        <f t="shared" si="41"/>
        <v>0</v>
      </c>
      <c r="S210" s="795">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6">
        <f t="shared" si="41"/>
        <v>0</v>
      </c>
      <c r="S211" s="795">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6">
        <f t="shared" si="41"/>
        <v>0</v>
      </c>
      <c r="S212" s="795">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6">
        <f t="shared" si="41"/>
        <v>0</v>
      </c>
      <c r="S213" s="795">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6">
        <f t="shared" si="41"/>
        <v>0</v>
      </c>
      <c r="S214" s="795">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6">
        <f t="shared" si="41"/>
        <v>0</v>
      </c>
      <c r="S215" s="795">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6">
        <f t="shared" si="41"/>
        <v>0</v>
      </c>
      <c r="S216" s="795">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6">
        <f t="shared" si="41"/>
        <v>0</v>
      </c>
      <c r="S217" s="795">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6">
        <f t="shared" ref="R218:R281" si="51">IF(B218="",0,ROUND($R$24*C218*E218*G218*I218*K218*M218*O218*Q218,0))</f>
        <v>0</v>
      </c>
      <c r="S218" s="795">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6">
        <f t="shared" si="51"/>
        <v>0</v>
      </c>
      <c r="S219" s="795">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6">
        <f t="shared" si="51"/>
        <v>0</v>
      </c>
      <c r="S220" s="795">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6">
        <f t="shared" si="51"/>
        <v>0</v>
      </c>
      <c r="S221" s="795">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6">
        <f t="shared" si="51"/>
        <v>0</v>
      </c>
      <c r="S222" s="795">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6">
        <f t="shared" si="51"/>
        <v>0</v>
      </c>
      <c r="S223" s="795">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6">
        <f t="shared" si="51"/>
        <v>0</v>
      </c>
      <c r="S224" s="795">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6">
        <f t="shared" si="51"/>
        <v>0</v>
      </c>
      <c r="S225" s="795">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6">
        <f t="shared" si="51"/>
        <v>0</v>
      </c>
      <c r="S226" s="795">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6">
        <f t="shared" si="51"/>
        <v>0</v>
      </c>
      <c r="S227" s="795">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6">
        <f t="shared" si="51"/>
        <v>0</v>
      </c>
      <c r="S228" s="795">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6">
        <f t="shared" si="51"/>
        <v>0</v>
      </c>
      <c r="S229" s="795">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6">
        <f t="shared" si="51"/>
        <v>0</v>
      </c>
      <c r="S230" s="795">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6">
        <f t="shared" si="51"/>
        <v>0</v>
      </c>
      <c r="S231" s="795">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6">
        <f t="shared" si="51"/>
        <v>0</v>
      </c>
      <c r="S232" s="795">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6">
        <f t="shared" si="51"/>
        <v>0</v>
      </c>
      <c r="S233" s="795">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6">
        <f t="shared" si="51"/>
        <v>0</v>
      </c>
      <c r="S234" s="795">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6">
        <f t="shared" si="51"/>
        <v>0</v>
      </c>
      <c r="S235" s="795">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6">
        <f t="shared" si="51"/>
        <v>0</v>
      </c>
      <c r="S236" s="795">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6">
        <f t="shared" si="51"/>
        <v>0</v>
      </c>
      <c r="S237" s="795">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6">
        <f t="shared" si="51"/>
        <v>0</v>
      </c>
      <c r="S238" s="795">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6">
        <f t="shared" si="51"/>
        <v>0</v>
      </c>
      <c r="S239" s="795">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6">
        <f t="shared" si="51"/>
        <v>0</v>
      </c>
      <c r="S240" s="795">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6">
        <f t="shared" si="51"/>
        <v>0</v>
      </c>
      <c r="S241" s="795">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6">
        <f t="shared" si="51"/>
        <v>0</v>
      </c>
      <c r="S242" s="795">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6">
        <f t="shared" si="51"/>
        <v>0</v>
      </c>
      <c r="S243" s="795">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6">
        <f t="shared" si="51"/>
        <v>0</v>
      </c>
      <c r="S244" s="795">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6">
        <f t="shared" si="51"/>
        <v>0</v>
      </c>
      <c r="S245" s="795">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6">
        <f t="shared" si="51"/>
        <v>0</v>
      </c>
      <c r="S246" s="795">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6">
        <f t="shared" si="51"/>
        <v>0</v>
      </c>
      <c r="S247" s="795">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6">
        <f t="shared" si="51"/>
        <v>0</v>
      </c>
      <c r="S248" s="795">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6">
        <f t="shared" si="51"/>
        <v>0</v>
      </c>
      <c r="S249" s="795">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6">
        <f t="shared" si="51"/>
        <v>0</v>
      </c>
      <c r="S250" s="795">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6">
        <f t="shared" si="51"/>
        <v>0</v>
      </c>
      <c r="S251" s="795">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6">
        <f t="shared" si="51"/>
        <v>0</v>
      </c>
      <c r="S252" s="795">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6">
        <f t="shared" si="51"/>
        <v>0</v>
      </c>
      <c r="S253" s="795">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6">
        <f t="shared" si="51"/>
        <v>0</v>
      </c>
      <c r="S254" s="795">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6">
        <f t="shared" si="51"/>
        <v>0</v>
      </c>
      <c r="S255" s="795">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6">
        <f t="shared" si="51"/>
        <v>0</v>
      </c>
      <c r="S256" s="795">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6">
        <f t="shared" si="51"/>
        <v>0</v>
      </c>
      <c r="S257" s="795">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6">
        <f t="shared" si="51"/>
        <v>0</v>
      </c>
      <c r="S258" s="795">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6">
        <f t="shared" si="51"/>
        <v>0</v>
      </c>
      <c r="S259" s="795">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6">
        <f t="shared" si="51"/>
        <v>0</v>
      </c>
      <c r="S260" s="795">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6">
        <f t="shared" si="51"/>
        <v>0</v>
      </c>
      <c r="S261" s="795">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6">
        <f t="shared" si="51"/>
        <v>0</v>
      </c>
      <c r="S262" s="795">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6">
        <f t="shared" si="51"/>
        <v>0</v>
      </c>
      <c r="S263" s="795">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6">
        <f t="shared" si="51"/>
        <v>0</v>
      </c>
      <c r="S264" s="795">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6">
        <f t="shared" si="51"/>
        <v>0</v>
      </c>
      <c r="S265" s="795">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6">
        <f t="shared" si="51"/>
        <v>0</v>
      </c>
      <c r="S266" s="795">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6">
        <f t="shared" si="51"/>
        <v>0</v>
      </c>
      <c r="S267" s="795">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6">
        <f t="shared" si="51"/>
        <v>0</v>
      </c>
      <c r="S268" s="795">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6">
        <f t="shared" si="51"/>
        <v>0</v>
      </c>
      <c r="S269" s="795">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6">
        <f t="shared" si="51"/>
        <v>0</v>
      </c>
      <c r="S270" s="795">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6">
        <f t="shared" si="51"/>
        <v>0</v>
      </c>
      <c r="S271" s="795">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6">
        <f t="shared" si="51"/>
        <v>0</v>
      </c>
      <c r="S272" s="795">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6">
        <f t="shared" si="51"/>
        <v>0</v>
      </c>
      <c r="S273" s="795">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6">
        <f t="shared" si="51"/>
        <v>0</v>
      </c>
      <c r="S274" s="795">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6">
        <f t="shared" si="51"/>
        <v>0</v>
      </c>
      <c r="S275" s="795">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6">
        <f t="shared" si="51"/>
        <v>0</v>
      </c>
      <c r="S276" s="795">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6">
        <f t="shared" si="51"/>
        <v>0</v>
      </c>
      <c r="S277" s="795">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6">
        <f t="shared" si="51"/>
        <v>0</v>
      </c>
      <c r="S278" s="795">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6">
        <f t="shared" si="51"/>
        <v>0</v>
      </c>
      <c r="S279" s="795">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6">
        <f t="shared" si="51"/>
        <v>0</v>
      </c>
      <c r="S280" s="795">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6">
        <f t="shared" si="51"/>
        <v>0</v>
      </c>
      <c r="S281" s="795">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6">
        <f t="shared" ref="R282:R345" si="61">IF(B282="",0,ROUND($R$24*C282*E282*G282*I282*K282*M282*O282*Q282,0))</f>
        <v>0</v>
      </c>
      <c r="S282" s="795">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6">
        <f t="shared" si="61"/>
        <v>0</v>
      </c>
      <c r="S283" s="795">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6">
        <f t="shared" si="61"/>
        <v>0</v>
      </c>
      <c r="S284" s="795">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6">
        <f t="shared" si="61"/>
        <v>0</v>
      </c>
      <c r="S285" s="795">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6">
        <f t="shared" si="61"/>
        <v>0</v>
      </c>
      <c r="S286" s="795">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6">
        <f t="shared" si="61"/>
        <v>0</v>
      </c>
      <c r="S287" s="795">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6">
        <f t="shared" si="61"/>
        <v>0</v>
      </c>
      <c r="S288" s="795">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6">
        <f t="shared" si="61"/>
        <v>0</v>
      </c>
      <c r="S289" s="795">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6">
        <f t="shared" si="61"/>
        <v>0</v>
      </c>
      <c r="S290" s="795">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6">
        <f t="shared" si="61"/>
        <v>0</v>
      </c>
      <c r="S291" s="795">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6">
        <f t="shared" si="61"/>
        <v>0</v>
      </c>
      <c r="S292" s="795">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6">
        <f t="shared" si="61"/>
        <v>0</v>
      </c>
      <c r="S293" s="795">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6">
        <f t="shared" si="61"/>
        <v>0</v>
      </c>
      <c r="S294" s="795">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6">
        <f t="shared" si="61"/>
        <v>0</v>
      </c>
      <c r="S295" s="795">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6">
        <f t="shared" si="61"/>
        <v>0</v>
      </c>
      <c r="S296" s="795">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6">
        <f t="shared" si="61"/>
        <v>0</v>
      </c>
      <c r="S297" s="795">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6">
        <f t="shared" si="61"/>
        <v>0</v>
      </c>
      <c r="S298" s="795">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6">
        <f t="shared" si="61"/>
        <v>0</v>
      </c>
      <c r="S299" s="795">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6">
        <f t="shared" si="61"/>
        <v>0</v>
      </c>
      <c r="S300" s="795">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6">
        <f t="shared" si="61"/>
        <v>0</v>
      </c>
      <c r="S301" s="795">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6">
        <f t="shared" si="61"/>
        <v>0</v>
      </c>
      <c r="S302" s="795">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6">
        <f t="shared" si="61"/>
        <v>0</v>
      </c>
      <c r="S303" s="795">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6">
        <f t="shared" si="61"/>
        <v>0</v>
      </c>
      <c r="S304" s="795">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6">
        <f t="shared" si="61"/>
        <v>0</v>
      </c>
      <c r="S305" s="795">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6">
        <f t="shared" si="61"/>
        <v>0</v>
      </c>
      <c r="S306" s="795">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6">
        <f t="shared" si="61"/>
        <v>0</v>
      </c>
      <c r="S307" s="795">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6">
        <f t="shared" si="61"/>
        <v>0</v>
      </c>
      <c r="S308" s="795">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6">
        <f t="shared" si="61"/>
        <v>0</v>
      </c>
      <c r="S309" s="795">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6">
        <f t="shared" si="61"/>
        <v>0</v>
      </c>
      <c r="S310" s="795">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6">
        <f t="shared" si="61"/>
        <v>0</v>
      </c>
      <c r="S311" s="795">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6">
        <f t="shared" si="61"/>
        <v>0</v>
      </c>
      <c r="S312" s="795">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6">
        <f t="shared" si="61"/>
        <v>0</v>
      </c>
      <c r="S313" s="795">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6">
        <f t="shared" si="61"/>
        <v>0</v>
      </c>
      <c r="S314" s="795">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6">
        <f t="shared" si="61"/>
        <v>0</v>
      </c>
      <c r="S315" s="795">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6">
        <f t="shared" si="61"/>
        <v>0</v>
      </c>
      <c r="S316" s="795">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6">
        <f t="shared" si="61"/>
        <v>0</v>
      </c>
      <c r="S317" s="795">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6">
        <f t="shared" si="61"/>
        <v>0</v>
      </c>
      <c r="S318" s="795">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6">
        <f t="shared" si="61"/>
        <v>0</v>
      </c>
      <c r="S319" s="795">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6">
        <f t="shared" si="61"/>
        <v>0</v>
      </c>
      <c r="S320" s="795">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6">
        <f t="shared" si="61"/>
        <v>0</v>
      </c>
      <c r="S321" s="795">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6">
        <f t="shared" si="61"/>
        <v>0</v>
      </c>
      <c r="S322" s="795">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6">
        <f t="shared" si="61"/>
        <v>0</v>
      </c>
      <c r="S323" s="795">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6">
        <f t="shared" si="61"/>
        <v>0</v>
      </c>
      <c r="S324" s="795">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6">
        <f t="shared" si="61"/>
        <v>0</v>
      </c>
      <c r="S325" s="795">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6">
        <f t="shared" si="61"/>
        <v>0</v>
      </c>
      <c r="S326" s="795">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6">
        <f t="shared" si="61"/>
        <v>0</v>
      </c>
      <c r="S327" s="795">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6">
        <f t="shared" si="61"/>
        <v>0</v>
      </c>
      <c r="S328" s="795">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6">
        <f t="shared" si="61"/>
        <v>0</v>
      </c>
      <c r="S329" s="795">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6">
        <f t="shared" si="61"/>
        <v>0</v>
      </c>
      <c r="S330" s="795">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6">
        <f t="shared" si="61"/>
        <v>0</v>
      </c>
      <c r="S331" s="795">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6">
        <f t="shared" si="61"/>
        <v>0</v>
      </c>
      <c r="S332" s="795">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6">
        <f t="shared" si="61"/>
        <v>0</v>
      </c>
      <c r="S333" s="795">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6">
        <f t="shared" si="61"/>
        <v>0</v>
      </c>
      <c r="S334" s="795">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6">
        <f t="shared" si="61"/>
        <v>0</v>
      </c>
      <c r="S335" s="795">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6">
        <f t="shared" si="61"/>
        <v>0</v>
      </c>
      <c r="S336" s="795">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6">
        <f t="shared" si="61"/>
        <v>0</v>
      </c>
      <c r="S337" s="795">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6">
        <f t="shared" si="61"/>
        <v>0</v>
      </c>
      <c r="S338" s="795">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6">
        <f t="shared" si="61"/>
        <v>0</v>
      </c>
      <c r="S339" s="795">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6">
        <f t="shared" si="61"/>
        <v>0</v>
      </c>
      <c r="S340" s="795">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6">
        <f t="shared" si="61"/>
        <v>0</v>
      </c>
      <c r="S341" s="795">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6">
        <f t="shared" si="61"/>
        <v>0</v>
      </c>
      <c r="S342" s="795">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6">
        <f t="shared" si="61"/>
        <v>0</v>
      </c>
      <c r="S343" s="795">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6">
        <f t="shared" si="61"/>
        <v>0</v>
      </c>
      <c r="S344" s="795">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6">
        <f t="shared" si="61"/>
        <v>0</v>
      </c>
      <c r="S345" s="795">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6">
        <f t="shared" ref="R346:R409" si="72">IF(B346="",0,ROUND($R$24*C346*E346*G346*I346*K346*M346*O346*Q346,0))</f>
        <v>0</v>
      </c>
      <c r="S346" s="795">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6">
        <f t="shared" si="72"/>
        <v>0</v>
      </c>
      <c r="S347" s="795">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6">
        <f t="shared" si="72"/>
        <v>0</v>
      </c>
      <c r="S348" s="795">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6">
        <f t="shared" si="72"/>
        <v>0</v>
      </c>
      <c r="S349" s="795">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6">
        <f t="shared" si="72"/>
        <v>0</v>
      </c>
      <c r="S350" s="795">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6">
        <f t="shared" si="72"/>
        <v>0</v>
      </c>
      <c r="S351" s="795">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6">
        <f t="shared" si="72"/>
        <v>0</v>
      </c>
      <c r="S352" s="795">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6">
        <f t="shared" si="72"/>
        <v>0</v>
      </c>
      <c r="S353" s="795">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6">
        <f t="shared" si="72"/>
        <v>0</v>
      </c>
      <c r="S354" s="795">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6">
        <f t="shared" si="72"/>
        <v>0</v>
      </c>
      <c r="S355" s="795">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6">
        <f t="shared" si="72"/>
        <v>0</v>
      </c>
      <c r="S356" s="795">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6">
        <f t="shared" si="72"/>
        <v>0</v>
      </c>
      <c r="S357" s="795">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6">
        <f t="shared" si="72"/>
        <v>0</v>
      </c>
      <c r="S358" s="795">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6">
        <f t="shared" si="72"/>
        <v>0</v>
      </c>
      <c r="S359" s="795">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6">
        <f t="shared" si="72"/>
        <v>0</v>
      </c>
      <c r="S360" s="795">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6">
        <f t="shared" si="72"/>
        <v>0</v>
      </c>
      <c r="S361" s="795">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6">
        <f t="shared" si="72"/>
        <v>0</v>
      </c>
      <c r="S362" s="795">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6">
        <f t="shared" si="72"/>
        <v>0</v>
      </c>
      <c r="S363" s="795">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6">
        <f t="shared" si="72"/>
        <v>0</v>
      </c>
      <c r="S364" s="795">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6">
        <f t="shared" si="72"/>
        <v>0</v>
      </c>
      <c r="S365" s="795">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6">
        <f t="shared" si="72"/>
        <v>0</v>
      </c>
      <c r="S366" s="795">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6">
        <f t="shared" si="72"/>
        <v>0</v>
      </c>
      <c r="S367" s="795">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6">
        <f t="shared" si="72"/>
        <v>0</v>
      </c>
      <c r="S368" s="795">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6">
        <f t="shared" si="72"/>
        <v>0</v>
      </c>
      <c r="S369" s="795">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6">
        <f t="shared" si="72"/>
        <v>0</v>
      </c>
      <c r="S370" s="795">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6">
        <f t="shared" si="72"/>
        <v>0</v>
      </c>
      <c r="S371" s="795">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6">
        <f t="shared" si="72"/>
        <v>0</v>
      </c>
      <c r="S372" s="795">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6">
        <f t="shared" si="72"/>
        <v>0</v>
      </c>
      <c r="S373" s="795">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6">
        <f t="shared" si="72"/>
        <v>0</v>
      </c>
      <c r="S374" s="795">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6">
        <f t="shared" si="72"/>
        <v>0</v>
      </c>
      <c r="S375" s="795">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6">
        <f t="shared" si="72"/>
        <v>0</v>
      </c>
      <c r="S376" s="795">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6">
        <f t="shared" si="72"/>
        <v>0</v>
      </c>
      <c r="S377" s="795">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6">
        <f t="shared" si="72"/>
        <v>0</v>
      </c>
      <c r="S378" s="795">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6">
        <f t="shared" si="72"/>
        <v>0</v>
      </c>
      <c r="S379" s="795">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6">
        <f t="shared" si="72"/>
        <v>0</v>
      </c>
      <c r="S380" s="795">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6">
        <f t="shared" si="72"/>
        <v>0</v>
      </c>
      <c r="S381" s="795">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6">
        <f t="shared" si="72"/>
        <v>0</v>
      </c>
      <c r="S382" s="795">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6">
        <f t="shared" si="72"/>
        <v>0</v>
      </c>
      <c r="S383" s="795">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6">
        <f t="shared" si="72"/>
        <v>0</v>
      </c>
      <c r="S384" s="795">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6">
        <f t="shared" si="72"/>
        <v>0</v>
      </c>
      <c r="S385" s="795">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6">
        <f t="shared" si="72"/>
        <v>0</v>
      </c>
      <c r="S386" s="795">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6">
        <f t="shared" si="72"/>
        <v>0</v>
      </c>
      <c r="S387" s="795">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6">
        <f t="shared" si="72"/>
        <v>0</v>
      </c>
      <c r="S388" s="795">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6">
        <f t="shared" si="72"/>
        <v>0</v>
      </c>
      <c r="S389" s="795">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6">
        <f t="shared" si="72"/>
        <v>0</v>
      </c>
      <c r="S390" s="795">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6">
        <f t="shared" si="72"/>
        <v>0</v>
      </c>
      <c r="S391" s="795">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6">
        <f t="shared" si="72"/>
        <v>0</v>
      </c>
      <c r="S392" s="795">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6">
        <f t="shared" si="72"/>
        <v>0</v>
      </c>
      <c r="S393" s="795">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6">
        <f t="shared" si="72"/>
        <v>0</v>
      </c>
      <c r="S394" s="795">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6">
        <f t="shared" si="72"/>
        <v>0</v>
      </c>
      <c r="S395" s="795">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6">
        <f t="shared" si="72"/>
        <v>0</v>
      </c>
      <c r="S396" s="795">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6">
        <f t="shared" si="72"/>
        <v>0</v>
      </c>
      <c r="S397" s="795">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6">
        <f t="shared" si="72"/>
        <v>0</v>
      </c>
      <c r="S398" s="795">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6">
        <f t="shared" si="72"/>
        <v>0</v>
      </c>
      <c r="S399" s="795">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6">
        <f t="shared" si="72"/>
        <v>0</v>
      </c>
      <c r="S400" s="795">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6">
        <f t="shared" si="72"/>
        <v>0</v>
      </c>
      <c r="S401" s="795">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6">
        <f t="shared" si="72"/>
        <v>0</v>
      </c>
      <c r="S402" s="795">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6">
        <f t="shared" si="72"/>
        <v>0</v>
      </c>
      <c r="S403" s="795">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6">
        <f t="shared" si="72"/>
        <v>0</v>
      </c>
      <c r="S404" s="795">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6">
        <f t="shared" si="72"/>
        <v>0</v>
      </c>
      <c r="S405" s="795">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6">
        <f t="shared" si="72"/>
        <v>0</v>
      </c>
      <c r="S406" s="795">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6">
        <f t="shared" si="72"/>
        <v>0</v>
      </c>
      <c r="S407" s="795">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6">
        <f t="shared" si="72"/>
        <v>0</v>
      </c>
      <c r="S408" s="795">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6">
        <f t="shared" si="72"/>
        <v>0</v>
      </c>
      <c r="S409" s="795">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6">
        <f t="shared" ref="R410:R473" si="82">IF(B410="",0,ROUND($R$24*C410*E410*G410*I410*K410*M410*O410*Q410,0))</f>
        <v>0</v>
      </c>
      <c r="S410" s="795">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6">
        <f t="shared" si="82"/>
        <v>0</v>
      </c>
      <c r="S411" s="795">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6">
        <f t="shared" si="82"/>
        <v>0</v>
      </c>
      <c r="S412" s="795">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6">
        <f t="shared" si="82"/>
        <v>0</v>
      </c>
      <c r="S413" s="795">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6">
        <f t="shared" si="82"/>
        <v>0</v>
      </c>
      <c r="S414" s="795">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6">
        <f t="shared" si="82"/>
        <v>0</v>
      </c>
      <c r="S415" s="795">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6">
        <f t="shared" si="82"/>
        <v>0</v>
      </c>
      <c r="S416" s="795">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6">
        <f t="shared" si="82"/>
        <v>0</v>
      </c>
      <c r="S417" s="795">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6">
        <f t="shared" si="82"/>
        <v>0</v>
      </c>
      <c r="S418" s="795">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6">
        <f t="shared" si="82"/>
        <v>0</v>
      </c>
      <c r="S419" s="795">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6">
        <f t="shared" si="82"/>
        <v>0</v>
      </c>
      <c r="S420" s="795">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6">
        <f t="shared" si="82"/>
        <v>0</v>
      </c>
      <c r="S421" s="795">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6">
        <f t="shared" si="82"/>
        <v>0</v>
      </c>
      <c r="S422" s="795">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6">
        <f t="shared" si="82"/>
        <v>0</v>
      </c>
      <c r="S423" s="795">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6">
        <f t="shared" si="82"/>
        <v>0</v>
      </c>
      <c r="S424" s="795">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6">
        <f t="shared" si="82"/>
        <v>0</v>
      </c>
      <c r="S425" s="795">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6">
        <f t="shared" si="82"/>
        <v>0</v>
      </c>
      <c r="S426" s="795">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6">
        <f t="shared" si="82"/>
        <v>0</v>
      </c>
      <c r="S427" s="795">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6">
        <f t="shared" si="82"/>
        <v>0</v>
      </c>
      <c r="S428" s="795">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6">
        <f t="shared" si="82"/>
        <v>0</v>
      </c>
      <c r="S429" s="795">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6">
        <f t="shared" si="82"/>
        <v>0</v>
      </c>
      <c r="S430" s="795">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6">
        <f t="shared" si="82"/>
        <v>0</v>
      </c>
      <c r="S431" s="795">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6">
        <f t="shared" si="82"/>
        <v>0</v>
      </c>
      <c r="S432" s="795">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6">
        <f t="shared" si="82"/>
        <v>0</v>
      </c>
      <c r="S433" s="795">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6">
        <f t="shared" si="82"/>
        <v>0</v>
      </c>
      <c r="S434" s="795">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6">
        <f t="shared" si="82"/>
        <v>0</v>
      </c>
      <c r="S435" s="795">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6">
        <f t="shared" si="82"/>
        <v>0</v>
      </c>
      <c r="S436" s="795">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6">
        <f t="shared" si="82"/>
        <v>0</v>
      </c>
      <c r="S437" s="795">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6">
        <f t="shared" si="82"/>
        <v>0</v>
      </c>
      <c r="S438" s="795">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6">
        <f t="shared" si="82"/>
        <v>0</v>
      </c>
      <c r="S439" s="795">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6">
        <f t="shared" si="82"/>
        <v>0</v>
      </c>
      <c r="S440" s="795">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6">
        <f t="shared" si="82"/>
        <v>0</v>
      </c>
      <c r="S441" s="795">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6">
        <f t="shared" si="82"/>
        <v>0</v>
      </c>
      <c r="S442" s="795">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6">
        <f t="shared" si="82"/>
        <v>0</v>
      </c>
      <c r="S443" s="795">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6">
        <f t="shared" si="82"/>
        <v>0</v>
      </c>
      <c r="S444" s="795">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6">
        <f t="shared" si="82"/>
        <v>0</v>
      </c>
      <c r="S445" s="795">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6">
        <f t="shared" si="82"/>
        <v>0</v>
      </c>
      <c r="S446" s="795">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6">
        <f t="shared" si="82"/>
        <v>0</v>
      </c>
      <c r="S447" s="795">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6">
        <f t="shared" si="82"/>
        <v>0</v>
      </c>
      <c r="S448" s="795">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6">
        <f t="shared" si="82"/>
        <v>0</v>
      </c>
      <c r="S449" s="795">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6">
        <f t="shared" si="82"/>
        <v>0</v>
      </c>
      <c r="S450" s="795">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6">
        <f t="shared" si="82"/>
        <v>0</v>
      </c>
      <c r="S451" s="795">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6">
        <f t="shared" si="82"/>
        <v>0</v>
      </c>
      <c r="S452" s="795">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6">
        <f t="shared" si="82"/>
        <v>0</v>
      </c>
      <c r="S453" s="795">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6">
        <f t="shared" si="82"/>
        <v>0</v>
      </c>
      <c r="S454" s="795">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6">
        <f t="shared" si="82"/>
        <v>0</v>
      </c>
      <c r="S455" s="795">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6">
        <f t="shared" si="82"/>
        <v>0</v>
      </c>
      <c r="S456" s="795">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6">
        <f t="shared" si="82"/>
        <v>0</v>
      </c>
      <c r="S457" s="795">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6">
        <f t="shared" si="82"/>
        <v>0</v>
      </c>
      <c r="S458" s="795">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6">
        <f t="shared" si="82"/>
        <v>0</v>
      </c>
      <c r="S459" s="795">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6">
        <f t="shared" si="82"/>
        <v>0</v>
      </c>
      <c r="S460" s="795">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6">
        <f t="shared" si="82"/>
        <v>0</v>
      </c>
      <c r="S461" s="795">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6">
        <f t="shared" si="82"/>
        <v>0</v>
      </c>
      <c r="S462" s="795">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6">
        <f t="shared" si="82"/>
        <v>0</v>
      </c>
      <c r="S463" s="795">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6">
        <f t="shared" si="82"/>
        <v>0</v>
      </c>
      <c r="S464" s="795">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6">
        <f t="shared" si="82"/>
        <v>0</v>
      </c>
      <c r="S465" s="795">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6">
        <f t="shared" si="82"/>
        <v>0</v>
      </c>
      <c r="S466" s="795">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6">
        <f t="shared" si="82"/>
        <v>0</v>
      </c>
      <c r="S467" s="795">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6">
        <f t="shared" si="82"/>
        <v>0</v>
      </c>
      <c r="S468" s="795">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6">
        <f t="shared" si="82"/>
        <v>0</v>
      </c>
      <c r="S469" s="795">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6">
        <f t="shared" si="82"/>
        <v>0</v>
      </c>
      <c r="S470" s="795">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6">
        <f t="shared" si="82"/>
        <v>0</v>
      </c>
      <c r="S471" s="795">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6">
        <f t="shared" si="82"/>
        <v>0</v>
      </c>
      <c r="S472" s="795">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6">
        <f t="shared" si="82"/>
        <v>0</v>
      </c>
      <c r="S473" s="795">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6">
        <f t="shared" ref="R474:R524" si="93">IF(B474="",0,ROUND($R$24*C474*E474*G474*I474*K474*M474*O474*Q474,0))</f>
        <v>0</v>
      </c>
      <c r="S474" s="795">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6">
        <f t="shared" si="93"/>
        <v>0</v>
      </c>
      <c r="S475" s="795">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6">
        <f t="shared" si="93"/>
        <v>0</v>
      </c>
      <c r="S476" s="795">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6">
        <f t="shared" si="93"/>
        <v>0</v>
      </c>
      <c r="S477" s="795">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6">
        <f t="shared" si="93"/>
        <v>0</v>
      </c>
      <c r="S478" s="795">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6">
        <f t="shared" si="93"/>
        <v>0</v>
      </c>
      <c r="S479" s="795">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6">
        <f t="shared" si="93"/>
        <v>0</v>
      </c>
      <c r="S480" s="795">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6">
        <f t="shared" si="93"/>
        <v>0</v>
      </c>
      <c r="S481" s="795">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6">
        <f t="shared" si="93"/>
        <v>0</v>
      </c>
      <c r="S482" s="795">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6">
        <f t="shared" si="93"/>
        <v>0</v>
      </c>
      <c r="S483" s="795">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6">
        <f t="shared" si="93"/>
        <v>0</v>
      </c>
      <c r="S484" s="795">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6">
        <f t="shared" si="93"/>
        <v>0</v>
      </c>
      <c r="S485" s="795">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6">
        <f t="shared" si="93"/>
        <v>0</v>
      </c>
      <c r="S486" s="795">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6">
        <f t="shared" si="93"/>
        <v>0</v>
      </c>
      <c r="S487" s="795">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6">
        <f t="shared" si="93"/>
        <v>0</v>
      </c>
      <c r="S488" s="795">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6">
        <f t="shared" si="93"/>
        <v>0</v>
      </c>
      <c r="S489" s="795">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6">
        <f t="shared" si="93"/>
        <v>0</v>
      </c>
      <c r="S490" s="795">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6">
        <f t="shared" si="93"/>
        <v>0</v>
      </c>
      <c r="S491" s="795">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6">
        <f t="shared" si="93"/>
        <v>0</v>
      </c>
      <c r="S492" s="795">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6">
        <f t="shared" si="93"/>
        <v>0</v>
      </c>
      <c r="S493" s="795">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6">
        <f t="shared" si="93"/>
        <v>0</v>
      </c>
      <c r="S494" s="795">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6">
        <f t="shared" si="93"/>
        <v>0</v>
      </c>
      <c r="S495" s="795">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6">
        <f t="shared" si="93"/>
        <v>0</v>
      </c>
      <c r="S496" s="795">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6">
        <f t="shared" si="93"/>
        <v>0</v>
      </c>
      <c r="S497" s="795">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6">
        <f t="shared" si="93"/>
        <v>0</v>
      </c>
      <c r="S498" s="795">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6">
        <f t="shared" si="93"/>
        <v>0</v>
      </c>
      <c r="S499" s="795">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6">
        <f t="shared" si="93"/>
        <v>0</v>
      </c>
      <c r="S500" s="795">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6">
        <f t="shared" si="93"/>
        <v>0</v>
      </c>
      <c r="S501" s="795">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6">
        <f t="shared" si="93"/>
        <v>0</v>
      </c>
      <c r="S502" s="795">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6">
        <f t="shared" si="93"/>
        <v>0</v>
      </c>
      <c r="S503" s="795">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6">
        <f t="shared" si="93"/>
        <v>0</v>
      </c>
      <c r="S504" s="795">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6">
        <f t="shared" si="93"/>
        <v>0</v>
      </c>
      <c r="S505" s="795">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6">
        <f t="shared" si="93"/>
        <v>0</v>
      </c>
      <c r="S506" s="795">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6">
        <f t="shared" si="93"/>
        <v>0</v>
      </c>
      <c r="S507" s="795">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6">
        <f t="shared" si="93"/>
        <v>0</v>
      </c>
      <c r="S508" s="795">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6">
        <f t="shared" si="93"/>
        <v>0</v>
      </c>
      <c r="S509" s="795">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6">
        <f t="shared" si="93"/>
        <v>0</v>
      </c>
      <c r="S510" s="795">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6">
        <f t="shared" si="93"/>
        <v>0</v>
      </c>
      <c r="S511" s="795">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6">
        <f t="shared" si="93"/>
        <v>0</v>
      </c>
      <c r="S512" s="795">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6">
        <f t="shared" si="93"/>
        <v>0</v>
      </c>
      <c r="S513" s="795">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6">
        <f t="shared" si="93"/>
        <v>0</v>
      </c>
      <c r="S514" s="795">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6">
        <f t="shared" si="93"/>
        <v>0</v>
      </c>
      <c r="S515" s="795">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6">
        <f t="shared" si="93"/>
        <v>0</v>
      </c>
      <c r="S516" s="795">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6">
        <f t="shared" si="93"/>
        <v>0</v>
      </c>
      <c r="S517" s="795">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6">
        <f t="shared" si="93"/>
        <v>0</v>
      </c>
      <c r="S518" s="795">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6">
        <f t="shared" si="93"/>
        <v>0</v>
      </c>
      <c r="S519" s="795">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6">
        <f t="shared" si="93"/>
        <v>0</v>
      </c>
      <c r="S520" s="795">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6">
        <f t="shared" si="93"/>
        <v>0</v>
      </c>
      <c r="S521" s="795">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6">
        <f t="shared" si="93"/>
        <v>0</v>
      </c>
      <c r="S522" s="795">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6">
        <f t="shared" si="93"/>
        <v>0</v>
      </c>
      <c r="S523" s="795">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2795</v>
      </c>
      <c r="C1" s="3024">
        <f>项目基本情况!D3</f>
        <v>43133</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2826</v>
      </c>
      <c r="C2" s="3025">
        <f>'数据-取费表'!B22</f>
        <v>2</v>
      </c>
      <c r="D2" s="3020" t="s">
        <v>2796</v>
      </c>
      <c r="E2" s="3023">
        <f ca="1">INDIRECT("I"&amp;$I$1)/100</f>
        <v>4.7500000000000001E-2</v>
      </c>
      <c r="G2" s="2960"/>
      <c r="H2" s="2960"/>
      <c r="I2" s="2960" t="s">
        <v>2797</v>
      </c>
      <c r="K2" s="2960"/>
      <c r="L2" s="2960"/>
      <c r="M2" s="2960"/>
      <c r="N2" s="2960" t="s">
        <v>2798</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2828</v>
      </c>
      <c r="C3" s="3022">
        <f>'数据-取费表'!B19</f>
        <v>0</v>
      </c>
      <c r="D3" s="3020" t="s">
        <v>2796</v>
      </c>
      <c r="E3" s="3023">
        <f ca="1">INDIRECT("J"&amp;$J$1)/100</f>
        <v>0</v>
      </c>
      <c r="G3" s="2962" t="s">
        <v>2799</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2827</v>
      </c>
      <c r="C4" s="3023">
        <f ca="1">N4/100</f>
        <v>1.4999999999999999E-2</v>
      </c>
      <c r="G4" s="2968" t="s">
        <v>2800</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2801</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2802</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2803</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2804</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2805</v>
      </c>
      <c r="C10" s="2987"/>
      <c r="D10" s="2987"/>
      <c r="E10" s="2987"/>
      <c r="F10" s="2987"/>
      <c r="G10" s="2987"/>
      <c r="H10" s="2987"/>
      <c r="I10" s="2961"/>
      <c r="J10" s="2961"/>
      <c r="K10" s="2987"/>
      <c r="L10" s="2988" t="s">
        <v>2806</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2807</v>
      </c>
      <c r="C11" s="2992" t="s">
        <v>2808</v>
      </c>
      <c r="D11" s="2993" t="s">
        <v>2809</v>
      </c>
      <c r="E11" s="2994"/>
      <c r="F11" s="2993" t="s">
        <v>2810</v>
      </c>
      <c r="G11" s="2995"/>
      <c r="H11" s="2994"/>
      <c r="I11" s="2993" t="s">
        <v>2811</v>
      </c>
      <c r="J11" s="2994"/>
      <c r="K11" s="2990"/>
      <c r="L11" s="2991" t="s">
        <v>2807</v>
      </c>
      <c r="M11" s="2992" t="s">
        <v>2808</v>
      </c>
      <c r="N11" s="2991" t="s">
        <v>2812</v>
      </c>
      <c r="O11" s="2993" t="s">
        <v>2813</v>
      </c>
      <c r="P11" s="2995"/>
      <c r="Q11" s="2995"/>
      <c r="R11" s="2995"/>
      <c r="S11" s="2995"/>
      <c r="T11" s="2994"/>
      <c r="U11" s="2993" t="s">
        <v>2814</v>
      </c>
      <c r="V11" s="2995"/>
      <c r="W11" s="2994"/>
      <c r="X11" s="2991" t="s">
        <v>2815</v>
      </c>
      <c r="Y11" s="2991" t="s">
        <v>2816</v>
      </c>
      <c r="Z11" s="2991" t="s">
        <v>2817</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2818</v>
      </c>
      <c r="E12" s="3000" t="s">
        <v>2819</v>
      </c>
      <c r="F12" s="3000" t="s">
        <v>2820</v>
      </c>
      <c r="G12" s="3000" t="s">
        <v>2821</v>
      </c>
      <c r="H12" s="3000" t="s">
        <v>2803</v>
      </c>
      <c r="I12" s="3001" t="s">
        <v>2822</v>
      </c>
      <c r="J12" s="3001" t="s">
        <v>2822</v>
      </c>
      <c r="K12" s="2997"/>
      <c r="L12" s="2998"/>
      <c r="M12" s="2999"/>
      <c r="N12" s="2998"/>
      <c r="O12" s="3001" t="s">
        <v>2823</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2824</v>
      </c>
      <c r="C13" s="3005">
        <v>42301</v>
      </c>
      <c r="D13" s="3006">
        <v>4.3499999999999996</v>
      </c>
      <c r="E13" s="3006">
        <v>4.3499999999999996</v>
      </c>
      <c r="F13" s="3006">
        <v>4.75</v>
      </c>
      <c r="G13" s="3006">
        <v>4.75</v>
      </c>
      <c r="H13" s="3006">
        <v>4.9000000000000004</v>
      </c>
      <c r="I13" s="3006">
        <v>2.75</v>
      </c>
      <c r="J13" s="3006">
        <v>3.25</v>
      </c>
      <c r="K13" s="3003"/>
      <c r="L13" s="3004" t="s">
        <v>2824</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2825</v>
      </c>
      <c r="Y42" s="3010" t="s">
        <v>2825</v>
      </c>
      <c r="Z42" s="3010" t="s">
        <v>2825</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2825</v>
      </c>
      <c r="Y43" s="3010" t="s">
        <v>2825</v>
      </c>
      <c r="Z43" s="3010" t="s">
        <v>2825</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2825</v>
      </c>
      <c r="Y44" s="3010" t="s">
        <v>2825</v>
      </c>
      <c r="Z44" s="3010" t="s">
        <v>2825</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2825</v>
      </c>
      <c r="Y45" s="3010" t="s">
        <v>2825</v>
      </c>
      <c r="Z45" s="3010" t="s">
        <v>2825</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2825</v>
      </c>
      <c r="Y46" s="3010" t="s">
        <v>2825</v>
      </c>
      <c r="Z46" s="3010" t="s">
        <v>2825</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2825</v>
      </c>
      <c r="Y47" s="3010" t="s">
        <v>2825</v>
      </c>
      <c r="Z47" s="3010" t="s">
        <v>2825</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2825</v>
      </c>
      <c r="Y48" s="3010" t="s">
        <v>2825</v>
      </c>
      <c r="Z48" s="3010" t="s">
        <v>2825</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2825</v>
      </c>
      <c r="Y49" s="3010" t="s">
        <v>2825</v>
      </c>
      <c r="Z49" s="3010" t="s">
        <v>2825</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2825</v>
      </c>
      <c r="Y50" s="3010" t="s">
        <v>2825</v>
      </c>
      <c r="Z50" s="3010" t="s">
        <v>2825</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2825</v>
      </c>
      <c r="V51" s="3010" t="s">
        <v>2825</v>
      </c>
      <c r="W51" s="3010" t="s">
        <v>2825</v>
      </c>
      <c r="X51" s="3010" t="s">
        <v>2825</v>
      </c>
      <c r="Y51" s="3010" t="s">
        <v>2825</v>
      </c>
      <c r="Z51" s="3010" t="s">
        <v>2825</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2825</v>
      </c>
      <c r="J55" s="3010" t="s">
        <v>2825</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35</v>
      </c>
      <c r="D1" s="3149" t="s">
        <v>3382</v>
      </c>
      <c r="E1" s="2406" t="s">
        <v>871</v>
      </c>
      <c r="F1" s="2407">
        <f ca="1">J53</f>
        <v>47.33</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40222</v>
      </c>
      <c r="C2" s="2052"/>
      <c r="D2" s="2050"/>
      <c r="E2" s="2051"/>
      <c r="F2" s="2051"/>
      <c r="G2" s="1584"/>
      <c r="H2" s="2052"/>
      <c r="I2" s="2052"/>
      <c r="J2" s="2052"/>
      <c r="K2" s="2053"/>
      <c r="L2" s="2052"/>
      <c r="M2" s="2052"/>
    </row>
    <row r="3" spans="1:33" ht="18" customHeight="1" thickBot="1">
      <c r="A3" s="829" t="s">
        <v>796</v>
      </c>
      <c r="B3" s="830">
        <f ca="1">IF(ISERROR(B2*10000/F43),0,ROUND(B2*10000/F43,0))</f>
        <v>10550</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1977</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1977</v>
      </c>
      <c r="D6" s="2516" t="s">
        <v>2468</v>
      </c>
      <c r="E6" s="780" t="s">
        <v>638</v>
      </c>
      <c r="F6" s="781">
        <f ca="1">INDIRECT("'数据-取费表'!u"&amp;$G$1)</f>
        <v>1500</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1292</v>
      </c>
      <c r="G7" s="1586"/>
      <c r="H7" s="2508"/>
      <c r="I7" s="3775"/>
      <c r="J7" s="784"/>
      <c r="K7" s="785"/>
      <c r="L7" s="780" t="s">
        <v>639</v>
      </c>
      <c r="M7" s="781">
        <f ca="1">F7</f>
        <v>1292</v>
      </c>
    </row>
    <row r="8" spans="1:33" ht="18" customHeight="1">
      <c r="A8" s="2512"/>
      <c r="B8" s="3776"/>
      <c r="C8" s="784"/>
      <c r="D8" s="785"/>
      <c r="E8" s="780" t="s">
        <v>640</v>
      </c>
      <c r="F8" s="781">
        <f ca="1">INDIRECT("'数据-取费表'!ai"&amp;$G$1)</f>
        <v>12</v>
      </c>
      <c r="G8" s="1586"/>
      <c r="H8" s="2508"/>
      <c r="I8" s="3776"/>
      <c r="J8" s="784"/>
      <c r="K8" s="785"/>
      <c r="L8" s="780" t="s">
        <v>640</v>
      </c>
      <c r="M8" s="781">
        <f ca="1">INDIRECT("'数据-取费表'!ai"&amp;$G$1)</f>
        <v>12</v>
      </c>
    </row>
    <row r="9" spans="1:33" ht="18" customHeight="1">
      <c r="A9" s="782"/>
      <c r="B9" s="3777"/>
      <c r="C9" s="784"/>
      <c r="D9" s="785"/>
      <c r="E9" s="780" t="s">
        <v>641</v>
      </c>
      <c r="F9" s="790">
        <f ca="1">INDIRECT("'数据-取费表'!w"&amp;$G$1)</f>
        <v>0.15</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0</v>
      </c>
      <c r="D10" s="2520" t="s">
        <v>2472</v>
      </c>
      <c r="E10" s="2517" t="s">
        <v>2470</v>
      </c>
      <c r="F10" s="3519"/>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14928</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11283</v>
      </c>
      <c r="D14" s="3476" t="s">
        <v>647</v>
      </c>
      <c r="E14" s="3477"/>
      <c r="F14" s="801"/>
      <c r="G14" s="1586"/>
      <c r="H14" s="1643" t="s">
        <v>1826</v>
      </c>
      <c r="I14" s="2226" t="s">
        <v>2832</v>
      </c>
      <c r="J14" s="52">
        <f ca="1">C29</f>
        <v>14928</v>
      </c>
      <c r="K14" s="25"/>
      <c r="L14" s="797"/>
      <c r="M14" s="798"/>
    </row>
    <row r="15" spans="1:33" s="2059" customFormat="1" ht="18" customHeight="1" thickBot="1">
      <c r="A15" s="1642" t="s">
        <v>1834</v>
      </c>
      <c r="B15" s="780" t="s">
        <v>648</v>
      </c>
      <c r="C15" s="52">
        <f ca="1">ROUND(C14*F15,0)</f>
        <v>338</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351</v>
      </c>
      <c r="K16" s="1816" t="s">
        <v>653</v>
      </c>
      <c r="L16" s="3478"/>
      <c r="M16" s="2510"/>
    </row>
    <row r="17" spans="1:33" s="2059" customFormat="1" ht="18" customHeight="1">
      <c r="A17" s="1642" t="s">
        <v>1889</v>
      </c>
      <c r="B17" s="780" t="s">
        <v>654</v>
      </c>
      <c r="C17" s="52">
        <f ca="1">ROUND(F17*(F43+INDIRECT("'数据-取费表'!S"&amp;$G$1))/10000,0)</f>
        <v>922</v>
      </c>
      <c r="D17" s="780" t="s">
        <v>655</v>
      </c>
      <c r="E17" s="780" t="s">
        <v>656</v>
      </c>
      <c r="F17" s="55">
        <f>'数据-取费表'!B35</f>
        <v>200</v>
      </c>
      <c r="G17" s="1587"/>
      <c r="H17" s="1643" t="s">
        <v>1826</v>
      </c>
      <c r="I17" s="780" t="s">
        <v>657</v>
      </c>
      <c r="J17" s="52">
        <f ca="1">ROUND(IF(项目基本情况!B11="自然人",J5*M17,J18+J19+J20),0)</f>
        <v>127</v>
      </c>
      <c r="K17" s="3476" t="s">
        <v>658</v>
      </c>
      <c r="L17" s="3475"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169</v>
      </c>
      <c r="D18" s="780" t="s">
        <v>649</v>
      </c>
      <c r="E18" s="780" t="s">
        <v>650</v>
      </c>
      <c r="F18" s="805">
        <f>'数据-取费表'!B36</f>
        <v>1.4999999999999999E-2</v>
      </c>
      <c r="G18" s="1587"/>
      <c r="H18" s="1642" t="s">
        <v>1833</v>
      </c>
      <c r="I18" s="780" t="s">
        <v>661</v>
      </c>
      <c r="J18" s="52">
        <f ca="1">ROUND(J5*M18/1.05,1)</f>
        <v>0</v>
      </c>
      <c r="K18" s="3475"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12712</v>
      </c>
      <c r="D19" s="257" t="s">
        <v>664</v>
      </c>
      <c r="E19" s="3480"/>
      <c r="F19" s="55"/>
      <c r="G19" s="1586"/>
      <c r="H19" s="1642" t="s">
        <v>1834</v>
      </c>
      <c r="I19" s="780" t="s">
        <v>665</v>
      </c>
      <c r="J19" s="52">
        <f ca="1">IF(K19="按租金收入计税",ROUND(J5*M19,1),ROUND(C29*F33*0.7,1))</f>
        <v>125.4</v>
      </c>
      <c r="K19" s="807" t="s">
        <v>666</v>
      </c>
      <c r="L19" s="780" t="s">
        <v>650</v>
      </c>
      <c r="M19" s="805">
        <f>IF(K19="按租金收入计税",'数据-取费表'!B51,'数据-取费表'!B50)</f>
        <v>1.2E-2</v>
      </c>
    </row>
    <row r="20" spans="1:33" s="2059" customFormat="1" ht="18" customHeight="1">
      <c r="A20" s="1643" t="s">
        <v>1891</v>
      </c>
      <c r="B20" s="780" t="s">
        <v>667</v>
      </c>
      <c r="C20" s="52">
        <f ca="1">ROUND(C19*F20,0)</f>
        <v>254</v>
      </c>
      <c r="D20" s="808" t="s">
        <v>668</v>
      </c>
      <c r="E20" s="780" t="s">
        <v>650</v>
      </c>
      <c r="F20" s="805">
        <f>'数据-取费表'!B37</f>
        <v>0.02</v>
      </c>
      <c r="G20" s="1587"/>
      <c r="H20" s="1645" t="s">
        <v>1835</v>
      </c>
      <c r="I20" s="337" t="s">
        <v>669</v>
      </c>
      <c r="J20" s="53">
        <f ca="1">ROUND(M20*M21/10000,0)</f>
        <v>2</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14832.27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480"/>
      <c r="F22" s="55"/>
      <c r="G22" s="1586"/>
      <c r="H22" s="1643" t="s">
        <v>1891</v>
      </c>
      <c r="I22" s="780" t="s">
        <v>677</v>
      </c>
      <c r="J22" s="52">
        <f ca="1">ROUND(J14*M22,0)</f>
        <v>224</v>
      </c>
      <c r="K22" s="3475"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616</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475"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480"/>
      <c r="F25" s="55"/>
      <c r="G25" s="1586"/>
      <c r="H25" s="1824" t="s">
        <v>1778</v>
      </c>
      <c r="I25" s="3030" t="s">
        <v>2829</v>
      </c>
      <c r="J25" s="788">
        <f ca="1">J5-J16</f>
        <v>-351</v>
      </c>
      <c r="K25" s="2567" t="s">
        <v>701</v>
      </c>
      <c r="L25" s="2568"/>
      <c r="M25" s="2569"/>
    </row>
    <row r="26" spans="1:33" ht="18" customHeight="1">
      <c r="A26" s="1642" t="s">
        <v>1833</v>
      </c>
      <c r="B26" s="780" t="s">
        <v>2443</v>
      </c>
      <c r="C26" s="52">
        <f ca="1">ROUND((C19+C20)*F26,0)</f>
        <v>389</v>
      </c>
      <c r="D26" s="808" t="s">
        <v>702</v>
      </c>
      <c r="E26" s="791" t="s">
        <v>703</v>
      </c>
      <c r="F26" s="790">
        <f ca="1">INDIRECT("'数据-取费表'!q"&amp;$G$1)</f>
        <v>0.03</v>
      </c>
      <c r="G26" s="1586"/>
      <c r="H26" s="2521" t="s">
        <v>1782</v>
      </c>
      <c r="I26" s="2227" t="s">
        <v>2834</v>
      </c>
      <c r="J26" s="779">
        <f ca="1">IF(J5&lt;&gt;0,ROUND(J25*(1-((1+M28)/(1+M26))^M27)/(M26-M28),0),0)</f>
        <v>0</v>
      </c>
      <c r="K26" s="810" t="s">
        <v>705</v>
      </c>
      <c r="L26" s="780" t="s">
        <v>2424</v>
      </c>
      <c r="M26" s="790">
        <f ca="1">INDIRECT("'数据-取费表'!I"&amp;$G$1)</f>
        <v>0.05</v>
      </c>
    </row>
    <row r="27" spans="1:33" ht="18" customHeight="1">
      <c r="A27" s="1642" t="s">
        <v>1834</v>
      </c>
      <c r="B27" s="780" t="s">
        <v>687</v>
      </c>
      <c r="C27" s="52">
        <f ca="1">ROUND(F21*F26,4)</f>
        <v>2.9999999999999997E-4</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14928</v>
      </c>
      <c r="D29" s="2564"/>
      <c r="E29" s="2565"/>
      <c r="F29" s="2566"/>
      <c r="G29" s="1587"/>
      <c r="H29" s="819" t="s">
        <v>1789</v>
      </c>
      <c r="I29" s="820" t="s">
        <v>1790</v>
      </c>
      <c r="J29" s="821">
        <f ca="1">ROUND(J26/(1+F40)^F41,0)</f>
        <v>0</v>
      </c>
      <c r="K29" s="822" t="s">
        <v>689</v>
      </c>
      <c r="L29" s="823"/>
      <c r="M29" s="824">
        <f ca="1">INDIRECT("'数据-取费表'!k"&amp;$G$1)</f>
        <v>38124.199999999997</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499</v>
      </c>
      <c r="D30" s="1816" t="s">
        <v>653</v>
      </c>
      <c r="E30" s="3478"/>
      <c r="F30" s="2510"/>
      <c r="G30" s="2057"/>
      <c r="H30" s="2060"/>
      <c r="I30" s="2061"/>
      <c r="J30" s="2062"/>
      <c r="K30" s="2063"/>
      <c r="L30" s="2064"/>
      <c r="M30" s="2065"/>
    </row>
    <row r="31" spans="1:33" ht="18" customHeight="1">
      <c r="A31" s="1643" t="s">
        <v>1826</v>
      </c>
      <c r="B31" s="780" t="s">
        <v>657</v>
      </c>
      <c r="C31" s="52">
        <f ca="1">ROUND(IF(项目基本情况!B11="自然人",C5*F31,C32+C33+C34),1)</f>
        <v>233</v>
      </c>
      <c r="D31" s="3476" t="s">
        <v>658</v>
      </c>
      <c r="E31" s="3475"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105.4</v>
      </c>
      <c r="D32" s="3475"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125.4</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2.2000000000000002</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14832.27</v>
      </c>
      <c r="G35" s="2057"/>
      <c r="H35" s="2060"/>
      <c r="I35" s="833" t="s">
        <v>1816</v>
      </c>
      <c r="J35" s="834">
        <f ca="1">ROUND(C13*J36,0)</f>
        <v>1194</v>
      </c>
      <c r="K35" s="2073"/>
      <c r="L35" s="2072"/>
      <c r="M35" s="2072"/>
    </row>
    <row r="36" spans="1:18" ht="18" customHeight="1">
      <c r="A36" s="1643" t="s">
        <v>1891</v>
      </c>
      <c r="B36" s="780" t="s">
        <v>677</v>
      </c>
      <c r="C36" s="52">
        <f ca="1">ROUND(C29*F36,1)</f>
        <v>223.9</v>
      </c>
      <c r="D36" s="3475"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22.4</v>
      </c>
      <c r="D37" s="3475"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19.8</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1478</v>
      </c>
      <c r="D39" s="2567" t="s">
        <v>701</v>
      </c>
      <c r="E39" s="2568"/>
      <c r="F39" s="2569"/>
      <c r="G39" s="2057"/>
      <c r="H39" s="2072"/>
      <c r="I39" s="833" t="s">
        <v>1820</v>
      </c>
      <c r="J39" s="841">
        <f ca="1">ROUND(J35/C39,3)</f>
        <v>0.80800000000000005</v>
      </c>
      <c r="K39" s="2078"/>
      <c r="L39" s="2072"/>
      <c r="M39" s="2072"/>
    </row>
    <row r="40" spans="1:18" ht="18" customHeight="1">
      <c r="A40" s="777" t="s">
        <v>1782</v>
      </c>
      <c r="B40" s="2227" t="s">
        <v>2305</v>
      </c>
      <c r="C40" s="779">
        <f ca="1">ROUND(C39*(1-((1+F42)/(1+F40))^F41)/(F40-F42),0)</f>
        <v>40222</v>
      </c>
      <c r="D40" s="810" t="s">
        <v>705</v>
      </c>
      <c r="E40" s="780" t="s">
        <v>2424</v>
      </c>
      <c r="F40" s="790">
        <f ca="1">INDIRECT("'数据-取费表'!I"&amp;$G$1)</f>
        <v>0.05</v>
      </c>
      <c r="G40" s="2057"/>
      <c r="H40" s="2057"/>
      <c r="I40" s="833" t="s">
        <v>1821</v>
      </c>
      <c r="J40" s="841">
        <f ca="1">1-J39</f>
        <v>0.19199999999999995</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47.33</v>
      </c>
      <c r="G41" s="2057"/>
      <c r="H41" s="1983"/>
      <c r="I41" s="839" t="s">
        <v>1822</v>
      </c>
      <c r="J41" s="842"/>
      <c r="K41" s="2077"/>
      <c r="L41" s="1983"/>
      <c r="M41" s="1983"/>
    </row>
    <row r="42" spans="1:18" ht="18" customHeight="1">
      <c r="A42" s="786"/>
      <c r="B42" s="787"/>
      <c r="C42" s="788"/>
      <c r="D42" s="812"/>
      <c r="E42" s="780" t="s">
        <v>711</v>
      </c>
      <c r="F42" s="790">
        <f ca="1">INDIRECT("'数据-取费表'!v"&amp;$G$1)</f>
        <v>2.5000000000000001E-2</v>
      </c>
      <c r="G42" s="2057"/>
      <c r="H42" s="1983"/>
      <c r="I42" s="843" t="s">
        <v>1823</v>
      </c>
      <c r="J42" s="841">
        <f ca="1">ROUND(C13/C40,3)</f>
        <v>0.371</v>
      </c>
      <c r="K42" s="2077"/>
      <c r="L42" s="1983"/>
      <c r="M42" s="1983"/>
    </row>
    <row r="43" spans="1:18" ht="18" customHeight="1" thickBot="1">
      <c r="A43" s="819" t="s">
        <v>1789</v>
      </c>
      <c r="B43" s="820" t="s">
        <v>1812</v>
      </c>
      <c r="C43" s="821">
        <f ca="1">ROUND(C40*10000/F43,0)</f>
        <v>10550</v>
      </c>
      <c r="D43" s="822" t="s">
        <v>1813</v>
      </c>
      <c r="E43" s="823" t="s">
        <v>1814</v>
      </c>
      <c r="F43" s="824">
        <f ca="1">INDIRECT("'数据-取费表'!k"&amp;$G$1)</f>
        <v>38124.199999999997</v>
      </c>
      <c r="G43" s="2057"/>
      <c r="H43" s="1983"/>
      <c r="I43" s="843" t="s">
        <v>1824</v>
      </c>
      <c r="J43" s="844">
        <f ca="1">1-J42</f>
        <v>0.629</v>
      </c>
      <c r="K43" s="2077"/>
      <c r="L43" s="1983"/>
      <c r="M43" s="1983"/>
    </row>
    <row r="44" spans="1:18" s="2054" customFormat="1" ht="18" customHeight="1">
      <c r="A44" s="2080"/>
      <c r="B44" s="2080"/>
      <c r="C44" s="2097"/>
      <c r="D44" s="2080">
        <f ca="1">C40/F7</f>
        <v>31.131578947368421</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-46959</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49.33</v>
      </c>
      <c r="O48" s="2417" t="s">
        <v>2384</v>
      </c>
      <c r="P48" s="2418" t="s">
        <v>2410</v>
      </c>
      <c r="Q48" s="2419">
        <f ca="1">C40+J29</f>
        <v>40222</v>
      </c>
      <c r="R48" s="2418" t="s">
        <v>2385</v>
      </c>
    </row>
    <row r="49" spans="1:18" s="2054" customFormat="1" ht="18" customHeight="1" thickBot="1">
      <c r="A49" s="782"/>
      <c r="B49" s="783"/>
      <c r="C49" s="784"/>
      <c r="D49" s="785"/>
      <c r="E49" s="780" t="s">
        <v>639</v>
      </c>
      <c r="F49" s="781">
        <f ca="1">F7</f>
        <v>1292</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12</v>
      </c>
      <c r="G50" s="2090"/>
      <c r="H50" s="2088"/>
      <c r="I50" s="2378" t="s">
        <v>2351</v>
      </c>
      <c r="J50" s="2391">
        <f>SUMPRODUCT((I63:I65=J47)*(J62:L62=J48)*(J63:L65))</f>
        <v>60</v>
      </c>
      <c r="K50" s="2389" t="s">
        <v>2358</v>
      </c>
      <c r="L50" s="2390"/>
      <c r="O50" s="2420" t="s">
        <v>2388</v>
      </c>
      <c r="P50" s="2418" t="s">
        <v>2412</v>
      </c>
      <c r="Q50" s="2419">
        <f ca="1">C29</f>
        <v>14928</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5587</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47.33</v>
      </c>
      <c r="K53" s="3780" t="s">
        <v>2972</v>
      </c>
      <c r="L53" s="3781"/>
      <c r="O53" s="2420" t="s">
        <v>2393</v>
      </c>
      <c r="P53" s="2418" t="s">
        <v>2394</v>
      </c>
      <c r="Q53" s="2419">
        <f ca="1">J53</f>
        <v>47.33</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40222</v>
      </c>
      <c r="R54" s="2422" t="s">
        <v>2397</v>
      </c>
    </row>
    <row r="55" spans="1:18" s="2054" customFormat="1" ht="18" customHeight="1" thickTop="1" thickBot="1">
      <c r="A55" s="793">
        <v>2</v>
      </c>
      <c r="B55" s="794" t="s">
        <v>645</v>
      </c>
      <c r="C55" s="795">
        <f ca="1">C13</f>
        <v>14928</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14928</v>
      </c>
      <c r="D56" s="3475"/>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374</v>
      </c>
      <c r="D57" s="25" t="s">
        <v>653</v>
      </c>
      <c r="E57" s="3480"/>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40222</v>
      </c>
      <c r="R57" s="2418" t="s">
        <v>2385</v>
      </c>
    </row>
    <row r="58" spans="1:18" s="2054" customFormat="1" ht="28.5" customHeight="1" thickBot="1">
      <c r="A58" s="1643" t="s">
        <v>1826</v>
      </c>
      <c r="B58" s="780" t="s">
        <v>657</v>
      </c>
      <c r="C58" s="52">
        <f ca="1">ROUND(IF(项目基本情况!B11="自然人",C47*F58,C59+C60+C61),1)</f>
        <v>127.6</v>
      </c>
      <c r="D58" s="3476" t="s">
        <v>658</v>
      </c>
      <c r="E58" s="3475"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475"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125.4</v>
      </c>
      <c r="D60" s="3475"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2.2000000000000002</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14832.27</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223.9</v>
      </c>
      <c r="D63" s="3475" t="s">
        <v>692</v>
      </c>
      <c r="E63" s="780" t="s">
        <v>650</v>
      </c>
      <c r="F63" s="813">
        <f t="shared" ca="1" si="0"/>
        <v>1.4999999999999999E-2</v>
      </c>
      <c r="I63" s="2404" t="s">
        <v>2375</v>
      </c>
      <c r="J63" s="2405">
        <v>70</v>
      </c>
      <c r="K63" s="2405">
        <v>50</v>
      </c>
      <c r="L63" s="2405">
        <v>80</v>
      </c>
      <c r="M63" s="3123">
        <v>0.02</v>
      </c>
      <c r="O63" s="2417" t="s">
        <v>2396</v>
      </c>
      <c r="P63" s="2418" t="s">
        <v>2413</v>
      </c>
      <c r="Q63" s="2419">
        <f ca="1">Q57+Q58</f>
        <v>40222</v>
      </c>
      <c r="R63" s="2422" t="s">
        <v>2397</v>
      </c>
    </row>
    <row r="64" spans="1:18" s="2054" customFormat="1" ht="16.5" thickBot="1">
      <c r="A64" s="1643" t="s">
        <v>1892</v>
      </c>
      <c r="B64" s="780" t="s">
        <v>680</v>
      </c>
      <c r="C64" s="52">
        <f ca="1">ROUND(C55*F64,1)</f>
        <v>22.4</v>
      </c>
      <c r="D64" s="3475"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475"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-374</v>
      </c>
      <c r="D66" s="3476" t="s">
        <v>701</v>
      </c>
      <c r="E66" s="3479"/>
      <c r="F66" s="816"/>
      <c r="K66" s="2081"/>
      <c r="O66" s="2417" t="s">
        <v>2384</v>
      </c>
      <c r="P66" s="2418" t="s">
        <v>2410</v>
      </c>
      <c r="Q66" s="2419">
        <f ca="1">C40+J29</f>
        <v>40222</v>
      </c>
      <c r="R66" s="2418" t="s">
        <v>2385</v>
      </c>
    </row>
    <row r="67" spans="1:18" s="2054" customFormat="1" ht="20.25" thickBot="1">
      <c r="A67" s="777" t="s">
        <v>1782</v>
      </c>
      <c r="B67" s="2227" t="s">
        <v>2305</v>
      </c>
      <c r="C67" s="779">
        <f ca="1">ROUND(C66*(1-((1+F69)/(1+F67))^F68)/(F67-F69),0)</f>
        <v>-6737</v>
      </c>
      <c r="D67" s="810" t="s">
        <v>705</v>
      </c>
      <c r="E67" s="780" t="s">
        <v>706</v>
      </c>
      <c r="F67" s="790">
        <f ca="1">F40</f>
        <v>0.05</v>
      </c>
      <c r="K67" s="2081"/>
      <c r="O67" s="2417" t="s">
        <v>2386</v>
      </c>
      <c r="P67" s="2418" t="s">
        <v>2417</v>
      </c>
      <c r="Q67" s="2419">
        <f ca="1">L60</f>
        <v>0</v>
      </c>
      <c r="R67" s="2422" t="s">
        <v>2419</v>
      </c>
    </row>
    <row r="68" spans="1:18" ht="21.75" thickBot="1">
      <c r="A68" s="782"/>
      <c r="B68" s="783"/>
      <c r="C68" s="784"/>
      <c r="D68" s="817" t="s">
        <v>1810</v>
      </c>
      <c r="E68" s="780" t="s">
        <v>709</v>
      </c>
      <c r="F68" s="818">
        <f ca="1">F41</f>
        <v>47.33</v>
      </c>
      <c r="O68" s="2420" t="s">
        <v>2388</v>
      </c>
      <c r="P68" s="2418" t="s">
        <v>2418</v>
      </c>
      <c r="Q68" s="2424">
        <f ca="1">L51</f>
        <v>5587</v>
      </c>
      <c r="R68" s="2425" t="s">
        <v>2421</v>
      </c>
    </row>
    <row r="69" spans="1:18" ht="20.25" thickBot="1">
      <c r="A69" s="786"/>
      <c r="B69" s="787"/>
      <c r="C69" s="788"/>
      <c r="D69" s="812"/>
      <c r="E69" s="780" t="s">
        <v>711</v>
      </c>
      <c r="F69" s="2366"/>
      <c r="O69" s="2420" t="s">
        <v>2389</v>
      </c>
      <c r="P69" s="2426" t="s">
        <v>2403</v>
      </c>
      <c r="Q69" s="2419">
        <f ca="1">ROUND(Q70-Q71*Q72,0)</f>
        <v>284</v>
      </c>
      <c r="R69" s="2422"/>
    </row>
    <row r="70" spans="1:18" ht="15.75" thickBot="1">
      <c r="A70" s="819" t="s">
        <v>1789</v>
      </c>
      <c r="B70" s="820" t="s">
        <v>1812</v>
      </c>
      <c r="C70" s="821">
        <f ca="1">ROUND(C67*10000/F70,0)</f>
        <v>-1767</v>
      </c>
      <c r="D70" s="822" t="s">
        <v>1813</v>
      </c>
      <c r="E70" s="823" t="s">
        <v>1814</v>
      </c>
      <c r="F70" s="824">
        <f ca="1">F43</f>
        <v>38124.199999999997</v>
      </c>
      <c r="O70" s="2420" t="s">
        <v>2404</v>
      </c>
      <c r="P70" s="2426" t="s">
        <v>2405</v>
      </c>
      <c r="Q70" s="2419">
        <f ca="1">C39</f>
        <v>1478</v>
      </c>
      <c r="R70" s="2418" t="s">
        <v>2385</v>
      </c>
    </row>
    <row r="71" spans="1:18" ht="15.75" thickBot="1">
      <c r="O71" s="2420" t="s">
        <v>2406</v>
      </c>
      <c r="P71" s="2426" t="s">
        <v>2407</v>
      </c>
      <c r="Q71" s="2419">
        <f ca="1">C13</f>
        <v>14928</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40222</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822" t="s">
        <v>2583</v>
      </c>
      <c r="C1" s="3822"/>
      <c r="D1" s="3822"/>
      <c r="E1" s="3822"/>
      <c r="F1" s="3822"/>
      <c r="G1" s="3821" t="s">
        <v>2584</v>
      </c>
      <c r="H1" s="3821"/>
      <c r="I1" s="3821"/>
      <c r="J1" s="3821"/>
      <c r="K1" s="3821"/>
      <c r="L1" s="3821"/>
      <c r="N1" s="3821" t="s">
        <v>2585</v>
      </c>
      <c r="O1" s="3821"/>
      <c r="P1" s="3821"/>
      <c r="Q1" s="3821"/>
      <c r="R1" s="2674"/>
      <c r="S1" s="3821" t="s">
        <v>2586</v>
      </c>
      <c r="T1" s="3821"/>
      <c r="U1" s="3821"/>
      <c r="V1" s="3821"/>
      <c r="X1" s="3820" t="s">
        <v>2646</v>
      </c>
      <c r="Y1" s="3821"/>
      <c r="Z1" s="3821"/>
      <c r="AA1" s="3821"/>
      <c r="AB1" s="3821"/>
      <c r="AD1" s="3820" t="s">
        <v>2650</v>
      </c>
      <c r="AE1" s="3821"/>
      <c r="AF1" s="3821"/>
      <c r="AG1" s="3821"/>
      <c r="AH1" s="3821"/>
    </row>
    <row r="2" spans="1:34" s="2776" customFormat="1" ht="14.25" thickBot="1">
      <c r="B2" s="2784" t="s">
        <v>2587</v>
      </c>
      <c r="C2" s="2784" t="s">
        <v>2648</v>
      </c>
      <c r="D2" s="2777" t="s">
        <v>1646</v>
      </c>
      <c r="E2" s="2777" t="s">
        <v>1953</v>
      </c>
      <c r="F2" s="2784" t="s">
        <v>2649</v>
      </c>
      <c r="G2" s="2780"/>
      <c r="H2" s="2779"/>
      <c r="I2" s="2784" t="s">
        <v>2962</v>
      </c>
      <c r="J2" s="2777" t="s">
        <v>2964</v>
      </c>
      <c r="K2" s="2777" t="s">
        <v>2965</v>
      </c>
      <c r="L2" s="2784" t="s">
        <v>2966</v>
      </c>
      <c r="N2" s="2784" t="s">
        <v>2587</v>
      </c>
      <c r="O2" s="2777" t="s">
        <v>2963</v>
      </c>
      <c r="P2" s="2777" t="s">
        <v>1953</v>
      </c>
      <c r="Q2" s="2784" t="s">
        <v>2649</v>
      </c>
      <c r="R2" s="2778"/>
      <c r="S2" s="2784" t="s">
        <v>2587</v>
      </c>
      <c r="T2" s="2777" t="s">
        <v>2963</v>
      </c>
      <c r="U2" s="2777" t="s">
        <v>1953</v>
      </c>
      <c r="V2" s="2784" t="s">
        <v>2649</v>
      </c>
      <c r="X2" s="2784" t="s">
        <v>2587</v>
      </c>
      <c r="Y2" s="2784" t="s">
        <v>2648</v>
      </c>
      <c r="Z2" s="2777" t="s">
        <v>1646</v>
      </c>
      <c r="AA2" s="2777" t="s">
        <v>1953</v>
      </c>
      <c r="AB2" s="2784" t="s">
        <v>2649</v>
      </c>
      <c r="AD2" s="2784" t="s">
        <v>2587</v>
      </c>
      <c r="AE2" s="2784" t="s">
        <v>2648</v>
      </c>
      <c r="AF2" s="2777" t="s">
        <v>1646</v>
      </c>
      <c r="AG2" s="2777" t="s">
        <v>1953</v>
      </c>
      <c r="AH2" s="2784" t="s">
        <v>2649</v>
      </c>
    </row>
    <row r="3" spans="1:34" s="3158" customFormat="1" ht="14.25">
      <c r="A3" s="3170" t="s">
        <v>2976</v>
      </c>
      <c r="B3" s="3159"/>
      <c r="C3" s="3159"/>
      <c r="D3" s="3160"/>
      <c r="E3" s="3160"/>
      <c r="F3" s="3159"/>
      <c r="G3" s="3161"/>
      <c r="H3" s="3162"/>
      <c r="I3" s="3169">
        <f>ROUND(AVERAGE($I6:$I21),2)</f>
        <v>2.4500000000000002</v>
      </c>
      <c r="J3" s="3169">
        <f>ROUND(AVERAGE($J6:$J21),2)</f>
        <v>1.65</v>
      </c>
      <c r="K3" s="3169">
        <f>ROUND(AVERAGE($K6:$K21),2)</f>
        <v>2.71</v>
      </c>
      <c r="L3" s="3169">
        <f>ROUND(AVERAGE($L6:$L21),2)</f>
        <v>1.39</v>
      </c>
      <c r="N3" s="3161"/>
      <c r="O3" s="3163"/>
      <c r="P3" s="3163"/>
      <c r="Q3" s="3163"/>
      <c r="R3" s="3163"/>
      <c r="S3" s="3161"/>
      <c r="T3" s="3163"/>
      <c r="U3" s="3163"/>
      <c r="V3" s="3163"/>
      <c r="W3" s="3166"/>
      <c r="X3" s="3164">
        <f>ROUND(SUMPRODUCT(PRODUCT(1+N3:N$20)),4)</f>
        <v>1.4274</v>
      </c>
      <c r="Y3" s="3164">
        <f>ROUND(SUMPRODUCT(PRODUCT(1+O3:O$20)),4)</f>
        <v>1.2685</v>
      </c>
      <c r="Z3" s="3164">
        <f t="shared" ref="Z3:Z18" si="0">Y3</f>
        <v>1.2685</v>
      </c>
      <c r="AA3" s="3164">
        <f>ROUND(SUMPRODUCT(PRODUCT(1+P3:P$20)),4)</f>
        <v>1.4825999999999999</v>
      </c>
      <c r="AB3" s="3164">
        <f>ROUND(SUMPRODUCT(PRODUCT(1+Q3:Q$20)),4)</f>
        <v>1.2309000000000001</v>
      </c>
      <c r="AD3" s="3165">
        <f>ROUND(AVERAGE(I3:I$21)/100,4)</f>
        <v>2.3099999999999999E-2</v>
      </c>
      <c r="AE3" s="3165">
        <f>ROUND(AVERAGE(J3:J$21)/100,4)</f>
        <v>1.5599999999999999E-2</v>
      </c>
      <c r="AF3" s="3165">
        <f t="shared" ref="AF3:AF19" si="1">AE3</f>
        <v>1.5599999999999999E-2</v>
      </c>
      <c r="AG3" s="3165">
        <f>ROUND(AVERAGE(K3:K$21)/100,4)</f>
        <v>2.5600000000000001E-2</v>
      </c>
      <c r="AH3" s="3165">
        <f>ROUND(AVERAGE(L3:L$21)/100,4)</f>
        <v>1.32E-2</v>
      </c>
    </row>
    <row r="4" spans="1:34" s="2769" customFormat="1" ht="14.25">
      <c r="B4" s="2770"/>
      <c r="C4" s="2770"/>
      <c r="D4" s="2771"/>
      <c r="E4" s="2771"/>
      <c r="F4" s="2770"/>
      <c r="G4" s="2775"/>
      <c r="H4" s="2772"/>
      <c r="I4" s="3151"/>
      <c r="J4" s="3151"/>
      <c r="K4" s="3151"/>
      <c r="L4" s="3151"/>
      <c r="N4" s="2775"/>
      <c r="O4" s="2773"/>
      <c r="P4" s="2773"/>
      <c r="Q4" s="2773"/>
      <c r="R4" s="2773"/>
      <c r="S4" s="2775"/>
      <c r="T4" s="2773"/>
      <c r="U4" s="2773"/>
      <c r="V4" s="2773"/>
      <c r="W4" s="3167"/>
      <c r="X4" s="2774"/>
      <c r="Y4" s="2774"/>
      <c r="Z4" s="2774"/>
      <c r="AA4" s="2774"/>
      <c r="AB4" s="2774"/>
      <c r="AD4" s="2694"/>
      <c r="AE4" s="2694"/>
      <c r="AF4" s="2694"/>
      <c r="AG4" s="2694"/>
      <c r="AH4" s="2694"/>
    </row>
    <row r="5" spans="1:34" s="3137" customFormat="1" ht="13.5" thickBot="1">
      <c r="A5" s="3135" t="s">
        <v>2975</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6">
        <v>1</v>
      </c>
      <c r="I5" s="3152">
        <v>0</v>
      </c>
      <c r="J5" s="3152">
        <v>0</v>
      </c>
      <c r="K5" s="3152">
        <v>0</v>
      </c>
      <c r="L5" s="3152">
        <v>0</v>
      </c>
      <c r="N5" s="2782">
        <f t="shared" ref="N5:N10" si="6">I5/100</f>
        <v>0</v>
      </c>
      <c r="O5" s="2782">
        <f t="shared" ref="O5" si="7">J5/100</f>
        <v>0</v>
      </c>
      <c r="P5" s="2782">
        <f t="shared" ref="P5" si="8">K5/100</f>
        <v>0</v>
      </c>
      <c r="Q5" s="2782">
        <f t="shared" ref="Q5" si="9">L5/100</f>
        <v>0</v>
      </c>
      <c r="R5" s="3138"/>
      <c r="S5" s="3139"/>
      <c r="T5" s="3138"/>
      <c r="U5" s="3138"/>
      <c r="V5" s="3138"/>
      <c r="W5" s="3168" t="s">
        <v>2977</v>
      </c>
      <c r="X5" s="3140">
        <f>ROUND(SUMPRODUCT(PRODUCT(1+N5:N$20)),4)</f>
        <v>1.4274</v>
      </c>
      <c r="Y5" s="3140">
        <f>ROUND(SUMPRODUCT(PRODUCT(1+O5:O$20)),4)</f>
        <v>1.2685</v>
      </c>
      <c r="Z5" s="3140">
        <f t="shared" ref="Z5" si="10">Y5</f>
        <v>1.2685</v>
      </c>
      <c r="AA5" s="3140">
        <f>ROUND(SUMPRODUCT(PRODUCT(1+P5:P$20)),4)</f>
        <v>1.4825999999999999</v>
      </c>
      <c r="AB5" s="3140">
        <f>ROUND(SUMPRODUCT(PRODUCT(1+Q5:Q$20)),4)</f>
        <v>1.2309000000000001</v>
      </c>
      <c r="AD5" s="3141">
        <f>ROUND(AVERAGE(I5:I$21)/100,4)</f>
        <v>2.3E-2</v>
      </c>
      <c r="AE5" s="3141">
        <f>ROUND(AVERAGE(J5:J$21)/100,4)</f>
        <v>1.55E-2</v>
      </c>
      <c r="AF5" s="3141">
        <f t="shared" ref="AF5" si="11">AE5</f>
        <v>1.55E-2</v>
      </c>
      <c r="AG5" s="3141">
        <f>ROUND(AVERAGE(K5:K$21)/100,4)</f>
        <v>2.5499999999999998E-2</v>
      </c>
      <c r="AH5" s="3141">
        <f>ROUND(AVERAGE(L5:L$21)/100,4)</f>
        <v>1.3100000000000001E-2</v>
      </c>
    </row>
    <row r="6" spans="1:34">
      <c r="A6" s="2675" t="s">
        <v>2973</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5">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2978</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7"/>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2588</v>
      </c>
      <c r="B8" s="2689">
        <f t="shared" si="19"/>
        <v>419.31181600000002</v>
      </c>
      <c r="C8" s="2689">
        <f t="shared" si="19"/>
        <v>313.95436800000004</v>
      </c>
      <c r="D8" s="2689">
        <f t="shared" si="3"/>
        <v>313.95436800000004</v>
      </c>
      <c r="E8" s="2689">
        <f t="shared" si="20"/>
        <v>596.63028431999999</v>
      </c>
      <c r="F8" s="2689">
        <f t="shared" si="20"/>
        <v>274.74220703999998</v>
      </c>
      <c r="G8" s="3156"/>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2589</v>
      </c>
      <c r="B9" s="2689">
        <f t="shared" si="19"/>
        <v>405.524</v>
      </c>
      <c r="C9" s="2689">
        <f t="shared" si="19"/>
        <v>307.79840000000002</v>
      </c>
      <c r="D9" s="2689">
        <f t="shared" si="3"/>
        <v>307.79840000000002</v>
      </c>
      <c r="E9" s="2689">
        <f t="shared" si="20"/>
        <v>574.67759999999998</v>
      </c>
      <c r="F9" s="2689">
        <f t="shared" si="20"/>
        <v>270.20280000000002</v>
      </c>
      <c r="G9" s="3157"/>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972</v>
      </c>
      <c r="B10" s="2681">
        <v>392</v>
      </c>
      <c r="C10" s="2681">
        <v>302</v>
      </c>
      <c r="D10" s="2681">
        <f t="shared" si="3"/>
        <v>302</v>
      </c>
      <c r="E10" s="2681">
        <v>553</v>
      </c>
      <c r="F10" s="2682">
        <v>266</v>
      </c>
      <c r="G10" s="3819">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971</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817"/>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961</v>
      </c>
      <c r="B12" s="2689">
        <f t="shared" si="28"/>
        <v>360.06949782209392</v>
      </c>
      <c r="C12" s="2689">
        <f t="shared" si="28"/>
        <v>289.84672674747821</v>
      </c>
      <c r="D12" s="2689">
        <f t="shared" si="29"/>
        <v>289.84672674747821</v>
      </c>
      <c r="E12" s="2689">
        <f t="shared" si="30"/>
        <v>501.06543001181495</v>
      </c>
      <c r="F12" s="2689">
        <f t="shared" si="30"/>
        <v>256.82882500744967</v>
      </c>
      <c r="G12" s="3817"/>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970</v>
      </c>
      <c r="B13" s="2689">
        <f t="shared" si="28"/>
        <v>346.720748986128</v>
      </c>
      <c r="C13" s="2689">
        <f t="shared" si="28"/>
        <v>284.30282172386285</v>
      </c>
      <c r="D13" s="2689">
        <f t="shared" si="29"/>
        <v>284.30282172386285</v>
      </c>
      <c r="E13" s="2689">
        <f t="shared" si="30"/>
        <v>479.58023546306947</v>
      </c>
      <c r="F13" s="2689">
        <f t="shared" si="30"/>
        <v>253.25788877571213</v>
      </c>
      <c r="G13" s="3818"/>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969</v>
      </c>
      <c r="B14" s="2681">
        <v>333</v>
      </c>
      <c r="C14" s="2681">
        <v>277</v>
      </c>
      <c r="D14" s="2681">
        <f t="shared" si="29"/>
        <v>277</v>
      </c>
      <c r="E14" s="2681">
        <v>459</v>
      </c>
      <c r="F14" s="2682">
        <v>249</v>
      </c>
      <c r="G14" s="3816">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968</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817"/>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967</v>
      </c>
      <c r="B16" s="2689">
        <f t="shared" si="32"/>
        <v>322.34053690220776</v>
      </c>
      <c r="C16" s="2689">
        <f t="shared" si="32"/>
        <v>271.46160770422546</v>
      </c>
      <c r="D16" s="2689">
        <f t="shared" si="29"/>
        <v>271.46160770422546</v>
      </c>
      <c r="E16" s="2689">
        <f t="shared" si="33"/>
        <v>442.69434542172456</v>
      </c>
      <c r="F16" s="2689">
        <f t="shared" si="33"/>
        <v>241.34030753190925</v>
      </c>
      <c r="G16" s="3817"/>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966</v>
      </c>
      <c r="B17" s="2689">
        <f t="shared" si="32"/>
        <v>319.87748030386797</v>
      </c>
      <c r="C17" s="2689">
        <f t="shared" si="32"/>
        <v>269.60135833173649</v>
      </c>
      <c r="D17" s="2689">
        <f t="shared" si="29"/>
        <v>269.60135833173649</v>
      </c>
      <c r="E17" s="2689">
        <f t="shared" si="33"/>
        <v>439.18089823583784</v>
      </c>
      <c r="F17" s="2689">
        <f t="shared" si="33"/>
        <v>239.23503918706311</v>
      </c>
      <c r="G17" s="3818"/>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965</v>
      </c>
      <c r="B18" s="2703">
        <v>318</v>
      </c>
      <c r="C18" s="2703">
        <v>268</v>
      </c>
      <c r="D18" s="2703">
        <f t="shared" si="29"/>
        <v>268</v>
      </c>
      <c r="E18" s="2703">
        <v>437</v>
      </c>
      <c r="F18" s="2704">
        <v>237</v>
      </c>
      <c r="G18" s="3816">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964</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817"/>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963</v>
      </c>
      <c r="B20" s="2689">
        <f t="shared" si="34"/>
        <v>314.72141172386546</v>
      </c>
      <c r="C20" s="2689">
        <f t="shared" si="34"/>
        <v>263.03901319069001</v>
      </c>
      <c r="D20" s="2689">
        <f t="shared" si="29"/>
        <v>263.03901319069001</v>
      </c>
      <c r="E20" s="2689">
        <f t="shared" si="35"/>
        <v>433.65745506782821</v>
      </c>
      <c r="F20" s="2689">
        <f t="shared" si="35"/>
        <v>233.23005080045735</v>
      </c>
      <c r="G20" s="3817"/>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962</v>
      </c>
      <c r="B21" s="2708">
        <f t="shared" si="34"/>
        <v>307.34512863658733</v>
      </c>
      <c r="C21" s="2708">
        <f t="shared" si="34"/>
        <v>257.80556031626975</v>
      </c>
      <c r="D21" s="2708">
        <f t="shared" si="29"/>
        <v>257.80556031626975</v>
      </c>
      <c r="E21" s="2708">
        <f t="shared" si="35"/>
        <v>422.70928459677179</v>
      </c>
      <c r="F21" s="2708">
        <f t="shared" si="35"/>
        <v>229.73803270336617</v>
      </c>
      <c r="G21" s="3818"/>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2647</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2590</v>
      </c>
      <c r="B22" s="2681">
        <v>299</v>
      </c>
      <c r="C22" s="2681">
        <v>252</v>
      </c>
      <c r="D22" s="2681">
        <f t="shared" si="29"/>
        <v>252</v>
      </c>
      <c r="E22" s="2681">
        <v>409</v>
      </c>
      <c r="F22" s="2682">
        <v>227</v>
      </c>
      <c r="G22" s="3823">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2591</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824"/>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2592</v>
      </c>
      <c r="B24" s="2689">
        <f t="shared" si="38"/>
        <v>288.2649053828776</v>
      </c>
      <c r="C24" s="2689">
        <f t="shared" si="38"/>
        <v>243.64564425013293</v>
      </c>
      <c r="D24" s="2689">
        <f t="shared" si="29"/>
        <v>243.64564425013293</v>
      </c>
      <c r="E24" s="2689">
        <f t="shared" si="39"/>
        <v>393.31080825986544</v>
      </c>
      <c r="F24" s="2689">
        <f t="shared" si="39"/>
        <v>223.07903790551154</v>
      </c>
      <c r="G24" s="3824"/>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2593</v>
      </c>
      <c r="B25" s="2689">
        <f t="shared" si="38"/>
        <v>282.50186729015837</v>
      </c>
      <c r="C25" s="2689">
        <f t="shared" si="38"/>
        <v>238.09796174155468</v>
      </c>
      <c r="D25" s="2689">
        <f t="shared" si="29"/>
        <v>238.09796174155468</v>
      </c>
      <c r="E25" s="2689">
        <f t="shared" si="39"/>
        <v>385.33438646014054</v>
      </c>
      <c r="F25" s="2689">
        <f t="shared" si="39"/>
        <v>221.55034055567739</v>
      </c>
      <c r="G25" s="3825"/>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2594</v>
      </c>
      <c r="B26" s="2719">
        <v>278</v>
      </c>
      <c r="C26" s="2719">
        <v>234</v>
      </c>
      <c r="D26" s="2719">
        <f t="shared" si="29"/>
        <v>234</v>
      </c>
      <c r="E26" s="2719">
        <v>379</v>
      </c>
      <c r="F26" s="2720">
        <v>220</v>
      </c>
      <c r="G26" s="3816">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2595</v>
      </c>
      <c r="B27" s="2689">
        <f>B26/(1+N26)</f>
        <v>275.49301357645425</v>
      </c>
      <c r="C27" s="2689">
        <f>C26/(1+O26)</f>
        <v>232.41954707985698</v>
      </c>
      <c r="D27" s="2689">
        <f t="shared" si="29"/>
        <v>232.41954707985698</v>
      </c>
      <c r="E27" s="2689">
        <f t="shared" ref="E27:F29" si="40">E26/(1+P26)</f>
        <v>375.32184591008121</v>
      </c>
      <c r="F27" s="2689">
        <f t="shared" si="40"/>
        <v>218.03766105054513</v>
      </c>
      <c r="G27" s="3817"/>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2596</v>
      </c>
      <c r="B28" s="2689">
        <f>B27/(1+N27)</f>
        <v>275.24529281292263</v>
      </c>
      <c r="C28" s="2689">
        <f>C27/(1+O27)</f>
        <v>231.74747938962707</v>
      </c>
      <c r="D28" s="2689">
        <f t="shared" si="29"/>
        <v>231.74747938962707</v>
      </c>
      <c r="E28" s="2689">
        <f t="shared" si="40"/>
        <v>375.35938184826603</v>
      </c>
      <c r="F28" s="2689">
        <f t="shared" si="40"/>
        <v>216.78033510692495</v>
      </c>
      <c r="G28" s="3817"/>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2597</v>
      </c>
      <c r="B29" s="2689">
        <f>B28/(1+N28)</f>
        <v>275.19025476197027</v>
      </c>
      <c r="C29" s="2721">
        <v>232</v>
      </c>
      <c r="D29" s="2721">
        <f t="shared" si="29"/>
        <v>232</v>
      </c>
      <c r="E29" s="2689">
        <f t="shared" si="40"/>
        <v>375.65990977608692</v>
      </c>
      <c r="F29" s="2689">
        <f t="shared" si="40"/>
        <v>214.12518283971252</v>
      </c>
      <c r="G29" s="3818"/>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2598</v>
      </c>
      <c r="B30" s="2681">
        <v>275</v>
      </c>
      <c r="C30" s="2681">
        <v>232</v>
      </c>
      <c r="D30" s="2681">
        <f t="shared" si="29"/>
        <v>232</v>
      </c>
      <c r="E30" s="2681">
        <v>376</v>
      </c>
      <c r="F30" s="2682">
        <v>213</v>
      </c>
      <c r="G30" s="3816">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2599</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817">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2600</v>
      </c>
      <c r="B32" s="2689">
        <f t="shared" si="41"/>
        <v>275.19335084830601</v>
      </c>
      <c r="C32" s="2689">
        <f t="shared" si="41"/>
        <v>230.18088050139744</v>
      </c>
      <c r="D32" s="2689">
        <f t="shared" si="29"/>
        <v>230.18088050139744</v>
      </c>
      <c r="E32" s="2689">
        <f t="shared" si="42"/>
        <v>377.58482925212331</v>
      </c>
      <c r="F32" s="2689">
        <f t="shared" si="42"/>
        <v>210.90687997847917</v>
      </c>
      <c r="G32" s="3817">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2601</v>
      </c>
      <c r="B33" s="2689">
        <f t="shared" si="41"/>
        <v>276.29854502841971</v>
      </c>
      <c r="C33" s="2689">
        <f t="shared" si="41"/>
        <v>229.79023709833027</v>
      </c>
      <c r="D33" s="2689">
        <f t="shared" si="29"/>
        <v>229.79023709833027</v>
      </c>
      <c r="E33" s="2689">
        <f t="shared" si="42"/>
        <v>379.78759731655936</v>
      </c>
      <c r="F33" s="2689">
        <f t="shared" si="42"/>
        <v>211.32953905659235</v>
      </c>
      <c r="G33" s="3818">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2602</v>
      </c>
      <c r="B34" s="2681">
        <v>269</v>
      </c>
      <c r="C34" s="2681">
        <v>221</v>
      </c>
      <c r="D34" s="2681">
        <f t="shared" si="29"/>
        <v>221</v>
      </c>
      <c r="E34" s="2681">
        <v>373</v>
      </c>
      <c r="F34" s="2682">
        <v>196</v>
      </c>
      <c r="G34" s="3816">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2603</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817">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2604</v>
      </c>
      <c r="B36" s="2689">
        <f t="shared" si="43"/>
        <v>242.95398227588385</v>
      </c>
      <c r="C36" s="2689">
        <f t="shared" si="43"/>
        <v>199.59137053614126</v>
      </c>
      <c r="D36" s="2689">
        <f t="shared" si="29"/>
        <v>199.59137053614126</v>
      </c>
      <c r="E36" s="2689">
        <f t="shared" si="44"/>
        <v>335.92189522342125</v>
      </c>
      <c r="F36" s="2689">
        <f t="shared" si="44"/>
        <v>183.10139991109489</v>
      </c>
      <c r="G36" s="3817">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2605</v>
      </c>
      <c r="B37" s="2689">
        <f t="shared" si="43"/>
        <v>232.06990378821649</v>
      </c>
      <c r="C37" s="2689">
        <f t="shared" si="43"/>
        <v>192.74878854286936</v>
      </c>
      <c r="D37" s="2689">
        <f t="shared" si="29"/>
        <v>192.74878854286936</v>
      </c>
      <c r="E37" s="2689">
        <f t="shared" si="44"/>
        <v>319.71247284992984</v>
      </c>
      <c r="F37" s="2689">
        <f t="shared" si="44"/>
        <v>175.67053622862409</v>
      </c>
      <c r="G37" s="3818">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2606</v>
      </c>
      <c r="B38" s="2681">
        <v>220</v>
      </c>
      <c r="C38" s="2681">
        <v>187</v>
      </c>
      <c r="D38" s="2681">
        <f t="shared" si="29"/>
        <v>187</v>
      </c>
      <c r="E38" s="2681">
        <v>301</v>
      </c>
      <c r="F38" s="2682">
        <v>168</v>
      </c>
      <c r="G38" s="3816">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2607</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817">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2608</v>
      </c>
      <c r="B40" s="2689">
        <f t="shared" si="45"/>
        <v>210.630522469011</v>
      </c>
      <c r="C40" s="2689">
        <f t="shared" si="45"/>
        <v>181.69567812247232</v>
      </c>
      <c r="D40" s="2689">
        <f t="shared" si="29"/>
        <v>181.69567812247232</v>
      </c>
      <c r="E40" s="2689">
        <f t="shared" si="46"/>
        <v>286.13517466736738</v>
      </c>
      <c r="F40" s="2689">
        <f t="shared" si="46"/>
        <v>165.47535084591149</v>
      </c>
      <c r="G40" s="3817">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2609</v>
      </c>
      <c r="B41" s="2689">
        <f t="shared" si="45"/>
        <v>208.83454537875372</v>
      </c>
      <c r="C41" s="2689">
        <f t="shared" si="45"/>
        <v>183.77230517090351</v>
      </c>
      <c r="D41" s="2689">
        <f t="shared" si="29"/>
        <v>183.77230517090351</v>
      </c>
      <c r="E41" s="2689">
        <f t="shared" si="46"/>
        <v>281.10342338870947</v>
      </c>
      <c r="F41" s="2689">
        <f t="shared" si="46"/>
        <v>168.97309388942256</v>
      </c>
      <c r="G41" s="3818">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2610</v>
      </c>
      <c r="B42" s="2719">
        <v>214</v>
      </c>
      <c r="C42" s="2719">
        <v>188</v>
      </c>
      <c r="D42" s="2719">
        <f t="shared" si="29"/>
        <v>188</v>
      </c>
      <c r="E42" s="2719">
        <v>289</v>
      </c>
      <c r="F42" s="2720">
        <v>166</v>
      </c>
      <c r="G42" s="3816">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2611</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817">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2612</v>
      </c>
      <c r="B44" s="2689">
        <f t="shared" si="47"/>
        <v>206.31694671589116</v>
      </c>
      <c r="C44" s="2689">
        <f t="shared" si="47"/>
        <v>183.61041121036101</v>
      </c>
      <c r="D44" s="2689">
        <f t="shared" si="29"/>
        <v>183.61041121036101</v>
      </c>
      <c r="E44" s="2689">
        <f t="shared" si="48"/>
        <v>276.66850301795557</v>
      </c>
      <c r="F44" s="2689">
        <f t="shared" si="48"/>
        <v>165.1360938278614</v>
      </c>
      <c r="G44" s="3817">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2613</v>
      </c>
      <c r="B45" s="2722">
        <f t="shared" si="47"/>
        <v>196.62341248059772</v>
      </c>
      <c r="C45" s="2722">
        <f t="shared" si="47"/>
        <v>170.99125648199012</v>
      </c>
      <c r="D45" s="2722">
        <f t="shared" si="29"/>
        <v>170.99125648199012</v>
      </c>
      <c r="E45" s="2722">
        <f t="shared" si="48"/>
        <v>266.07857570490052</v>
      </c>
      <c r="F45" s="2722">
        <f t="shared" si="48"/>
        <v>154.53499328828505</v>
      </c>
      <c r="G45" s="3818">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2614</v>
      </c>
      <c r="B46" s="2681">
        <v>188</v>
      </c>
      <c r="C46" s="2681">
        <v>165</v>
      </c>
      <c r="D46" s="2681">
        <f t="shared" si="29"/>
        <v>165</v>
      </c>
      <c r="E46" s="2681">
        <v>254</v>
      </c>
      <c r="F46" s="2682">
        <v>148</v>
      </c>
      <c r="G46" s="3816">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2615</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817">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2616</v>
      </c>
      <c r="B48" s="2689">
        <f t="shared" si="51"/>
        <v>168.82017748715555</v>
      </c>
      <c r="C48" s="2689">
        <f t="shared" si="51"/>
        <v>148.06267029972753</v>
      </c>
      <c r="D48" s="2689">
        <f t="shared" si="29"/>
        <v>148.06267029972753</v>
      </c>
      <c r="E48" s="2689">
        <f t="shared" si="52"/>
        <v>216.46288379323747</v>
      </c>
      <c r="F48" s="2689">
        <f t="shared" si="52"/>
        <v>134.23529411764704</v>
      </c>
      <c r="G48" s="3817">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2617</v>
      </c>
      <c r="B49" s="2689">
        <f t="shared" si="51"/>
        <v>163.84913591779542</v>
      </c>
      <c r="C49" s="2689">
        <f t="shared" si="51"/>
        <v>145.0283378746594</v>
      </c>
      <c r="D49" s="2689">
        <f t="shared" si="29"/>
        <v>145.0283378746594</v>
      </c>
      <c r="E49" s="2689">
        <f t="shared" si="52"/>
        <v>204.95180722891567</v>
      </c>
      <c r="F49" s="2689">
        <f t="shared" si="52"/>
        <v>125.95920303605313</v>
      </c>
      <c r="G49" s="3818">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2618</v>
      </c>
      <c r="B50" s="2703">
        <v>159</v>
      </c>
      <c r="C50" s="2703">
        <v>141</v>
      </c>
      <c r="D50" s="2703">
        <f t="shared" si="29"/>
        <v>141</v>
      </c>
      <c r="E50" s="2703">
        <v>195</v>
      </c>
      <c r="F50" s="2704">
        <v>122</v>
      </c>
      <c r="G50" s="3816">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2619</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817">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2620</v>
      </c>
      <c r="B52" s="2689">
        <f t="shared" si="55"/>
        <v>146.57412060301507</v>
      </c>
      <c r="C52" s="2689">
        <f t="shared" si="55"/>
        <v>136.46831955922866</v>
      </c>
      <c r="D52" s="2689">
        <f t="shared" si="29"/>
        <v>136.46831955922866</v>
      </c>
      <c r="E52" s="2689">
        <f t="shared" si="56"/>
        <v>166.73864894795128</v>
      </c>
      <c r="F52" s="2689">
        <f t="shared" si="56"/>
        <v>115.05882352941177</v>
      </c>
      <c r="G52" s="3817">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2621</v>
      </c>
      <c r="B53" s="2689">
        <f t="shared" si="55"/>
        <v>144.04145728643215</v>
      </c>
      <c r="C53" s="2689">
        <f t="shared" si="55"/>
        <v>136.12396694214877</v>
      </c>
      <c r="D53" s="2689">
        <f t="shared" si="29"/>
        <v>136.12396694214877</v>
      </c>
      <c r="E53" s="2689">
        <f t="shared" si="56"/>
        <v>158.32225913621264</v>
      </c>
      <c r="F53" s="2689">
        <f t="shared" si="56"/>
        <v>114.04278074866311</v>
      </c>
      <c r="G53" s="3818">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2622</v>
      </c>
      <c r="B54" s="2703">
        <v>138</v>
      </c>
      <c r="C54" s="2703">
        <v>131</v>
      </c>
      <c r="D54" s="2703">
        <f t="shared" si="29"/>
        <v>131</v>
      </c>
      <c r="E54" s="2703">
        <v>155</v>
      </c>
      <c r="F54" s="2704">
        <v>114</v>
      </c>
      <c r="G54" s="3816">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2623</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817">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2624</v>
      </c>
      <c r="B56" s="2689">
        <f t="shared" si="59"/>
        <v>124.29032258064517</v>
      </c>
      <c r="C56" s="2689">
        <f t="shared" si="59"/>
        <v>123.8968609865471</v>
      </c>
      <c r="D56" s="2689">
        <f t="shared" si="29"/>
        <v>123.8968609865471</v>
      </c>
      <c r="E56" s="2689">
        <f t="shared" si="60"/>
        <v>138.00507614213197</v>
      </c>
      <c r="F56" s="2689">
        <f t="shared" si="60"/>
        <v>107.96106557377048</v>
      </c>
      <c r="G56" s="3817">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2625</v>
      </c>
      <c r="B57" s="2689">
        <f t="shared" si="59"/>
        <v>122.57204301075269</v>
      </c>
      <c r="C57" s="2689">
        <f t="shared" si="59"/>
        <v>123.4932735426009</v>
      </c>
      <c r="D57" s="2689">
        <f t="shared" si="29"/>
        <v>123.4932735426009</v>
      </c>
      <c r="E57" s="2689">
        <f t="shared" si="60"/>
        <v>129.82233502538071</v>
      </c>
      <c r="F57" s="2689">
        <f t="shared" si="60"/>
        <v>107.39446721311475</v>
      </c>
      <c r="G57" s="3818">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2626</v>
      </c>
      <c r="B58" s="2719">
        <v>121</v>
      </c>
      <c r="C58" s="2719">
        <v>122</v>
      </c>
      <c r="D58" s="2719">
        <f t="shared" si="29"/>
        <v>122</v>
      </c>
      <c r="E58" s="2719">
        <v>124</v>
      </c>
      <c r="F58" s="2720">
        <v>107</v>
      </c>
      <c r="G58" s="3816">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2627</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817">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2628</v>
      </c>
      <c r="B60" s="2689">
        <f t="shared" si="63"/>
        <v>116.99099099099099</v>
      </c>
      <c r="C60" s="2689">
        <f t="shared" si="63"/>
        <v>118.84848484848486</v>
      </c>
      <c r="D60" s="2689">
        <f t="shared" si="29"/>
        <v>118.84848484848486</v>
      </c>
      <c r="E60" s="2689">
        <f t="shared" si="64"/>
        <v>117.60960960960961</v>
      </c>
      <c r="F60" s="2689">
        <f t="shared" si="64"/>
        <v>104</v>
      </c>
      <c r="G60" s="3817">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2629</v>
      </c>
      <c r="B61" s="2722">
        <f t="shared" si="63"/>
        <v>112.48648648648648</v>
      </c>
      <c r="C61" s="2722">
        <f t="shared" si="63"/>
        <v>115.21212121212122</v>
      </c>
      <c r="D61" s="2722">
        <f t="shared" si="29"/>
        <v>115.21212121212122</v>
      </c>
      <c r="E61" s="2722">
        <f t="shared" si="64"/>
        <v>110.4024024024024</v>
      </c>
      <c r="F61" s="2722">
        <f t="shared" si="64"/>
        <v>104</v>
      </c>
      <c r="G61" s="3818">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2630</v>
      </c>
      <c r="B62" s="2740">
        <v>111</v>
      </c>
      <c r="C62" s="2740">
        <v>114</v>
      </c>
      <c r="D62" s="2740">
        <f t="shared" si="29"/>
        <v>114</v>
      </c>
      <c r="E62" s="2740">
        <v>108</v>
      </c>
      <c r="F62" s="2741">
        <v>104</v>
      </c>
      <c r="G62" s="3816">
        <v>2003</v>
      </c>
      <c r="H62" s="2730">
        <v>4</v>
      </c>
      <c r="I62" s="2742"/>
      <c r="J62" s="2742"/>
      <c r="K62" s="2742"/>
      <c r="L62" s="2742"/>
      <c r="N62" s="2743"/>
      <c r="O62" s="2742"/>
      <c r="P62" s="2742"/>
      <c r="Q62" s="2742"/>
      <c r="S62" s="2743"/>
      <c r="T62" s="2742"/>
      <c r="U62" s="2742"/>
      <c r="V62" s="2742"/>
      <c r="X62" s="2734"/>
      <c r="Y62" s="2734"/>
      <c r="Z62" s="2734"/>
    </row>
    <row r="63" spans="1:26">
      <c r="A63" s="2675" t="s">
        <v>2631</v>
      </c>
      <c r="B63" s="2744">
        <f t="shared" ref="B63:C65" si="65">B64+(B$62-B$66)/4</f>
        <v>109.75</v>
      </c>
      <c r="C63" s="2744">
        <f t="shared" si="65"/>
        <v>112.25</v>
      </c>
      <c r="D63" s="2744">
        <f t="shared" si="29"/>
        <v>112.25</v>
      </c>
      <c r="E63" s="2744">
        <f t="shared" ref="E63:F65" si="66">E64+(E$62-E$66)/4</f>
        <v>107.25</v>
      </c>
      <c r="F63" s="2744">
        <f t="shared" si="66"/>
        <v>103.5</v>
      </c>
      <c r="G63" s="3817">
        <v>2003</v>
      </c>
      <c r="H63" s="2700">
        <v>3</v>
      </c>
      <c r="I63" s="2742"/>
      <c r="J63" s="2742"/>
      <c r="K63" s="2742"/>
      <c r="L63" s="2742"/>
      <c r="X63" s="2734"/>
      <c r="Y63" s="2734"/>
      <c r="Z63" s="2734"/>
    </row>
    <row r="64" spans="1:26">
      <c r="A64" s="2675" t="s">
        <v>2632</v>
      </c>
      <c r="B64" s="2744">
        <f t="shared" si="65"/>
        <v>108.5</v>
      </c>
      <c r="C64" s="2744">
        <f t="shared" si="65"/>
        <v>110.5</v>
      </c>
      <c r="D64" s="2744">
        <f t="shared" si="29"/>
        <v>110.5</v>
      </c>
      <c r="E64" s="2744">
        <f t="shared" si="66"/>
        <v>106.5</v>
      </c>
      <c r="F64" s="2744">
        <f t="shared" si="66"/>
        <v>103</v>
      </c>
      <c r="G64" s="3817">
        <v>2003</v>
      </c>
      <c r="H64" s="2680">
        <v>2</v>
      </c>
      <c r="I64" s="2742"/>
      <c r="J64" s="2742"/>
      <c r="K64" s="2742"/>
      <c r="L64" s="2742"/>
      <c r="X64" s="2734"/>
      <c r="Y64" s="2734"/>
      <c r="Z64" s="2734"/>
    </row>
    <row r="65" spans="1:26" ht="13.5" thickBot="1">
      <c r="A65" s="2675" t="s">
        <v>2633</v>
      </c>
      <c r="B65" s="2744">
        <f t="shared" si="65"/>
        <v>107.25</v>
      </c>
      <c r="C65" s="2744">
        <f t="shared" si="65"/>
        <v>108.75</v>
      </c>
      <c r="D65" s="2744">
        <f t="shared" si="29"/>
        <v>108.75</v>
      </c>
      <c r="E65" s="2744">
        <f t="shared" si="66"/>
        <v>105.75</v>
      </c>
      <c r="F65" s="2744">
        <f t="shared" si="66"/>
        <v>102.5</v>
      </c>
      <c r="G65" s="3818">
        <v>2003</v>
      </c>
      <c r="H65" s="2745">
        <v>1</v>
      </c>
      <c r="I65" s="2742"/>
      <c r="J65" s="2742"/>
      <c r="K65" s="2742"/>
      <c r="L65" s="2742"/>
      <c r="S65" s="2684"/>
      <c r="T65" s="2685"/>
      <c r="U65" s="2685"/>
      <c r="X65" s="2734"/>
      <c r="Y65" s="2734"/>
      <c r="Z65" s="2734"/>
    </row>
    <row r="66" spans="1:26" ht="13.5" thickBot="1">
      <c r="A66" s="2675" t="s">
        <v>2634</v>
      </c>
      <c r="B66" s="2746">
        <v>106</v>
      </c>
      <c r="C66" s="2746">
        <v>107</v>
      </c>
      <c r="D66" s="2746">
        <f t="shared" si="29"/>
        <v>107</v>
      </c>
      <c r="E66" s="2746">
        <v>105</v>
      </c>
      <c r="F66" s="2747">
        <v>102</v>
      </c>
      <c r="G66" s="3816">
        <v>2002</v>
      </c>
      <c r="H66" s="2695">
        <v>4</v>
      </c>
      <c r="I66" s="2742"/>
      <c r="J66" s="2742"/>
      <c r="K66" s="2742"/>
      <c r="L66" s="2742"/>
      <c r="N66" s="2743"/>
      <c r="O66" s="2742"/>
      <c r="P66" s="2742"/>
      <c r="Q66" s="2742"/>
      <c r="S66" s="2743"/>
      <c r="T66" s="2742"/>
      <c r="U66" s="2742"/>
      <c r="V66" s="2742"/>
      <c r="X66" s="2734"/>
      <c r="Y66" s="2734"/>
      <c r="Z66" s="2734"/>
    </row>
    <row r="67" spans="1:26">
      <c r="A67" s="2675" t="s">
        <v>2635</v>
      </c>
      <c r="B67" s="2744">
        <f t="shared" ref="B67:C69" si="67">B68+(B$66-B$70)/4</f>
        <v>105</v>
      </c>
      <c r="C67" s="2744">
        <f t="shared" si="67"/>
        <v>106</v>
      </c>
      <c r="D67" s="2744">
        <f t="shared" si="29"/>
        <v>106</v>
      </c>
      <c r="E67" s="2744">
        <f t="shared" ref="E67:F69" si="68">E68+(E$66-E$70)/4</f>
        <v>104.5</v>
      </c>
      <c r="F67" s="2744">
        <f t="shared" si="68"/>
        <v>101.5</v>
      </c>
      <c r="G67" s="3817">
        <v>2002</v>
      </c>
      <c r="H67" s="2700">
        <v>3</v>
      </c>
      <c r="I67" s="2742"/>
      <c r="J67" s="2742"/>
      <c r="K67" s="2742"/>
      <c r="L67" s="2742"/>
      <c r="X67" s="2734"/>
      <c r="Y67" s="2734"/>
      <c r="Z67" s="2734"/>
    </row>
    <row r="68" spans="1:26">
      <c r="A68" s="2675" t="s">
        <v>2636</v>
      </c>
      <c r="B68" s="2744">
        <f t="shared" si="67"/>
        <v>104</v>
      </c>
      <c r="C68" s="2744">
        <f t="shared" si="67"/>
        <v>105</v>
      </c>
      <c r="D68" s="2744">
        <f t="shared" si="29"/>
        <v>105</v>
      </c>
      <c r="E68" s="2744">
        <f t="shared" si="68"/>
        <v>104</v>
      </c>
      <c r="F68" s="2744">
        <f t="shared" si="68"/>
        <v>101</v>
      </c>
      <c r="G68" s="3817">
        <v>2002</v>
      </c>
      <c r="H68" s="2680">
        <v>2</v>
      </c>
      <c r="I68" s="2742"/>
      <c r="J68" s="2742"/>
      <c r="K68" s="2742"/>
      <c r="L68" s="2742"/>
      <c r="X68" s="2734"/>
      <c r="Y68" s="2734"/>
      <c r="Z68" s="2734"/>
    </row>
    <row r="69" spans="1:26" s="2711" customFormat="1" ht="13.5" thickBot="1">
      <c r="A69" s="2707" t="s">
        <v>2637</v>
      </c>
      <c r="B69" s="2748">
        <f t="shared" si="67"/>
        <v>103</v>
      </c>
      <c r="C69" s="2748">
        <f t="shared" si="67"/>
        <v>104</v>
      </c>
      <c r="D69" s="2748">
        <f t="shared" si="29"/>
        <v>104</v>
      </c>
      <c r="E69" s="2748">
        <f t="shared" si="68"/>
        <v>103.5</v>
      </c>
      <c r="F69" s="2748">
        <f t="shared" si="68"/>
        <v>100.5</v>
      </c>
      <c r="G69" s="3818">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2638</v>
      </c>
      <c r="G72" s="2758"/>
      <c r="N72" s="2758"/>
      <c r="S72" s="2758"/>
    </row>
    <row r="73" spans="1:26" s="2757" customFormat="1">
      <c r="A73" s="2757" t="s">
        <v>2639</v>
      </c>
      <c r="G73" s="2758"/>
      <c r="N73" s="2758"/>
      <c r="S73" s="2758"/>
    </row>
    <row r="74" spans="1:26" s="2757" customFormat="1">
      <c r="A74" s="2757" t="s">
        <v>2640</v>
      </c>
      <c r="G74" s="2758"/>
      <c r="I74" s="2759"/>
      <c r="J74" s="2759"/>
      <c r="K74" s="2759"/>
      <c r="L74" s="2759"/>
      <c r="N74" s="2760"/>
      <c r="O74" s="2759"/>
      <c r="P74" s="2759"/>
      <c r="Q74" s="2759"/>
      <c r="S74" s="2760"/>
      <c r="T74" s="2759"/>
      <c r="U74" s="2759"/>
      <c r="V74" s="2759"/>
    </row>
    <row r="75" spans="1:26" s="2757" customFormat="1">
      <c r="A75" s="2757" t="s">
        <v>2641</v>
      </c>
      <c r="G75" s="2758"/>
      <c r="N75" s="2758"/>
      <c r="S75" s="2758"/>
    </row>
    <row r="82" spans="7:22" ht="13.5" thickBot="1"/>
    <row r="83" spans="7:22">
      <c r="G83" s="2683"/>
      <c r="S83" s="2761" t="s">
        <v>2642</v>
      </c>
      <c r="T83" s="2762" t="s">
        <v>2643</v>
      </c>
      <c r="U83" s="2762" t="s">
        <v>2644</v>
      </c>
      <c r="V83" s="2762" t="s">
        <v>2645</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F16" sqref="F16"/>
    </sheetView>
  </sheetViews>
  <sheetFormatPr defaultRowHeight="13.5"/>
  <cols>
    <col min="1" max="1" width="22.875" customWidth="1"/>
    <col min="8" max="8" width="12.75" customWidth="1"/>
  </cols>
  <sheetData>
    <row r="1" spans="1:13" s="2959" customFormat="1">
      <c r="A1" s="2959" t="s">
        <v>3289</v>
      </c>
      <c r="B1" s="2959" t="s">
        <v>3290</v>
      </c>
      <c r="C1" s="2959" t="s">
        <v>3291</v>
      </c>
      <c r="D1" s="2959" t="s">
        <v>3292</v>
      </c>
      <c r="E1" s="2959" t="s">
        <v>3293</v>
      </c>
      <c r="F1" s="2959" t="s">
        <v>3294</v>
      </c>
      <c r="G1" s="2959" t="s">
        <v>2036</v>
      </c>
      <c r="H1" s="2959" t="s">
        <v>3295</v>
      </c>
      <c r="I1" s="2959" t="s">
        <v>3296</v>
      </c>
      <c r="J1" s="2959" t="s">
        <v>3297</v>
      </c>
      <c r="K1" s="2959" t="s">
        <v>3298</v>
      </c>
      <c r="L1" s="2959" t="s">
        <v>3299</v>
      </c>
      <c r="M1" s="2959" t="s">
        <v>3300</v>
      </c>
    </row>
    <row r="2" spans="1:13" s="3494" customFormat="1" ht="14.25">
      <c r="A2" s="3493" t="s">
        <v>3301</v>
      </c>
      <c r="B2" s="3494" t="s">
        <v>1949</v>
      </c>
      <c r="C2" s="3494" t="s">
        <v>3283</v>
      </c>
      <c r="D2" s="3494" t="s">
        <v>3284</v>
      </c>
      <c r="E2" s="3494">
        <v>41963.66</v>
      </c>
      <c r="F2" s="3494">
        <v>117498</v>
      </c>
      <c r="G2" s="3494">
        <v>2.8</v>
      </c>
      <c r="H2" s="3494" t="s">
        <v>3302</v>
      </c>
      <c r="I2" s="3494" t="s">
        <v>3303</v>
      </c>
      <c r="J2" s="3494">
        <v>330000</v>
      </c>
      <c r="K2" s="3494">
        <v>5242.63</v>
      </c>
      <c r="L2" s="3494">
        <v>28085.58</v>
      </c>
      <c r="M2" s="3494">
        <v>50</v>
      </c>
    </row>
    <row r="3" spans="1:13" s="3494" customFormat="1">
      <c r="A3" s="3494" t="s">
        <v>3307</v>
      </c>
      <c r="B3" s="3494" t="s">
        <v>1949</v>
      </c>
      <c r="C3" s="3494" t="s">
        <v>3283</v>
      </c>
      <c r="D3" s="3494" t="s">
        <v>3284</v>
      </c>
      <c r="E3" s="3494">
        <v>63913.14</v>
      </c>
      <c r="F3" s="3494">
        <v>159783</v>
      </c>
      <c r="G3" s="3494">
        <v>2.5</v>
      </c>
      <c r="H3" s="3494" t="s">
        <v>3308</v>
      </c>
      <c r="I3" s="3494" t="s">
        <v>3309</v>
      </c>
      <c r="J3" s="3494">
        <v>425000</v>
      </c>
      <c r="K3" s="3494">
        <v>4433.1000000000004</v>
      </c>
      <c r="L3" s="3494">
        <v>26598.560000000001</v>
      </c>
      <c r="M3" s="3494">
        <v>39.340000000000003</v>
      </c>
    </row>
    <row r="4" spans="1:13" s="3494" customFormat="1">
      <c r="A4" s="3494" t="s">
        <v>3304</v>
      </c>
      <c r="B4" s="3494" t="s">
        <v>1949</v>
      </c>
      <c r="C4" s="3494" t="s">
        <v>3283</v>
      </c>
      <c r="D4" s="3494" t="s">
        <v>3284</v>
      </c>
      <c r="E4" s="3494">
        <v>84985.06</v>
      </c>
      <c r="F4" s="3494">
        <v>166387</v>
      </c>
      <c r="G4" s="3494">
        <v>1.96</v>
      </c>
      <c r="H4" s="3494" t="s">
        <v>3305</v>
      </c>
      <c r="I4" s="3494" t="s">
        <v>3306</v>
      </c>
      <c r="J4" s="3494">
        <v>502500</v>
      </c>
      <c r="K4" s="3494">
        <v>3941.87</v>
      </c>
      <c r="L4" s="3494">
        <v>30200.68</v>
      </c>
      <c r="M4" s="3494">
        <v>50</v>
      </c>
    </row>
    <row r="5" spans="1:13" s="3496" customFormat="1"/>
    <row r="6" spans="1:13" s="2959" customFormat="1">
      <c r="A6" s="3495" t="s">
        <v>3285</v>
      </c>
      <c r="B6" s="3495" t="s">
        <v>1949</v>
      </c>
      <c r="C6" s="3495" t="s">
        <v>3286</v>
      </c>
      <c r="D6" s="3495" t="s">
        <v>3284</v>
      </c>
      <c r="E6" s="3495">
        <v>60374.36</v>
      </c>
      <c r="F6" s="3495">
        <v>102636</v>
      </c>
      <c r="G6" s="3495">
        <v>1.7</v>
      </c>
      <c r="H6" s="3495" t="s">
        <v>3287</v>
      </c>
      <c r="I6" s="3495" t="s">
        <v>3288</v>
      </c>
      <c r="J6" s="3495">
        <v>326000</v>
      </c>
      <c r="K6" s="3495">
        <v>3599.76</v>
      </c>
      <c r="L6" s="3495">
        <v>31762.720000000001</v>
      </c>
      <c r="M6" s="3495">
        <v>55.24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北京诚志置业有限公司：</v>
      </c>
    </row>
    <row r="4" spans="1:4" ht="37.5">
      <c r="A4" s="1786" t="str">
        <f>"受贵公司委托，我公司对"&amp;项目基本情况!K2&amp;项目基本情况!B9&amp;"进行了预评估。"</f>
        <v>受贵公司委托，我公司对北京市朝阳区管庄乡塔营村1208-605地块F1住宅混合公建用地项目出让国有建设用地使用权抵押价格进行了预评估。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7" spans="1:4" ht="93.75">
      <c r="A7" s="2893" t="s">
        <v>2755</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2030</v>
      </c>
    </row>
    <row r="11" spans="1:4" ht="18.75">
      <c r="A11" s="1775" t="str">
        <f>TEXT(项目基本情况!D3,"yyyy年m月d日;;")&amp;IF(项目基本情况!B3=项目基本情况!D3,"（评估专业人员勘察现场之日）","")</f>
        <v>2018年2月2日（评估专业人员勘察现场之日）</v>
      </c>
    </row>
    <row r="12" spans="1:4" ht="18.75">
      <c r="A12" s="1792" t="s">
        <v>2029</v>
      </c>
    </row>
    <row r="13" spans="1:4" ht="18.75">
      <c r="A13" s="1786" t="s">
        <v>2075</v>
      </c>
    </row>
    <row r="14" spans="1:4" ht="37.5">
      <c r="A14" s="1786" t="str">
        <f>"根据"&amp;项目基本情况!F12&amp;"，本次评估估价对象证载（地类）用途为"&amp;项目基本情况!B12&amp;"。"</f>
        <v>根据《国有建设用地使用权出让合同》[]及附件、，本次评估估价对象证载（地类）用途为住宅、商业、办公、地下车库。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76"/>
      <c r="D15" s="1777"/>
    </row>
    <row r="16" spans="1:4" ht="18.75">
      <c r="A16" s="1786" t="s">
        <v>2076</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2077</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根据《国有土地使用证》[]，估价对象（分摊）出让国有建设用地使用权面积为57230.39平方米。根据《建设工程规划许可证》[]、《出让合同》[]，估价对象规划建筑面积为177832.7平方米。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2078</v>
      </c>
    </row>
    <row r="23" spans="1:1" ht="18.75">
      <c r="A23" s="2895" t="s">
        <v>2756</v>
      </c>
    </row>
    <row r="24" spans="1:1" ht="18.75">
      <c r="A24" s="1786" t="s">
        <v>2079</v>
      </c>
    </row>
    <row r="25" spans="1:1" ht="93.75">
      <c r="A25" s="1786"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2031</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7" t="s">
        <v>2042</v>
      </c>
      <c r="B1" s="3527"/>
      <c r="C1" s="3527"/>
      <c r="D1" s="3527"/>
      <c r="E1" s="3527"/>
      <c r="F1" s="3527"/>
      <c r="G1" s="3527"/>
      <c r="H1" s="3527"/>
      <c r="I1" s="3527"/>
      <c r="J1" s="3527"/>
      <c r="K1" s="3527"/>
      <c r="L1" s="3527"/>
      <c r="M1" s="3527"/>
      <c r="N1" s="3527"/>
      <c r="O1" s="3527"/>
      <c r="P1" s="3527"/>
      <c r="Q1" s="3527"/>
      <c r="R1" s="3527"/>
    </row>
    <row r="2" spans="1:18">
      <c r="A2" s="1802" t="s">
        <v>2044</v>
      </c>
      <c r="B2" s="1802"/>
      <c r="C2" s="1802"/>
      <c r="D2" s="1802"/>
      <c r="E2" s="1802"/>
      <c r="F2" s="1802"/>
      <c r="G2" s="1802"/>
      <c r="H2" s="1802"/>
      <c r="I2" s="1803"/>
      <c r="J2" s="1803"/>
      <c r="K2" s="1804" t="str">
        <f>"估价期日："&amp;TEXT(项目基本情况!D3,"yyyy年m月d日;;")</f>
        <v>估价期日：2018年2月2日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28" t="s">
        <v>2033</v>
      </c>
      <c r="B3" s="3528" t="s">
        <v>2738</v>
      </c>
      <c r="C3" s="3529" t="s">
        <v>2034</v>
      </c>
      <c r="D3" s="3528" t="s">
        <v>2742</v>
      </c>
      <c r="E3" s="3531" t="s">
        <v>2035</v>
      </c>
      <c r="F3" s="3531"/>
      <c r="G3" s="3531"/>
      <c r="H3" s="3531" t="s">
        <v>2036</v>
      </c>
      <c r="I3" s="3531"/>
      <c r="J3" s="3531"/>
      <c r="K3" s="3529" t="s">
        <v>2037</v>
      </c>
      <c r="L3" s="3529" t="s">
        <v>2038</v>
      </c>
      <c r="M3" s="3528" t="s">
        <v>2739</v>
      </c>
      <c r="N3" s="3530" t="str">
        <f>"（分摊）"&amp;项目基本情况!B16&amp;"国有建设用地使用权面积/㎡"</f>
        <v>（分摊）出让国有建设用地使用权面积/㎡</v>
      </c>
      <c r="O3" s="3528" t="s">
        <v>2067</v>
      </c>
      <c r="P3" s="3529" t="s">
        <v>2047</v>
      </c>
      <c r="Q3" s="3529" t="s">
        <v>2068</v>
      </c>
      <c r="R3" s="3529" t="s">
        <v>2039</v>
      </c>
    </row>
    <row r="4" spans="1:18" ht="36.75" customHeight="1">
      <c r="A4" s="3528"/>
      <c r="B4" s="3528"/>
      <c r="C4" s="3529"/>
      <c r="D4" s="3528"/>
      <c r="E4" s="2669" t="s">
        <v>2046</v>
      </c>
      <c r="F4" s="2669" t="s">
        <v>2751</v>
      </c>
      <c r="G4" s="2669" t="s">
        <v>2040</v>
      </c>
      <c r="H4" s="2669" t="s">
        <v>2041</v>
      </c>
      <c r="I4" s="2669" t="s">
        <v>2752</v>
      </c>
      <c r="J4" s="2669" t="s">
        <v>2040</v>
      </c>
      <c r="K4" s="3529"/>
      <c r="L4" s="3529"/>
      <c r="M4" s="3528"/>
      <c r="N4" s="3530"/>
      <c r="O4" s="3528"/>
      <c r="P4" s="3529"/>
      <c r="Q4" s="3529"/>
      <c r="R4" s="3529"/>
    </row>
    <row r="5" spans="1:18" ht="135" customHeight="1">
      <c r="A5" s="1938" t="s">
        <v>2662</v>
      </c>
      <c r="B5" s="2887" t="s">
        <v>2660</v>
      </c>
      <c r="C5" s="2668">
        <v>22</v>
      </c>
      <c r="D5" s="2667" t="s">
        <v>2661</v>
      </c>
      <c r="E5" s="1805" t="str">
        <f>项目基本情况!B12</f>
        <v>住宅、商业、办公、地下车库</v>
      </c>
      <c r="F5" s="2667">
        <v>258</v>
      </c>
      <c r="G5" s="1805" t="str">
        <f>项目基本情况!B13</f>
        <v>住宅、商业、办公、地下车库</v>
      </c>
      <c r="H5" s="2667">
        <v>1.5</v>
      </c>
      <c r="I5" s="2667">
        <v>1.5</v>
      </c>
      <c r="J5" s="2667">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v>
      </c>
      <c r="M5" s="1805" t="str">
        <f>IF(项目基本情况!B16="出让",项目基本情况!D20,"——")</f>
        <v>住宅69.3、办公49.3、地下车库49.3</v>
      </c>
      <c r="N5" s="1805">
        <f>项目基本情况!C22</f>
        <v>57230.39</v>
      </c>
      <c r="O5" s="1805">
        <f>项目基本情况!C21</f>
        <v>177832.7</v>
      </c>
      <c r="P5" s="1805">
        <f ca="1">结果表!E42</f>
        <v>58184</v>
      </c>
      <c r="Q5" s="1805">
        <f ca="1">结果表!D42</f>
        <v>18725</v>
      </c>
      <c r="R5" s="1806">
        <f ca="1">结果表!C42</f>
        <v>332989</v>
      </c>
    </row>
    <row r="6" spans="1:18">
      <c r="A6" s="3532" t="str">
        <f>IF(项目基本情况!B9="市场价格","——","抵押价格")</f>
        <v>抵押价格</v>
      </c>
      <c r="B6" s="3533"/>
      <c r="C6" s="3533"/>
      <c r="D6" s="3533"/>
      <c r="E6" s="3533"/>
      <c r="F6" s="3533"/>
      <c r="G6" s="3533"/>
      <c r="H6" s="3533"/>
      <c r="I6" s="3533"/>
      <c r="J6" s="3533"/>
      <c r="K6" s="3533"/>
      <c r="L6" s="3533"/>
      <c r="M6" s="3533"/>
      <c r="N6" s="3533"/>
      <c r="O6" s="3533"/>
      <c r="P6" s="3533"/>
      <c r="Q6" s="3534"/>
      <c r="R6" s="1807">
        <f ca="1">结果表!O39</f>
        <v>332989</v>
      </c>
    </row>
    <row r="7" spans="1:18">
      <c r="A7" s="3532" t="str">
        <f>IF(项目基本情况!B9="市场价格","——",IF(项目基本情况!E8="已注销及未注销","抵押担保权已注销时的抵押价格","——"))</f>
        <v>——</v>
      </c>
      <c r="B7" s="3533"/>
      <c r="C7" s="3533"/>
      <c r="D7" s="3533"/>
      <c r="E7" s="3533"/>
      <c r="F7" s="3533"/>
      <c r="G7" s="3533"/>
      <c r="H7" s="3533"/>
      <c r="I7" s="3533"/>
      <c r="J7" s="3533"/>
      <c r="K7" s="3533"/>
      <c r="L7" s="3533"/>
      <c r="M7" s="3533"/>
      <c r="N7" s="3533"/>
      <c r="O7" s="3533"/>
      <c r="P7" s="3533"/>
      <c r="Q7" s="3534"/>
      <c r="R7" s="1807" t="str">
        <f>结果表!O40</f>
        <v>——</v>
      </c>
    </row>
    <row r="8" spans="1:18">
      <c r="A8" s="3532">
        <f>IF(项目基本情况!B9="市场价格","——",项目基本情况!E9)</f>
        <v>0</v>
      </c>
      <c r="B8" s="3533"/>
      <c r="C8" s="3533"/>
      <c r="D8" s="3533"/>
      <c r="E8" s="3533"/>
      <c r="F8" s="3533"/>
      <c r="G8" s="3533"/>
      <c r="H8" s="3533"/>
      <c r="I8" s="3533"/>
      <c r="J8" s="3533"/>
      <c r="K8" s="3533"/>
      <c r="L8" s="3533"/>
      <c r="M8" s="3533"/>
      <c r="N8" s="3533"/>
      <c r="O8" s="3533"/>
      <c r="P8" s="3533"/>
      <c r="Q8" s="3534"/>
      <c r="R8" s="1807" t="str">
        <f>结果表!O41</f>
        <v>——</v>
      </c>
    </row>
    <row r="9" spans="1:18">
      <c r="A9" s="1808" t="s">
        <v>2045</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2032</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36" t="s">
        <v>2069</v>
      </c>
      <c r="B1" s="3536"/>
      <c r="C1" s="3536"/>
      <c r="D1" s="3536"/>
    </row>
    <row r="2" spans="1:4" ht="47.25" customHeight="1">
      <c r="A2" s="3537" t="str">
        <f>"1.权利限制："&amp;项目基本情况!L24&amp;"未设定租赁等其他他项权利。"</f>
        <v>1.权利限制：根据估价对象《不动产权证书》原件、《国有土地使用权》复印件，截至估价期日，估价对象抵押权未见登记。未设定租赁等其他他项权利。</v>
      </c>
      <c r="B2" s="3537"/>
      <c r="C2" s="3537"/>
      <c r="D2" s="3537"/>
    </row>
    <row r="3" spans="1:4" ht="48" customHeight="1">
      <c r="A3" s="35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36"/>
      <c r="C3" s="3536"/>
      <c r="D3" s="3536"/>
    </row>
    <row r="4" spans="1:4" ht="36.75" customHeight="1">
      <c r="A4" s="3536" t="str">
        <f>"3.估价规划限制条件：详见"&amp;项目基本情况!E21&amp;"。"</f>
        <v>3.估价规划限制条件：详见《建设工程规划许可证》[]、《出让合同》[]。</v>
      </c>
      <c r="B4" s="3536"/>
      <c r="C4" s="3536"/>
      <c r="D4" s="3536"/>
    </row>
    <row r="5" spans="1:4">
      <c r="A5" s="3535" t="s">
        <v>2070</v>
      </c>
      <c r="B5" s="3535"/>
      <c r="C5" s="3535"/>
      <c r="D5" s="3535"/>
    </row>
    <row r="6" spans="1:4">
      <c r="A6" s="3536" t="s">
        <v>2048</v>
      </c>
      <c r="B6" s="3536"/>
      <c r="C6" s="3536"/>
      <c r="D6" s="3536"/>
    </row>
    <row r="7" spans="1:4" ht="33" customHeight="1">
      <c r="A7" s="3536" t="s">
        <v>2582</v>
      </c>
      <c r="B7" s="3536"/>
      <c r="C7" s="3536"/>
      <c r="D7" s="3536"/>
    </row>
    <row r="8" spans="1:4" ht="32.25" customHeight="1">
      <c r="A8" s="35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6"/>
      <c r="C8" s="3536"/>
      <c r="D8" s="3536"/>
    </row>
    <row r="9" spans="1:4" ht="33.75" customHeight="1">
      <c r="A9" s="35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6"/>
      <c r="C9" s="3536"/>
      <c r="D9" s="3536"/>
    </row>
    <row r="10" spans="1:4">
      <c r="A10" s="3536" t="str">
        <f>IF(项目基本情况!B8="抵押","4.估价师所知悉的法定优先受偿款情况为：","——")</f>
        <v>4.估价师所知悉的法定优先受偿款情况为：</v>
      </c>
      <c r="B10" s="3536"/>
      <c r="C10" s="3536"/>
      <c r="D10" s="3536"/>
    </row>
    <row r="11" spans="1:4" ht="37.5" customHeight="1">
      <c r="A11" s="3538" t="str">
        <f>IF(项目基本情况!B8="抵押","（1）"&amp;CONCATENATE(项目基本情况!L24,项目基本情况!L25,项目基本情况!L26),"——")</f>
        <v>（1）根据估价对象《不动产权证书》原件、《国有土地使用权》复印件，截至估价期日，估价对象抵押权未见登记。</v>
      </c>
      <c r="B11" s="3538"/>
      <c r="C11" s="3538"/>
      <c r="D11" s="3538"/>
    </row>
    <row r="12" spans="1:4" ht="168" customHeight="1">
      <c r="A12" s="3535" t="s">
        <v>2072</v>
      </c>
      <c r="B12" s="3535"/>
      <c r="C12" s="3535"/>
      <c r="D12" s="3535"/>
    </row>
    <row r="13" spans="1:4">
      <c r="A13" s="3539" t="s">
        <v>2753</v>
      </c>
      <c r="B13" s="3539"/>
      <c r="C13" s="3539"/>
      <c r="D13" s="3539"/>
    </row>
    <row r="14" spans="1:4">
      <c r="A14" s="3538" t="str">
        <f>IF(项目基本情况!B8="抵押","综上，"&amp;结果表!K47,"——")</f>
        <v>综上，本次评估不存在估价师知悉的法定优先受偿款</v>
      </c>
      <c r="B14" s="3538"/>
      <c r="C14" s="3538"/>
      <c r="D14" s="3538"/>
    </row>
    <row r="15" spans="1:4" ht="58.5" customHeight="1">
      <c r="A15" s="35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6"/>
      <c r="C15" s="3536"/>
      <c r="D15" s="3536"/>
    </row>
    <row r="16" spans="1:4" ht="70.5" customHeight="1">
      <c r="A16" s="35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6"/>
      <c r="C16" s="3536"/>
      <c r="D16" s="3536"/>
    </row>
    <row r="17" spans="1:4">
      <c r="A17" s="3536" t="s">
        <v>2709</v>
      </c>
      <c r="B17" s="3536"/>
      <c r="C17" s="3536"/>
      <c r="D17" s="3536"/>
    </row>
    <row r="18" spans="1:4">
      <c r="A18" s="3536" t="s">
        <v>2701</v>
      </c>
      <c r="B18" s="3536"/>
      <c r="C18" s="3536"/>
      <c r="D18" s="3536"/>
    </row>
    <row r="19" spans="1:4">
      <c r="A19" s="2888" t="s">
        <v>2702</v>
      </c>
      <c r="B19" s="2888" t="s">
        <v>2703</v>
      </c>
      <c r="C19" s="2888" t="s">
        <v>2704</v>
      </c>
      <c r="D19" s="2888" t="s">
        <v>2705</v>
      </c>
    </row>
    <row r="20" spans="1:4">
      <c r="A20" s="2888" t="str">
        <f>项目基本情况!B4</f>
        <v>土地估价师</v>
      </c>
      <c r="B20" s="2888">
        <f>项目基本情况!C4</f>
        <v>0</v>
      </c>
      <c r="C20" s="2890"/>
      <c r="D20" s="1795" t="s">
        <v>2710</v>
      </c>
    </row>
    <row r="21" spans="1:4">
      <c r="A21" s="2888" t="str">
        <f>项目基本情况!D4</f>
        <v>土地估价师</v>
      </c>
      <c r="B21" s="2888">
        <f>项目基本情况!E4</f>
        <v>0</v>
      </c>
      <c r="C21" s="2890"/>
      <c r="D21" s="1795" t="s">
        <v>2711</v>
      </c>
    </row>
    <row r="23" spans="1:4">
      <c r="A23" s="3536" t="s">
        <v>2706</v>
      </c>
      <c r="B23" s="3536"/>
      <c r="C23" s="3536"/>
      <c r="D23" s="3536"/>
    </row>
    <row r="24" spans="1:4">
      <c r="A24" s="2888" t="s">
        <v>2702</v>
      </c>
      <c r="B24" s="2888" t="s">
        <v>2707</v>
      </c>
      <c r="C24" s="2888" t="s">
        <v>2704</v>
      </c>
      <c r="D24" s="2888" t="s">
        <v>2705</v>
      </c>
    </row>
    <row r="25" spans="1:4">
      <c r="A25" s="2891" t="s">
        <v>2708</v>
      </c>
      <c r="B25" s="2888" t="s">
        <v>953</v>
      </c>
      <c r="C25" s="2890"/>
      <c r="D25" s="1795" t="s">
        <v>2711</v>
      </c>
    </row>
    <row r="29" spans="1:4">
      <c r="D29" s="2889" t="s">
        <v>2043</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47" t="s">
        <v>53</v>
      </c>
      <c r="B15" s="3548" t="s">
        <v>847</v>
      </c>
      <c r="C15" s="3544"/>
    </row>
    <row r="16" spans="1:7" ht="14.25">
      <c r="A16" s="3547"/>
      <c r="B16" s="3545" t="s">
        <v>54</v>
      </c>
      <c r="C16" s="1168" t="s">
        <v>53</v>
      </c>
    </row>
    <row r="17" spans="1:3" ht="14.25">
      <c r="A17" s="3547"/>
      <c r="B17" s="3545"/>
      <c r="C17" s="1168" t="s">
        <v>55</v>
      </c>
    </row>
    <row r="18" spans="1:3" ht="14.25">
      <c r="A18" s="3547"/>
      <c r="B18" s="3545"/>
      <c r="C18" s="1168" t="s">
        <v>56</v>
      </c>
    </row>
    <row r="19" spans="1:3" ht="14.25">
      <c r="A19" s="3547"/>
      <c r="B19" s="3543" t="s">
        <v>57</v>
      </c>
      <c r="C19" s="3544"/>
    </row>
    <row r="20" spans="1:3" ht="14.25">
      <c r="A20" s="1169" t="s">
        <v>58</v>
      </c>
      <c r="B20" s="1170"/>
      <c r="C20" s="1171"/>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2" t="s">
        <v>838</v>
      </c>
    </row>
    <row r="25" spans="1:3" ht="14.25">
      <c r="A25" s="3546"/>
      <c r="B25" s="3550"/>
      <c r="C25" s="1172" t="s">
        <v>839</v>
      </c>
    </row>
    <row r="26" spans="1:3" ht="14.25">
      <c r="A26" s="3546"/>
      <c r="B26" s="3550"/>
      <c r="C26" s="1172" t="s">
        <v>840</v>
      </c>
    </row>
    <row r="27" spans="1:3" ht="14.25">
      <c r="A27" s="3546"/>
      <c r="B27" s="3550"/>
      <c r="C27" s="1172" t="s">
        <v>841</v>
      </c>
    </row>
    <row r="28" spans="1:3" ht="14.25">
      <c r="A28" s="3546"/>
      <c r="B28" s="3550"/>
      <c r="C28" s="1172" t="s">
        <v>842</v>
      </c>
    </row>
    <row r="29" spans="1:3" ht="14.25">
      <c r="A29" s="3546"/>
      <c r="B29" s="3550"/>
      <c r="C29" s="1172" t="s">
        <v>843</v>
      </c>
    </row>
    <row r="30" spans="1:3" ht="14.25">
      <c r="A30" s="3546"/>
      <c r="B30" s="3550"/>
      <c r="C30" s="1172" t="s">
        <v>844</v>
      </c>
    </row>
    <row r="31" spans="1:3" ht="14.25">
      <c r="A31" s="3546"/>
      <c r="B31" s="3550"/>
      <c r="C31" s="1172" t="s">
        <v>845</v>
      </c>
    </row>
    <row r="32" spans="1:3" ht="14.25">
      <c r="A32" s="3546"/>
      <c r="B32" s="3550"/>
      <c r="C32" s="1172" t="s">
        <v>1648</v>
      </c>
    </row>
    <row r="33" spans="1:3" ht="14.25">
      <c r="A33" s="3546"/>
      <c r="B33" s="3540" t="s">
        <v>1654</v>
      </c>
      <c r="C33" s="1172" t="s">
        <v>1649</v>
      </c>
    </row>
    <row r="34" spans="1:3" ht="14.25">
      <c r="A34" s="3546"/>
      <c r="B34" s="3541"/>
      <c r="C34" s="1177" t="s">
        <v>1650</v>
      </c>
    </row>
    <row r="35" spans="1:3" ht="14.25">
      <c r="A35" s="3546"/>
      <c r="B35" s="3541"/>
      <c r="C35" s="1178" t="s">
        <v>1651</v>
      </c>
    </row>
    <row r="36" spans="1:3" ht="14.25">
      <c r="A36" s="3546"/>
      <c r="B36" s="3541"/>
      <c r="C36" s="1178" t="s">
        <v>1652</v>
      </c>
    </row>
    <row r="37" spans="1:3" ht="14.25">
      <c r="A37" s="3546"/>
      <c r="B37" s="3542"/>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1">
        <f ca="1">TODAY()</f>
        <v>43139</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6">
        <v>43849</v>
      </c>
      <c r="D4" s="2338" t="s">
        <v>1916</v>
      </c>
      <c r="E4" s="2338">
        <f ca="1">IF(F4&lt;B2,"已过期",96010014)</f>
        <v>96010014</v>
      </c>
      <c r="F4" s="3027">
        <v>47118</v>
      </c>
    </row>
    <row r="5" spans="1:6" ht="20.25" customHeight="1">
      <c r="A5" s="2338" t="s">
        <v>1917</v>
      </c>
      <c r="B5" s="2338">
        <f ca="1">IF(C5&lt;B2,"已过期",1119970074)</f>
        <v>1119970074</v>
      </c>
      <c r="C5" s="3026">
        <v>43849</v>
      </c>
      <c r="D5" s="2338" t="s">
        <v>1917</v>
      </c>
      <c r="E5" s="2338">
        <f ca="1">IF(F5&lt;B2,"已过期",2002110027)</f>
        <v>2002110027</v>
      </c>
      <c r="F5" s="3027">
        <v>46752</v>
      </c>
    </row>
    <row r="6" spans="1:6" ht="20.25" customHeight="1">
      <c r="A6" s="2338" t="s">
        <v>1918</v>
      </c>
      <c r="B6" s="2338">
        <f ca="1">IF(C6&lt;B2,"已过期",1119970111)</f>
        <v>1119970111</v>
      </c>
      <c r="C6" s="3026">
        <v>43849</v>
      </c>
      <c r="D6" s="2338" t="s">
        <v>1918</v>
      </c>
      <c r="E6" s="2338">
        <f ca="1">IF(F6&lt;B2,"已过期",94010078)</f>
        <v>94010078</v>
      </c>
      <c r="F6" s="3027">
        <v>46387</v>
      </c>
    </row>
    <row r="7" spans="1:6" ht="20.25" customHeight="1">
      <c r="A7" s="2338" t="s">
        <v>1919</v>
      </c>
      <c r="B7" s="2338">
        <f ca="1">IF(C7&lt;B2,"已过期",1120050019)</f>
        <v>1120050019</v>
      </c>
      <c r="C7" s="3026">
        <v>43359</v>
      </c>
      <c r="D7" s="2338" t="s">
        <v>1919</v>
      </c>
      <c r="E7" s="2338">
        <f ca="1">IF(F7&lt;B2,"已过期",2002110030)</f>
        <v>2002110030</v>
      </c>
      <c r="F7" s="3027">
        <v>46387</v>
      </c>
    </row>
    <row r="8" spans="1:6" ht="20.25" customHeight="1">
      <c r="A8" s="2338" t="s">
        <v>1920</v>
      </c>
      <c r="B8" s="2338">
        <f ca="1">IF(C8&lt;B2,"已过期",1120000080)</f>
        <v>1120000080</v>
      </c>
      <c r="C8" s="3026">
        <v>43849</v>
      </c>
      <c r="D8" s="2338" t="s">
        <v>1920</v>
      </c>
      <c r="E8" s="2338">
        <f ca="1">IF(F8&lt;B2,"已过期",2000110082)</f>
        <v>2000110082</v>
      </c>
      <c r="F8" s="3027">
        <v>46387</v>
      </c>
    </row>
    <row r="9" spans="1:6" ht="20.25" customHeight="1">
      <c r="A9" s="2338" t="s">
        <v>1921</v>
      </c>
      <c r="B9" s="2338">
        <f ca="1">IF(C9&lt;B2,"已过期",1419970001)</f>
        <v>1419970001</v>
      </c>
      <c r="C9" s="3026">
        <v>43867</v>
      </c>
      <c r="D9" s="2338" t="s">
        <v>1921</v>
      </c>
      <c r="E9" s="2338">
        <f ca="1">IF(F9&lt;B2,"已过期",2002110125)</f>
        <v>2002110125</v>
      </c>
      <c r="F9" s="3027">
        <v>47118</v>
      </c>
    </row>
    <row r="10" spans="1:6" ht="20.25" customHeight="1">
      <c r="A10" s="2338" t="s">
        <v>1922</v>
      </c>
      <c r="B10" s="2338">
        <f ca="1">IF(C10&lt;B2,"已过期",1120060040)</f>
        <v>1120060040</v>
      </c>
      <c r="C10" s="3026">
        <v>43483</v>
      </c>
      <c r="D10" s="2338" t="s">
        <v>1922</v>
      </c>
      <c r="E10" s="2338">
        <f ca="1">IF(F10&lt;B2,"已过期",2004110096)</f>
        <v>2004110096</v>
      </c>
      <c r="F10" s="3027">
        <v>47118</v>
      </c>
    </row>
    <row r="11" spans="1:6" ht="20.25" customHeight="1">
      <c r="A11" s="2338" t="s">
        <v>1923</v>
      </c>
      <c r="B11" s="2338">
        <f ca="1">IF(C11&lt;B2,"已过期",1120100036)</f>
        <v>1120100036</v>
      </c>
      <c r="C11" s="3026">
        <v>43622</v>
      </c>
      <c r="D11" s="2338" t="s">
        <v>1923</v>
      </c>
      <c r="E11" s="2338">
        <f ca="1">IF(F11&lt;B2,"已过期",2010110070)</f>
        <v>2010110070</v>
      </c>
      <c r="F11" s="3027">
        <v>47907</v>
      </c>
    </row>
    <row r="12" spans="1:6" ht="20.25" customHeight="1">
      <c r="A12" s="2338"/>
      <c r="B12" s="2338"/>
      <c r="C12" s="3026"/>
      <c r="D12" s="2338"/>
      <c r="E12" s="2338"/>
      <c r="F12" s="2338"/>
    </row>
    <row r="13" spans="1:6" ht="20.25" customHeight="1">
      <c r="A13" s="2338" t="s">
        <v>1924</v>
      </c>
      <c r="B13" s="2338">
        <f ca="1">IF(C13&lt;B2,"已过期",1120070131)</f>
        <v>1120070131</v>
      </c>
      <c r="C13" s="3026">
        <v>43814</v>
      </c>
      <c r="D13" s="2338" t="s">
        <v>1924</v>
      </c>
      <c r="E13" s="2338">
        <v>2014110011</v>
      </c>
      <c r="F13" s="3027">
        <v>49302</v>
      </c>
    </row>
    <row r="14" spans="1:6" ht="20.25" customHeight="1">
      <c r="A14" s="2338" t="s">
        <v>1925</v>
      </c>
      <c r="B14" s="2338">
        <f ca="1">IF(C14&lt;B2,"已过期",1120130020)</f>
        <v>1120130020</v>
      </c>
      <c r="C14" s="3026">
        <v>43622</v>
      </c>
      <c r="D14" s="2338"/>
      <c r="E14" s="2338"/>
      <c r="F14" s="2338"/>
    </row>
    <row r="15" spans="1:6" ht="20.25" customHeight="1">
      <c r="A15" s="2338" t="s">
        <v>2581</v>
      </c>
      <c r="B15" s="2338">
        <v>1120070085</v>
      </c>
      <c r="C15" s="3026">
        <v>43814</v>
      </c>
      <c r="D15" s="2338" t="s">
        <v>2581</v>
      </c>
      <c r="E15" s="2338">
        <v>2004110128</v>
      </c>
      <c r="F15" s="3027">
        <v>47118</v>
      </c>
    </row>
    <row r="16" spans="1:6" ht="20.25" customHeight="1">
      <c r="A16" s="2338" t="s">
        <v>1926</v>
      </c>
      <c r="B16" s="2338">
        <f ca="1">IF(C16&lt;B2,"已过期",1120140022)</f>
        <v>1120140022</v>
      </c>
      <c r="C16" s="3026">
        <v>44029</v>
      </c>
      <c r="D16" s="2338" t="s">
        <v>1926</v>
      </c>
      <c r="E16" s="2338">
        <f ca="1">IF(F16&lt;B2,"已过期",2008110059)</f>
        <v>2008110059</v>
      </c>
      <c r="F16" s="3027">
        <v>47177</v>
      </c>
    </row>
    <row r="17" spans="1:7" ht="20.25" customHeight="1">
      <c r="A17" s="2338"/>
      <c r="B17" s="2338"/>
      <c r="C17" s="3026"/>
      <c r="D17" s="2338"/>
      <c r="E17" s="2338"/>
      <c r="F17" s="3027"/>
    </row>
    <row r="18" spans="1:7" ht="20.25" customHeight="1">
      <c r="A18" s="2338"/>
      <c r="B18" s="2338"/>
      <c r="C18" s="3026"/>
      <c r="D18" s="2338"/>
      <c r="E18" s="2338"/>
      <c r="F18" s="3027"/>
    </row>
    <row r="19" spans="1:7" ht="20.25" customHeight="1">
      <c r="A19" s="2338"/>
      <c r="B19" s="2338"/>
      <c r="C19" s="3026"/>
      <c r="D19" s="2338"/>
      <c r="E19" s="2338"/>
      <c r="F19" s="2338"/>
    </row>
    <row r="20" spans="1:7" ht="20.25" customHeight="1">
      <c r="A20" s="2338"/>
      <c r="B20" s="2338"/>
      <c r="C20" s="3026"/>
      <c r="D20" s="2338"/>
      <c r="E20" s="2338"/>
      <c r="F20" s="2338"/>
    </row>
    <row r="21" spans="1:7" ht="20.25" customHeight="1">
      <c r="A21" s="2338"/>
      <c r="B21" s="2338"/>
      <c r="C21" s="3026"/>
      <c r="D21" s="2338" t="s">
        <v>1927</v>
      </c>
      <c r="E21" s="2338">
        <f ca="1">IF(F21&lt;B2,"已过期",2011110090)</f>
        <v>2011110090</v>
      </c>
      <c r="F21" s="3027">
        <v>48302</v>
      </c>
    </row>
    <row r="22" spans="1:7" ht="20.25" customHeight="1">
      <c r="A22" s="2338" t="s">
        <v>1928</v>
      </c>
      <c r="B22" s="2338">
        <f ca="1">IF(C22&lt;B2,"已过期",1120020033)</f>
        <v>1120020033</v>
      </c>
      <c r="C22" s="3026">
        <v>43304</v>
      </c>
      <c r="D22" s="2338" t="s">
        <v>1928</v>
      </c>
      <c r="E22" s="2338">
        <f ca="1">IF(F22&lt;B2,"已过期",2000110137)</f>
        <v>2000110137</v>
      </c>
      <c r="F22" s="3027">
        <v>46387</v>
      </c>
    </row>
    <row r="23" spans="1:7" ht="20.25" customHeight="1">
      <c r="A23" s="2338" t="s">
        <v>1929</v>
      </c>
      <c r="B23" s="2338">
        <f ca="1">IF(C23&lt;B2,"已过期",1120130048)</f>
        <v>1120130048</v>
      </c>
      <c r="C23" s="3026">
        <v>43686</v>
      </c>
      <c r="D23" s="2338"/>
      <c r="E23" s="2338"/>
      <c r="F23" s="2338"/>
    </row>
    <row r="24" spans="1:7" s="2342" customFormat="1" ht="20.25" customHeight="1">
      <c r="A24" s="2340" t="s">
        <v>2057</v>
      </c>
      <c r="B24" s="2340" t="s">
        <v>2057</v>
      </c>
      <c r="C24" s="3026"/>
      <c r="D24" s="3028" t="s">
        <v>2057</v>
      </c>
      <c r="E24" s="2340" t="s">
        <v>2057</v>
      </c>
      <c r="F24" s="2341"/>
    </row>
    <row r="25" spans="1:7" ht="20.25" customHeight="1">
      <c r="A25" s="3551" t="s">
        <v>1930</v>
      </c>
      <c r="B25" s="3551"/>
      <c r="C25" s="3551"/>
      <c r="D25" s="3551"/>
      <c r="E25" s="3551"/>
      <c r="F25" s="3551"/>
      <c r="G25" s="3551"/>
    </row>
    <row r="26" spans="1:7" ht="20.25" customHeight="1">
      <c r="A26" s="3552" t="s">
        <v>1931</v>
      </c>
      <c r="B26" s="3552"/>
      <c r="C26" s="3552"/>
      <c r="D26" s="3552" t="s">
        <v>1932</v>
      </c>
      <c r="E26" s="3552"/>
      <c r="F26" s="3552"/>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2948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不动产收益法商</vt:lpstr>
      <vt:lpstr>不动产收益法办</vt:lpstr>
      <vt:lpstr>不动产收益法库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2018-02-08T06:40:15Z</dcterms:modified>
</cp:coreProperties>
</file>