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1840" windowHeight="5565"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取值过程" sheetId="90"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2021年大宗" sheetId="88" state="hidden" r:id="rId21"/>
    <sheet name="成本法 (元)" sheetId="69" state="hidden" r:id="rId22"/>
    <sheet name="假设开发法" sheetId="12" state="hidden" r:id="rId23"/>
    <sheet name="收益法 (元)" sheetId="67" state="hidden" r:id="rId24"/>
    <sheet name="收益法-酒店模型" sheetId="77" state="hidden" r:id="rId25"/>
    <sheet name="比较法-住宅" sheetId="21" state="hidden" r:id="rId26"/>
    <sheet name="比较法-商业" sheetId="33" state="hidden" r:id="rId27"/>
    <sheet name="比较法-办公2" sheetId="86" state="hidden" r:id="rId28"/>
    <sheet name="收益法-办公" sheetId="15" r:id="rId29"/>
    <sheet name="成本法" sheetId="68" r:id="rId30"/>
    <sheet name="基准地价修正" sheetId="43" r:id="rId31"/>
    <sheet name="收益法（汇总）" sheetId="70" state="hidden" r:id="rId32"/>
    <sheet name="收益法-车位" sheetId="8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2022年大宗" sheetId="87" r:id="rId50"/>
    <sheet name="大宗案例" sheetId="85" state="hidden" r:id="rId51"/>
  </sheets>
  <externalReferences>
    <externalReference r:id="rId52"/>
    <externalReference r:id="rId53"/>
    <externalReference r:id="rId54"/>
    <externalReference r:id="rId55"/>
    <externalReference r:id="rId56"/>
  </externalReferences>
  <definedNames>
    <definedName name="_xlnm._FilterDatabase" localSheetId="20" hidden="1">'2021年大宗'!$A$1:$W$119</definedName>
    <definedName name="_xlnm._FilterDatabase" localSheetId="49" hidden="1">'2022年大宗'!$A$2:$N$143</definedName>
    <definedName name="_xlnm._FilterDatabase" localSheetId="19" hidden="1">'比较法-办公'!$A$1:$L$50</definedName>
    <definedName name="_xlnm._FilterDatabase" localSheetId="27" hidden="1">'比较法-办公2'!$A$1:$L$50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7">'比较法-办公2'!$A$1:$K$55,'比较法-办公2'!$A$58:$M$132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0">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31">'收益法（汇总）'!$A$1:$F$13</definedName>
    <definedName name="_xlnm.Print_Area" localSheetId="28">'收益法-办公'!$A$1:$F$43,'收益法-办公'!$H$3:$M$29,'收益法-办公'!$A$46:$F$71,'收益法-办公'!$I$46:$N$65</definedName>
    <definedName name="_xlnm.Print_Area" localSheetId="32">'收益法-车位'!$A$1:$F$43,'收益法-车位'!$H$3:$M$29,'收益法-车位'!$A$46:$F$71,'收益法-车位'!$I$46:$N$65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7">'比较法-办公2'!$B$119:$M$119</definedName>
    <definedName name="办公层高" localSheetId="50">'[1]比较法-办公'!$B$119:$M$119</definedName>
    <definedName name="办公层高" localSheetId="13">'[2]比较法-办公'!$B$119:$M$119</definedName>
    <definedName name="办公层高">'比较法-办公'!$B$119:$M$119</definedName>
    <definedName name="办公朝向" localSheetId="27">'比较法-办公2'!$B$91:$M$91</definedName>
    <definedName name="办公朝向" localSheetId="50">'[1]比较法-办公'!$B$91:$M$91</definedName>
    <definedName name="办公朝向" localSheetId="13">'[2]比较法-办公'!$B$91:$M$91</definedName>
    <definedName name="办公朝向">'比较法-办公'!$B$91:$M$91</definedName>
    <definedName name="办公道路级别" localSheetId="27">'比较法-办公2'!$B$87:$M$87</definedName>
    <definedName name="办公道路级别" localSheetId="50">'[1]比较法-办公'!$B$87:$M$87</definedName>
    <definedName name="办公道路级别" localSheetId="13">'[2]比较法-办公'!$B$87:$M$87</definedName>
    <definedName name="办公道路级别">'比较法-办公'!$B$87:$M$87</definedName>
    <definedName name="办公公共部分装修" localSheetId="27">'比较法-办公2'!$B$108:$M$108</definedName>
    <definedName name="办公公共部分装修" localSheetId="50">'[1]比较法-办公'!$B$108:$M$108</definedName>
    <definedName name="办公公共部分装修" localSheetId="13">'[2]比较法-办公'!$B$108:$M$108</definedName>
    <definedName name="办公公共部分装修">'比较法-办公'!$B$108:$M$108</definedName>
    <definedName name="办公基础设施水平" localSheetId="27">'比较法-办公2'!$B$117:$M$117</definedName>
    <definedName name="办公基础设施水平" localSheetId="50">'[1]比较法-办公'!$B$117:$M$117</definedName>
    <definedName name="办公基础设施水平" localSheetId="13">'[2]比较法-办公'!$B$117:$M$117</definedName>
    <definedName name="办公基础设施水平">'比较法-办公'!$B$117:$M$117</definedName>
    <definedName name="办公集聚程度" localSheetId="50">[1]定义!$M$1:$M$6</definedName>
    <definedName name="办公集聚程度" localSheetId="13">[2]定义!$M$1:$M$6</definedName>
    <definedName name="办公集聚程度">定义!$M$1:$M$6</definedName>
    <definedName name="办公建筑结构" localSheetId="27">'比较法-办公2'!$B$106:$M$106</definedName>
    <definedName name="办公建筑结构" localSheetId="50">'[1]比较法-办公'!$B$106:$M$106</definedName>
    <definedName name="办公建筑结构" localSheetId="13">'[2]比较法-办公'!$B$106:$M$106</definedName>
    <definedName name="办公建筑结构">'比较法-办公'!$B$106:$M$106</definedName>
    <definedName name="办公建筑类型" localSheetId="27">'比较法-办公2'!$B$101:$M$101</definedName>
    <definedName name="办公建筑类型" localSheetId="50">'[1]比较法-办公'!$B$101:$M$101</definedName>
    <definedName name="办公建筑类型" localSheetId="13">'[2]比较法-办公'!$B$101:$M$101</definedName>
    <definedName name="办公建筑类型">'比较法-办公'!$B$101:$M$101</definedName>
    <definedName name="办公交易情况" localSheetId="27">'比较法-办公2'!$A$62:$M$62</definedName>
    <definedName name="办公交易情况" localSheetId="50">'[1]比较法-办公'!$A$62:$M$62</definedName>
    <definedName name="办公交易情况" localSheetId="13">'[2]比较法-办公'!$A$62:$M$62</definedName>
    <definedName name="办公交易情况">'比较法-办公'!$A$62:$M$62</definedName>
    <definedName name="办公楼层" localSheetId="27">'比较法-办公2'!$B$89:$M$89</definedName>
    <definedName name="办公楼层" localSheetId="50">'[1]比较法-办公'!$B$89:$M$89</definedName>
    <definedName name="办公楼层" localSheetId="13">'[2]比较法-办公'!$B$89:$M$89</definedName>
    <definedName name="办公楼层">'比较法-办公'!$B$89:$M$89</definedName>
    <definedName name="办公内部装修" localSheetId="27">'比较法-办公2'!$B$123:$M$123</definedName>
    <definedName name="办公内部装修" localSheetId="50">'[1]比较法-办公'!$B$123:$M$123</definedName>
    <definedName name="办公内部装修" localSheetId="13">'[2]比较法-办公'!$B$123:$M$123</definedName>
    <definedName name="办公内部装修">'比较法-办公'!$B$123:$M$123</definedName>
    <definedName name="办公物业管理" localSheetId="27">'比较法-办公2'!$B$115:$M$115</definedName>
    <definedName name="办公物业管理" localSheetId="50">'[1]比较法-办公'!$B$115:$M$115</definedName>
    <definedName name="办公物业管理" localSheetId="13">'[2]比较法-办公'!$B$115:$M$115</definedName>
    <definedName name="办公物业管理">'比较法-办公'!$B$115:$M$115</definedName>
    <definedName name="办公用途" localSheetId="27">'比较法-办公2'!$B$64:$M$64</definedName>
    <definedName name="办公用途" localSheetId="50">'[1]比较法-办公'!$B$64:$M$64</definedName>
    <definedName name="办公用途" localSheetId="13">'[2]比较法-办公'!$B$64:$M$64</definedName>
    <definedName name="办公用途">'比较法-办公'!$B$64:$M$64</definedName>
    <definedName name="仓储公共部分装修" localSheetId="50">'[1]比较法-仓储'!$B$77:$M$77</definedName>
    <definedName name="仓储公共部分装修" localSheetId="13">'[2]比较法-仓储'!$B$77:$M$77</definedName>
    <definedName name="仓储公共部分装修">'比较法-仓储'!$B$77:$M$77</definedName>
    <definedName name="仓储交易情况" localSheetId="50">'[1]比较法-仓储'!$A$49:$M$49</definedName>
    <definedName name="仓储交易情况" localSheetId="13">'[2]比较法-仓储'!$A$49:$M$49</definedName>
    <definedName name="仓储交易情况">'比较法-仓储'!$A$49:$M$49</definedName>
    <definedName name="仓储楼层" localSheetId="50">'[1]比较法-仓储'!$B$69:$M$69</definedName>
    <definedName name="仓储楼层" localSheetId="13">'[2]比较法-仓储'!$B$69:$M$69</definedName>
    <definedName name="仓储楼层">'比较法-仓储'!$B$69:$M$69</definedName>
    <definedName name="仓储物业等级" localSheetId="50">'[1]比较法-仓储'!$B$82:$M$82</definedName>
    <definedName name="仓储物业等级" localSheetId="13">'[2]比较法-仓储'!$B$82:$M$82</definedName>
    <definedName name="仓储物业等级">'比较法-仓储'!$B$82:$M$82</definedName>
    <definedName name="仓储用途" localSheetId="50">'[1]比较法-仓储'!$B$51:$M$51</definedName>
    <definedName name="仓储用途" localSheetId="13">'[2]比较法-仓储'!$B$51:$M$51</definedName>
    <definedName name="仓储用途">'比较法-仓储'!$B$51:$M$51</definedName>
    <definedName name="产业集聚程度" localSheetId="50">[1]定义!$N$1:$N$6</definedName>
    <definedName name="产业集聚程度" localSheetId="13">[2]定义!$N$1:$N$6</definedName>
    <definedName name="产业集聚程度">定义!$N$1:$N$6</definedName>
    <definedName name="车位公共部分装修" localSheetId="50">'[1]比较法-车位'!$B$83:$M$83</definedName>
    <definedName name="车位公共部分装修" localSheetId="13">'[2]比较法-车位'!$B$83:$M$83</definedName>
    <definedName name="车位公共部分装修">'比较法-车位'!$B$83:$M$83</definedName>
    <definedName name="车位交易情况" localSheetId="50">'[1]比较法-车位'!$A$51:$M$51</definedName>
    <definedName name="车位交易情况" localSheetId="13">'[2]比较法-车位'!$A$51:$M$51</definedName>
    <definedName name="车位交易情况">'比较法-车位'!$A$51:$M$51</definedName>
    <definedName name="车位类型" localSheetId="50">'[1]比较法-车位'!$B$93:$M$93</definedName>
    <definedName name="车位类型" localSheetId="13">'[2]比较法-车位'!$B$93:$M$93</definedName>
    <definedName name="车位类型">'比较法-车位'!$B$93:$M$93</definedName>
    <definedName name="车位楼层" localSheetId="50">'[1]比较法-车位'!$B$71:$M$71</definedName>
    <definedName name="车位楼层" localSheetId="13">'[2]比较法-车位'!$B$71:$M$71</definedName>
    <definedName name="车位楼层">'比较法-车位'!$B$71:$M$71</definedName>
    <definedName name="车位配套类型" localSheetId="50">'[1]比较法-车位'!$B$79:$M$79</definedName>
    <definedName name="车位配套类型" localSheetId="13">'[2]比较法-车位'!$B$79:$M$79</definedName>
    <definedName name="车位配套类型">'比较法-车位'!$B$79:$M$79</definedName>
    <definedName name="车位物业等级" localSheetId="50">'[1]比较法-车位'!$B$88:$M$88</definedName>
    <definedName name="车位物业等级" localSheetId="13">'[2]比较法-车位'!$B$88:$M$88</definedName>
    <definedName name="车位物业等级">'比较法-车位'!$B$88:$M$88</definedName>
    <definedName name="车位用途" localSheetId="50">'[1]比较法-车位'!$B$53:$M$53</definedName>
    <definedName name="车位用途" localSheetId="13">'[2]比较法-车位'!$B$53:$M$53</definedName>
    <definedName name="车位用途">'比较法-车位'!$B$53:$M$53</definedName>
    <definedName name="城镇土地纳税等级分级范围" localSheetId="50">'[1]数据-取费表'!$A$53:$A$63</definedName>
    <definedName name="城镇土地纳税等级分级范围" localSheetId="13">'[2]数据-取费表'!$A$53:$A$63</definedName>
    <definedName name="城镇土地纳税等级分级范围">'数据-取费表'!$A$53:$A$63</definedName>
    <definedName name="单价内涵" localSheetId="50">[1]定义!$V$1:$V$3</definedName>
    <definedName name="单价内涵" localSheetId="13">[2]定义!$V$1:$V$3</definedName>
    <definedName name="单价内涵">定义!$V$1:$V$3</definedName>
    <definedName name="地类判定" localSheetId="50">[1]定义!$H$1:$H$9</definedName>
    <definedName name="地类判定" localSheetId="13">[2]定义!$H$1:$H$9</definedName>
    <definedName name="地类判定">定义!$H$1:$H$9</definedName>
    <definedName name="二级">区片价!$J$1:$J$21</definedName>
    <definedName name="二级分类" localSheetId="50">[1]修正!$C$19:$C$51</definedName>
    <definedName name="二级分类" localSheetId="13">[2]修正!$C$19:$C$51</definedName>
    <definedName name="二级分类">修正!$C$19:$C$51</definedName>
    <definedName name="法定最高年限" localSheetId="50">[1]定义!$G$1:$G$6</definedName>
    <definedName name="法定最高年限" localSheetId="13">[2]定义!$G$1:$G$6</definedName>
    <definedName name="法定最高年限">定义!$G$1:$G$6</definedName>
    <definedName name="工业公共部分装修" localSheetId="50">'[1]比较法-工业'!$B$95:$M$95</definedName>
    <definedName name="工业公共部分装修" localSheetId="13">'[2]比较法-工业'!$B$95:$M$95</definedName>
    <definedName name="工业公共部分装修">'比较法-工业'!$B$95:$M$95</definedName>
    <definedName name="工业基础设施水平" localSheetId="50">'[1]比较法-工业'!$B$102:$M$102</definedName>
    <definedName name="工业基础设施水平" localSheetId="13">'[2]比较法-工业'!$B$102:$M$102</definedName>
    <definedName name="工业基础设施水平">'比较法-工业'!$B$102:$M$102</definedName>
    <definedName name="工业建筑结构" localSheetId="50">'[1]比较法-工业'!$B$93:$M$93</definedName>
    <definedName name="工业建筑结构" localSheetId="13">'[2]比较法-工业'!$B$93:$M$93</definedName>
    <definedName name="工业建筑结构">'比较法-工业'!$B$93:$M$93</definedName>
    <definedName name="工业建筑类型" localSheetId="50">'[1]比较法-工业'!$B$88:$M$88</definedName>
    <definedName name="工业建筑类型" localSheetId="13">'[2]比较法-工业'!$B$88:$M$88</definedName>
    <definedName name="工业建筑类型">'比较法-工业'!$B$88:$M$88</definedName>
    <definedName name="工业交易情况" localSheetId="50">'[1]比较法-工业'!$A$55:$M$55</definedName>
    <definedName name="工业交易情况" localSheetId="13">'[2]比较法-工业'!$A$55:$M$55</definedName>
    <definedName name="工业交易情况">'比较法-工业'!$A$55:$M$55</definedName>
    <definedName name="工业内部装修" localSheetId="50">'[1]比较法-工业'!$B$104:$M$104</definedName>
    <definedName name="工业内部装修" localSheetId="13">'[2]比较法-工业'!$B$104:$M$104</definedName>
    <definedName name="工业内部装修">'比较法-工业'!$B$104:$M$104</definedName>
    <definedName name="工业物业管理" localSheetId="50">'[1]比较法-工业'!$B$100:$M$100</definedName>
    <definedName name="工业物业管理" localSheetId="13">'[2]比较法-工业'!$B$100:$M$100</definedName>
    <definedName name="工业物业管理">'比较法-工业'!$B$100:$M$100</definedName>
    <definedName name="工业用途" localSheetId="50">'[1]比较法-工业'!$B$57:$M$57</definedName>
    <definedName name="工业用途" localSheetId="13">'[2]比较法-工业'!$B$57:$M$57</definedName>
    <definedName name="工业用途">'比较法-工业'!$B$57:$M$57</definedName>
    <definedName name="公共配套设施" localSheetId="50">[1]定义!$Q$1:$Q$6</definedName>
    <definedName name="公共配套设施" localSheetId="13">[2]定义!$Q$1:$Q$6</definedName>
    <definedName name="公共配套设施">定义!$Q$1:$Q$6</definedName>
    <definedName name="估价范围判定" localSheetId="50">[1]定义!$D$1:$D$4</definedName>
    <definedName name="估价范围判定" localSheetId="13">[2]定义!$D$1:$D$4</definedName>
    <definedName name="估价范围判定">定义!$D$1:$D$4</definedName>
    <definedName name="估价方法" localSheetId="50">[1]定义!$B$1:$B$50</definedName>
    <definedName name="估价方法" localSheetId="13">[2]定义!$B$1:$B$50</definedName>
    <definedName name="估价方法">定义!$B$1:$B$50</definedName>
    <definedName name="环境" localSheetId="50">[1]定义!$S$1:$S$6</definedName>
    <definedName name="环境" localSheetId="13">[2]定义!$S$1:$S$6</definedName>
    <definedName name="环境">定义!$S$1:$S$6</definedName>
    <definedName name="基础设施水平" localSheetId="50">[1]定义!$R$1:$R$6</definedName>
    <definedName name="基础设施水平" localSheetId="13">[2]定义!$R$1:$R$6</definedName>
    <definedName name="基础设施水平">定义!$R$1:$R$6</definedName>
    <definedName name="季度">基准地价修正!$Q$19:$AD$19</definedName>
    <definedName name="价值类型2" localSheetId="50">[1]定义!$B$54:$B$56</definedName>
    <definedName name="价值类型2" localSheetId="13">[2]定义!$B$54:$B$56</definedName>
    <definedName name="价值类型2">定义!$B$54:$B$56</definedName>
    <definedName name="交通便捷度" localSheetId="50">[1]定义!$O$1:$O$6</definedName>
    <definedName name="交通便捷度" localSheetId="13">[2]定义!$O$1:$O$6</definedName>
    <definedName name="交通便捷度">定义!$O$1:$O$6</definedName>
    <definedName name="九级">区片价!$Q$1:$Q$51</definedName>
    <definedName name="居住社区成熟度" localSheetId="50">[1]定义!$K$1:$K$6</definedName>
    <definedName name="居住社区成熟度" localSheetId="13">[2]定义!$K$1:$K$6</definedName>
    <definedName name="居住社区成熟度">定义!$K$1:$K$6</definedName>
    <definedName name="可用科目">[3]隐藏数据!$B$1:$B$300</definedName>
    <definedName name="类别" localSheetId="50">[1]定义!$J$1:$J$3</definedName>
    <definedName name="类别" localSheetId="13">[2]定义!$J$1:$J$3</definedName>
    <definedName name="类别">定义!$J$1:$J$3</definedName>
    <definedName name="临街状况" localSheetId="50">[1]定义!$T$1:$T$5</definedName>
    <definedName name="临街状况" localSheetId="13">[2]定义!$T$1:$T$5</definedName>
    <definedName name="临街状况">定义!$T$1:$T$5</definedName>
    <definedName name="六级">区片价!$N$1:$N$64</definedName>
    <definedName name="内部装修维护情况" localSheetId="50">[1]定义!$U$1:$U$6</definedName>
    <definedName name="内部装修维护情况" localSheetId="13">[2]定义!$U$1:$U$6</definedName>
    <definedName name="内部装修维护情况">定义!$U$1:$U$6</definedName>
    <definedName name="判定">[4]定义!$D$1:$D$4</definedName>
    <definedName name="七级">区片价!$O$1:$O$45</definedName>
    <definedName name="七通一平" localSheetId="50">[1]修正!$A$8:$A$16</definedName>
    <definedName name="七通一平" localSheetId="13">[2]修正!$A$8:$A$16</definedName>
    <definedName name="七通一平">修正!$A$8:$A$16</definedName>
    <definedName name="区域土地利用方向" localSheetId="50">[1]定义!$P$1:$P$6</definedName>
    <definedName name="区域土地利用方向" localSheetId="13">[2]定义!$P$1:$P$6</definedName>
    <definedName name="区域土地利用方向">定义!$P$1:$P$6</definedName>
    <definedName name="三级">区片价!$K$1:$K$26</definedName>
    <definedName name="商业层高" localSheetId="50">'[1]比较法-商业'!$B$116:$M$116</definedName>
    <definedName name="商业层高" localSheetId="13">'[2]比较法-商业'!$B$116:$M$116</definedName>
    <definedName name="商业层高">'比较法-商业'!$B$116:$M$116</definedName>
    <definedName name="商业成新度">'比较法-商业'!$B$109:$M$109</definedName>
    <definedName name="商业繁华度" localSheetId="50">[1]定义!$L$1:$L$6</definedName>
    <definedName name="商业繁华度" localSheetId="13">[2]定义!$L$1:$L$6</definedName>
    <definedName name="商业繁华度">定义!$L$1:$L$6</definedName>
    <definedName name="商业公共部分装修" localSheetId="50">'[1]比较法-商业'!$B$107:$M$107</definedName>
    <definedName name="商业公共部分装修" localSheetId="13">'[2]比较法-商业'!$B$107:$M$107</definedName>
    <definedName name="商业公共部分装修">'比较法-商业'!$B$107:$M$107</definedName>
    <definedName name="商业基础设施水平" localSheetId="50">'[1]比较法-商业'!$B$112:$M$112</definedName>
    <definedName name="商业基础设施水平" localSheetId="13">'[2]比较法-商业'!$B$112:$M$112</definedName>
    <definedName name="商业基础设施水平">'比较法-商业'!$B$112:$M$112</definedName>
    <definedName name="商业建筑结构" localSheetId="50">'[1]比较法-商业'!$B$105:$M$105</definedName>
    <definedName name="商业建筑结构" localSheetId="13">'[2]比较法-商业'!$B$105:$M$105</definedName>
    <definedName name="商业建筑结构">'比较法-商业'!$B$105:$M$105</definedName>
    <definedName name="商业交易情况" localSheetId="50">'[1]比较法-商业'!$A$61:$M$61</definedName>
    <definedName name="商业交易情况" localSheetId="13">'[2]比较法-商业'!$A$61:$M$61</definedName>
    <definedName name="商业交易情况">'比较法-商业'!$A$61:$M$61</definedName>
    <definedName name="商业街名称" localSheetId="50">[1]修正!$C$71:$C$138</definedName>
    <definedName name="商业街名称" localSheetId="13">[2]修正!$C$71:$C$138</definedName>
    <definedName name="商业街名称">修正!$C$71:$C$138</definedName>
    <definedName name="商业进深比" localSheetId="50">'[1]比较法-商业'!$B$120:$M$120</definedName>
    <definedName name="商业进深比" localSheetId="13">'[2]比较法-商业'!$B$120:$M$120</definedName>
    <definedName name="商业进深比">'比较法-商业'!$B$120:$M$120</definedName>
    <definedName name="商业类型" localSheetId="50">'[1]比较法-商业'!$B$100:$M$100</definedName>
    <definedName name="商业类型" localSheetId="13">'[2]比较法-商业'!$B$100:$M$100</definedName>
    <definedName name="商业类型">'比较法-商业'!$B$100:$M$100</definedName>
    <definedName name="商业临街状况" localSheetId="50">'[1]比较法-商业'!$B$86:$M$86</definedName>
    <definedName name="商业临街状况" localSheetId="13">'[2]比较法-商业'!$B$86:$M$86</definedName>
    <definedName name="商业临街状况">'比较法-商业'!$B$86:$M$86</definedName>
    <definedName name="商业楼层" localSheetId="50">'[1]比较法-商业'!$B$92:$M$92</definedName>
    <definedName name="商业楼层" localSheetId="13">'[2]比较法-商业'!$B$92:$M$92</definedName>
    <definedName name="商业楼层">'比较法-商业'!$B$92:$M$92</definedName>
    <definedName name="商业内部装修" localSheetId="50">'[1]比较法-商业'!$B$122:$M$122</definedName>
    <definedName name="商业内部装修" localSheetId="13">'[2]比较法-商业'!$B$122:$M$122</definedName>
    <definedName name="商业内部装修">'比较法-商业'!$B$122:$M$122</definedName>
    <definedName name="商业人流量" localSheetId="50">'[1]比较法-商业'!$B$90:$M$90</definedName>
    <definedName name="商业人流量" localSheetId="13">'[2]比较法-商业'!$B$90:$M$90</definedName>
    <definedName name="商业人流量">'比较法-商业'!$B$90:$M$90</definedName>
    <definedName name="商业业态" localSheetId="50">'[1]比较法-商业'!$B$114:$M$114</definedName>
    <definedName name="商业业态" localSheetId="13">'[2]比较法-商业'!$B$114:$M$114</definedName>
    <definedName name="商业业态">'比较法-商业'!$B$114:$M$114</definedName>
    <definedName name="商业用途" localSheetId="50">'[1]比较法-商业'!$B$63:$M$63</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'[1]比较法-仓储'!$B$89:$M$89</definedName>
    <definedName name="是否封闭" localSheetId="13">'[2]比较法-仓储'!$B$89:$M$89</definedName>
    <definedName name="是否封闭">'比较法-仓储'!$B$89:$M$89</definedName>
    <definedName name="是否直接入户" localSheetId="50">'[1]比较法-车位'!$B$95:$M$95</definedName>
    <definedName name="是否直接入户" localSheetId="13">'[2]比较法-车位'!$B$95:$M$95</definedName>
    <definedName name="是否直接入户">'比较法-车位'!$B$95:$M$95</definedName>
    <definedName name="四级">区片价!$L$1:$L$33</definedName>
    <definedName name="套工道路等级" localSheetId="50">'[1]土地比较法-工业'!$B$97:$M$97</definedName>
    <definedName name="套工道路等级" localSheetId="13">'[2]土地比较法-工业'!$B$97:$M$97</definedName>
    <definedName name="套工道路等级">'土地比较法-工业'!$B$97:$M$97</definedName>
    <definedName name="套工地质条件" localSheetId="50">'[1]土地比较法-工业'!$B$114:$M$114</definedName>
    <definedName name="套工地质条件" localSheetId="13">'[2]土地比较法-工业'!$B$114:$M$114</definedName>
    <definedName name="套工地质条件">'土地比较法-工业'!$B$114:$M$114</definedName>
    <definedName name="套工交易情况" localSheetId="50">'[1]土地比较法-住宅、综合'!$A$72:$M$72</definedName>
    <definedName name="套工交易情况" localSheetId="13">'[2]土地比较法-住宅、综合'!$A$72:$M$72</definedName>
    <definedName name="套工交易情况">'土地比较法-住宅、综合'!$A$72:$M$72</definedName>
    <definedName name="套工土地级别" localSheetId="50">'[1]土地比较法-工业'!$B$99:$M$99</definedName>
    <definedName name="套工土地级别" localSheetId="13">'[2]土地比较法-工业'!$B$99:$M$99</definedName>
    <definedName name="套工土地级别">'土地比较法-工业'!$B$99:$M$99</definedName>
    <definedName name="套工用途" localSheetId="50">'[1]土地比较法-工业'!$B$70:$M$70</definedName>
    <definedName name="套工用途" localSheetId="13">'[2]土地比较法-工业'!$B$70:$M$70</definedName>
    <definedName name="套工用途">'土地比较法-工业'!$B$70:$M$70</definedName>
    <definedName name="套工宗地开发程度" localSheetId="50">'[1]土地比较法-工业'!$B$112:$M$112</definedName>
    <definedName name="套工宗地开发程度" localSheetId="13">'[2]土地比较法-工业'!$B$112:$M$112</definedName>
    <definedName name="套工宗地开发程度">'土地比较法-工业'!$B$112:$M$112</definedName>
    <definedName name="套工宗地形状" localSheetId="50">'[1]土地比较法-工业'!$B$110:$M$110</definedName>
    <definedName name="套工宗地形状" localSheetId="13">'[2]土地比较法-工业'!$B$110:$M$110</definedName>
    <definedName name="套工宗地形状">'土地比较法-工业'!$B$110:$M$110</definedName>
    <definedName name="套综道路等级" localSheetId="50">'[1]土地比较法-住宅、综合'!$B$105:$M$105</definedName>
    <definedName name="套综道路等级" localSheetId="13">'[2]土地比较法-住宅、综合'!$B$105:$M$105</definedName>
    <definedName name="套综道路等级">'土地比较法-住宅、综合'!$B$105:$M$105</definedName>
    <definedName name="套综工程地质条件" localSheetId="50">'[1]土地比较法-住宅、综合'!$B$124:$M$124</definedName>
    <definedName name="套综工程地质条件" localSheetId="13">'[2]土地比较法-住宅、综合'!$B$124:$M$124</definedName>
    <definedName name="套综工程地质条件">'土地比较法-住宅、综合'!$B$124:$M$124</definedName>
    <definedName name="套综交易情况" localSheetId="50">'[1]土地比较法-住宅、综合'!$A$72:$M$72</definedName>
    <definedName name="套综交易情况" localSheetId="13">'[2]土地比较法-住宅、综合'!$A$72:$M$72</definedName>
    <definedName name="套综交易情况">'土地比较法-住宅、综合'!$A$72:$M$72</definedName>
    <definedName name="套综临街宽度及深度" localSheetId="50">'[1]土地比较法-住宅、综合'!$B$120:$M$120</definedName>
    <definedName name="套综临街宽度及深度" localSheetId="13">'[2]土地比较法-住宅、综合'!$B$120:$M$120</definedName>
    <definedName name="套综临街宽度及深度">'土地比较法-住宅、综合'!$B$120:$M$120</definedName>
    <definedName name="套综土地级别" localSheetId="50">'[1]土地比较法-住宅、综合'!$B$107:$M$107</definedName>
    <definedName name="套综土地级别" localSheetId="13">'[2]土地比较法-住宅、综合'!$B$107:$M$107</definedName>
    <definedName name="套综土地级别">'土地比较法-住宅、综合'!$B$107:$M$107</definedName>
    <definedName name="套综用途" localSheetId="50">'[1]土地比较法-住宅、综合'!$B$74:$M$74</definedName>
    <definedName name="套综用途" localSheetId="13">'[2]土地比较法-住宅、综合'!$B$74:$M$74</definedName>
    <definedName name="套综用途">'土地比较法-住宅、综合'!$B$74:$M$74</definedName>
    <definedName name="套综宗地内开发程度" localSheetId="50">'[1]土地比较法-住宅、综合'!$B$122:$M$122</definedName>
    <definedName name="套综宗地内开发程度" localSheetId="13">'[2]土地比较法-住宅、综合'!$B$122:$M$122</definedName>
    <definedName name="套综宗地内开发程度">'土地比较法-住宅、综合'!$B$122:$M$122</definedName>
    <definedName name="套综宗地形状" localSheetId="50">'[1]土地比较法-住宅、综合'!$B$118:$M$118</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50">[1]定义!$C$1:$C$14</definedName>
    <definedName name="土地级别" localSheetId="13">[2]定义!$C$1:$C$14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13">[2]定义!$E$2:$E$4</definedName>
    <definedName name="位置">定义!$E$2:$E$4</definedName>
    <definedName name="五等判定" localSheetId="50">[1]定义!$W$1:$W$6</definedName>
    <definedName name="五等判定" localSheetId="13">[2]定义!$W$1:$W$6</definedName>
    <definedName name="五等判定">定义!$W$1:$W$6</definedName>
    <definedName name="五级">区片价!$M$1:$M$41</definedName>
    <definedName name="项目类型" localSheetId="50">'[1]数据-汇总表'!$C$17:$C$26</definedName>
    <definedName name="项目类型" localSheetId="13">'[2]数据-汇总表'!$C$17:$C$26</definedName>
    <definedName name="项目类型" localSheetId="24">'[5]数据-汇总表'!$C$17:$C$26</definedName>
    <definedName name="项目类型">'数据-汇总表'!$C$17:$C$26</definedName>
    <definedName name="写字楼等级" localSheetId="27">'比较法-办公2'!$B$113:$M$113</definedName>
    <definedName name="写字楼等级" localSheetId="50">'[1]比较法-办公'!$B$113:$M$113</definedName>
    <definedName name="写字楼等级" localSheetId="13">'[2]比较法-办公'!$B$113:$M$113</definedName>
    <definedName name="写字楼等级">'比较法-办公'!$B$113:$M$113</definedName>
    <definedName name="一级">区片价!$I$1:$I$6</definedName>
    <definedName name="一修多修正项2" localSheetId="50">[1]典型户型修正!$5:$5</definedName>
    <definedName name="一修多修正项2" localSheetId="13">[2]典型户型修正!$5:$5</definedName>
    <definedName name="一修多修正项2">典型户型修正!$5:$5</definedName>
    <definedName name="一修多修正项3" localSheetId="50">[1]典型户型修正!$7:$7</definedName>
    <definedName name="一修多修正项3" localSheetId="13">[2]典型户型修正!$7:$7</definedName>
    <definedName name="一修多修正项3">典型户型修正!$7:$7</definedName>
    <definedName name="一修多修正项4" localSheetId="50">[1]典型户型修正!$9:$9</definedName>
    <definedName name="一修多修正项4" localSheetId="13">[2]典型户型修正!$9:$9</definedName>
    <definedName name="一修多修正项4">典型户型修正!$9:$9</definedName>
    <definedName name="一修多修正项5" localSheetId="50">[1]典型户型修正!$11:$11</definedName>
    <definedName name="一修多修正项5" localSheetId="13">[2]典型户型修正!$11:$11</definedName>
    <definedName name="一修多修正项5">典型户型修正!$11:$11</definedName>
    <definedName name="一修多修正项6" localSheetId="50">[1]典型户型修正!$13:$13</definedName>
    <definedName name="一修多修正项6" localSheetId="13">[2]典型户型修正!$13:$13</definedName>
    <definedName name="一修多修正项6">典型户型修正!$13:$13</definedName>
    <definedName name="一修多修正项7" localSheetId="50">[1]典型户型修正!$15:$15</definedName>
    <definedName name="一修多修正项7" localSheetId="13">[2]典型户型修正!$15:$15</definedName>
    <definedName name="一修多修正项7">典型户型修正!$15:$15</definedName>
    <definedName name="一修多修正项8" localSheetId="50">[1]典型户型修正!$17:$17</definedName>
    <definedName name="一修多修正项8" localSheetId="13">[2]典型户型修正!$17:$17</definedName>
    <definedName name="一修多修正项8">典型户型修正!$17:$17</definedName>
    <definedName name="用途明细" localSheetId="50">[1]定义!$A$1:$A$50</definedName>
    <definedName name="用途明细" localSheetId="13">[2]定义!$A$1:$A$50</definedName>
    <definedName name="用途明细">定义!$A$1:$A$50</definedName>
    <definedName name="有无电梯" localSheetId="50">'[1]比较法-仓储'!$B$84:$M$84</definedName>
    <definedName name="有无电梯" localSheetId="13">'[2]比较法-仓储'!$B$84:$M$84</definedName>
    <definedName name="有无电梯">'比较法-仓储'!$B$84:$M$84</definedName>
    <definedName name="主用途" localSheetId="50">[1]定义!$F$1:$F$12</definedName>
    <definedName name="主用途" localSheetId="13">[2]定义!$F$1:$F$12</definedName>
    <definedName name="主用途">定义!$F$1:$F$12</definedName>
    <definedName name="住宅朝向" localSheetId="50">'[1]比较法-住宅'!$B$88:$M$88</definedName>
    <definedName name="住宅朝向" localSheetId="13">'[2]比较法-住宅'!$B$88:$M$88</definedName>
    <definedName name="住宅朝向">'比较法-住宅'!$B$88:$M$88</definedName>
    <definedName name="住宅房型" localSheetId="50">'[1]比较法-住宅'!$B$118:$M$118</definedName>
    <definedName name="住宅房型" localSheetId="13">'[2]比较法-住宅'!$B$118:$M$118</definedName>
    <definedName name="住宅房型">'比较法-住宅'!$B$118:$M$118</definedName>
    <definedName name="住宅公共部分装修" localSheetId="50">'[1]比较法-住宅'!$B$109:$M$109</definedName>
    <definedName name="住宅公共部分装修" localSheetId="13">'[2]比较法-住宅'!$B$109:$M$109</definedName>
    <definedName name="住宅公共部分装修">'比较法-住宅'!$B$109:$M$109</definedName>
    <definedName name="住宅基础设施水平" localSheetId="50">'[1]比较法-住宅'!$B$116:$M$116</definedName>
    <definedName name="住宅基础设施水平" localSheetId="13">'[2]比较法-住宅'!$B$116:$M$116</definedName>
    <definedName name="住宅基础设施水平">'比较法-住宅'!$B$116:$M$116</definedName>
    <definedName name="住宅建筑结构" localSheetId="50">'[1]比较法-住宅'!$B$105:$M$105</definedName>
    <definedName name="住宅建筑结构" localSheetId="13">'[2]比较法-住宅'!$B$105:$M$105</definedName>
    <definedName name="住宅建筑结构">'比较法-住宅'!$B$105:$M$105</definedName>
    <definedName name="住宅建筑类型" localSheetId="50">'[1]比较法-住宅'!$B$100:$M$100</definedName>
    <definedName name="住宅建筑类型" localSheetId="13">'[2]比较法-住宅'!$B$100:$M$100</definedName>
    <definedName name="住宅建筑类型">'比较法-住宅'!$B$100:$M$100</definedName>
    <definedName name="住宅建筑品质" localSheetId="50">'[1]比较法-住宅'!$B$107:$M$107</definedName>
    <definedName name="住宅建筑品质" localSheetId="13">'[2]比较法-住宅'!$B$107:$M$107</definedName>
    <definedName name="住宅建筑品质">'比较法-住宅'!$B$107:$M$107</definedName>
    <definedName name="住宅交易情况" localSheetId="50">'[1]比较法-住宅'!$A$61:$M$61</definedName>
    <definedName name="住宅交易情况" localSheetId="13">'[2]比较法-住宅'!$A$61:$M$61</definedName>
    <definedName name="住宅交易情况">'比较法-住宅'!$A$61:$M$61</definedName>
    <definedName name="住宅楼层" localSheetId="50">'[1]比较法-住宅'!$B$86:$M$86</definedName>
    <definedName name="住宅楼层" localSheetId="13">'[2]比较法-住宅'!$B$86:$M$86</definedName>
    <definedName name="住宅楼层">'比较法-住宅'!$B$86:$M$86</definedName>
    <definedName name="住宅内部装修" localSheetId="50">'[1]比较法-住宅'!$B$122:$M$122</definedName>
    <definedName name="住宅内部装修" localSheetId="13">'[2]比较法-住宅'!$B$122:$M$122</definedName>
    <definedName name="住宅内部装修">'比较法-住宅'!$B$122:$M$122</definedName>
    <definedName name="住宅物业管理" localSheetId="50">'[1]比较法-住宅'!$B$114:$M$114</definedName>
    <definedName name="住宅物业管理" localSheetId="13">'[2]比较法-住宅'!$B$114:$M$114</definedName>
    <definedName name="住宅物业管理">'比较法-住宅'!$B$114:$M$114</definedName>
    <definedName name="住宅用途" localSheetId="50">'[1]比较法-住宅'!$B$63:$M$63</definedName>
    <definedName name="住宅用途" localSheetId="13">'[2]比较法-住宅'!$B$63:$M$63</definedName>
    <definedName name="住宅用途">'比较法-住宅'!$B$63:$M$63</definedName>
    <definedName name="住宅主力户型面积">'比较法-住宅'!$B$120:$M$120</definedName>
    <definedName name="注册房地产估价师" localSheetId="50">[1]估价师及机构信息!$A$3:$A$16</definedName>
    <definedName name="注册房地产估价师" localSheetId="13">[2]估价师及机构信息!$A$3:$A$16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Z6" i="1" l="1"/>
  <c r="H21" i="90" l="1"/>
  <c r="AD6" i="1" s="1"/>
  <c r="AF6" i="1"/>
  <c r="I24" i="90"/>
  <c r="H19" i="90"/>
  <c r="C6" i="90" l="1"/>
  <c r="C5" i="90"/>
  <c r="I26" i="90"/>
  <c r="D61" i="90"/>
  <c r="J49" i="15" l="1"/>
  <c r="N6" i="1"/>
  <c r="G19" i="6"/>
  <c r="F26" i="90"/>
  <c r="O13" i="3"/>
  <c r="M13" i="3"/>
  <c r="K13" i="3"/>
  <c r="F19" i="6" s="1"/>
  <c r="I13" i="3"/>
  <c r="F24" i="90"/>
  <c r="F23" i="90"/>
  <c r="F25" i="90"/>
  <c r="E24" i="90"/>
  <c r="E23" i="90"/>
  <c r="C26" i="90"/>
  <c r="C25" i="90"/>
  <c r="C24" i="90"/>
  <c r="C23" i="90"/>
  <c r="E26" i="90" l="1"/>
  <c r="E25" i="90"/>
  <c r="C42" i="90"/>
  <c r="C40" i="90"/>
  <c r="C37" i="90"/>
  <c r="C36" i="90"/>
  <c r="C33" i="90"/>
  <c r="C34" i="90"/>
  <c r="C32" i="90"/>
  <c r="C35" i="90"/>
  <c r="C39" i="90"/>
  <c r="C38" i="90"/>
  <c r="D105" i="86"/>
  <c r="E105" i="86" s="1"/>
  <c r="F105" i="86" s="1"/>
  <c r="G105" i="86" s="1"/>
  <c r="C46" i="86"/>
  <c r="C10" i="86"/>
  <c r="E67" i="34" l="1"/>
  <c r="F67" i="34"/>
  <c r="D67" i="34"/>
  <c r="D42" i="43" l="1"/>
  <c r="D37" i="43"/>
  <c r="G44" i="43"/>
  <c r="H36" i="6"/>
  <c r="G36" i="6"/>
  <c r="G37" i="6" s="1"/>
  <c r="I25" i="90"/>
  <c r="I27" i="90" s="1"/>
  <c r="E27" i="90"/>
  <c r="H18" i="90"/>
  <c r="I17" i="90"/>
  <c r="I16" i="90"/>
  <c r="I18" i="90" s="1"/>
  <c r="H16" i="90"/>
  <c r="E9" i="90"/>
  <c r="D9" i="90"/>
  <c r="E6" i="90"/>
  <c r="E5" i="90"/>
  <c r="E4" i="90" l="1"/>
  <c r="F36" i="6"/>
  <c r="H37" i="6"/>
  <c r="C4" i="90"/>
  <c r="C7" i="90" s="1"/>
  <c r="E7" i="90" s="1"/>
  <c r="D4" i="90" l="1"/>
  <c r="C10" i="90"/>
  <c r="C8" i="90"/>
  <c r="E8" i="90" s="1"/>
  <c r="E10" i="90"/>
  <c r="D10" i="90" s="1"/>
  <c r="G10" i="90" l="1"/>
  <c r="C11" i="4" l="1"/>
  <c r="C75" i="9" l="1"/>
  <c r="B55" i="1" l="1"/>
  <c r="K1" i="15" l="1"/>
  <c r="J1" i="15"/>
  <c r="D130" i="34" l="1"/>
  <c r="E130" i="34" s="1"/>
  <c r="F130" i="34" s="1"/>
  <c r="G130" i="34" s="1"/>
  <c r="H130" i="34" s="1"/>
  <c r="I130" i="34" s="1"/>
  <c r="I46" i="34"/>
  <c r="G46" i="34"/>
  <c r="F123" i="34"/>
  <c r="E123" i="34"/>
  <c r="D123" i="34"/>
  <c r="C123" i="34"/>
  <c r="C37" i="34"/>
  <c r="I5" i="34"/>
  <c r="I48" i="86" l="1"/>
  <c r="I34" i="86"/>
  <c r="I5" i="86"/>
  <c r="C12" i="84"/>
  <c r="E48" i="86"/>
  <c r="E46" i="86"/>
  <c r="E34" i="86"/>
  <c r="E5" i="86"/>
  <c r="D67" i="86" l="1"/>
  <c r="E67" i="86" s="1"/>
  <c r="F67" i="86" s="1"/>
  <c r="D130" i="86"/>
  <c r="E130" i="86" s="1"/>
  <c r="F130" i="86" s="1"/>
  <c r="G130" i="86" s="1"/>
  <c r="H130" i="86" s="1"/>
  <c r="G46" i="86"/>
  <c r="I46" i="86" s="1"/>
  <c r="G48" i="86"/>
  <c r="G34" i="86"/>
  <c r="B155" i="87"/>
  <c r="B156" i="87" s="1"/>
  <c r="F123" i="86"/>
  <c r="E123" i="86"/>
  <c r="D123" i="86"/>
  <c r="C123" i="86"/>
  <c r="C37" i="86"/>
  <c r="G5" i="86"/>
  <c r="P93" i="87"/>
  <c r="P90" i="87"/>
  <c r="P82" i="87"/>
  <c r="P78" i="87"/>
  <c r="B131" i="86" l="1"/>
  <c r="B129" i="86"/>
  <c r="B127" i="86"/>
  <c r="D126" i="86"/>
  <c r="E126" i="86" s="1"/>
  <c r="F126" i="86" s="1"/>
  <c r="G126" i="86" s="1"/>
  <c r="D124" i="86"/>
  <c r="E124" i="86" s="1"/>
  <c r="D120" i="86"/>
  <c r="E120" i="86" s="1"/>
  <c r="F120" i="86" s="1"/>
  <c r="G120" i="86" s="1"/>
  <c r="H120" i="86" s="1"/>
  <c r="I120" i="86" s="1"/>
  <c r="J120" i="86" s="1"/>
  <c r="K120" i="86" s="1"/>
  <c r="L120" i="86" s="1"/>
  <c r="M120" i="86" s="1"/>
  <c r="D118" i="86"/>
  <c r="E118" i="86" s="1"/>
  <c r="F118" i="86" s="1"/>
  <c r="G118" i="86" s="1"/>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D112" i="86"/>
  <c r="E112" i="86" s="1"/>
  <c r="F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B95" i="86"/>
  <c r="B93" i="86"/>
  <c r="D92" i="86"/>
  <c r="E92" i="86" s="1"/>
  <c r="F92" i="86" s="1"/>
  <c r="G92" i="86" s="1"/>
  <c r="H92" i="86" s="1"/>
  <c r="I92" i="86" s="1"/>
  <c r="J92" i="86" s="1"/>
  <c r="K92" i="86" s="1"/>
  <c r="L92" i="86" s="1"/>
  <c r="M92" i="86" s="1"/>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D86" i="86"/>
  <c r="E86" i="86" s="1"/>
  <c r="D84" i="86"/>
  <c r="E84" i="86" s="1"/>
  <c r="F84" i="86" s="1"/>
  <c r="G84" i="86" s="1"/>
  <c r="D82" i="86"/>
  <c r="E82" i="86" s="1"/>
  <c r="D80" i="86"/>
  <c r="E80" i="86" s="1"/>
  <c r="D78" i="86"/>
  <c r="E78" i="86" s="1"/>
  <c r="B75" i="86"/>
  <c r="B73" i="86"/>
  <c r="B71" i="86"/>
  <c r="E70" i="86"/>
  <c r="F70" i="86" s="1"/>
  <c r="G70" i="86" s="1"/>
  <c r="H70" i="86" s="1"/>
  <c r="I70" i="86" s="1"/>
  <c r="J70" i="86" s="1"/>
  <c r="K70" i="86" s="1"/>
  <c r="L70" i="86" s="1"/>
  <c r="M70" i="86" s="1"/>
  <c r="D70" i="86"/>
  <c r="M68" i="86"/>
  <c r="L68" i="86"/>
  <c r="K68" i="86"/>
  <c r="J68" i="86"/>
  <c r="I68" i="86"/>
  <c r="H68" i="86"/>
  <c r="G68" i="86"/>
  <c r="F68" i="86"/>
  <c r="E68" i="86"/>
  <c r="D68" i="86"/>
  <c r="C68" i="86"/>
  <c r="C64" i="86"/>
  <c r="P60" i="86"/>
  <c r="Q60" i="86" s="1"/>
  <c r="R60" i="86" s="1"/>
  <c r="S60" i="86" s="1"/>
  <c r="T60" i="86" s="1"/>
  <c r="U60" i="86" s="1"/>
  <c r="V60" i="86" s="1"/>
  <c r="W60" i="86" s="1"/>
  <c r="X60" i="86" s="1"/>
  <c r="Y60" i="86" s="1"/>
  <c r="Z60" i="86" s="1"/>
  <c r="AA60" i="86" s="1"/>
  <c r="AB60" i="86" s="1"/>
  <c r="AC60" i="86" s="1"/>
  <c r="AD60" i="86" s="1"/>
  <c r="AE60" i="86" s="1"/>
  <c r="AF60" i="86" s="1"/>
  <c r="AG60" i="86" s="1"/>
  <c r="AH60" i="86" s="1"/>
  <c r="AI60" i="86" s="1"/>
  <c r="AJ60" i="86" s="1"/>
  <c r="AK60" i="86" s="1"/>
  <c r="AL60" i="86" s="1"/>
  <c r="AM60" i="86" s="1"/>
  <c r="AN60" i="86" s="1"/>
  <c r="AO60"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F127" i="86"/>
  <c r="D127" i="86"/>
  <c r="Q44" i="86"/>
  <c r="Z44" i="86" s="1"/>
  <c r="J44" i="86"/>
  <c r="AC44" i="86" s="1"/>
  <c r="H44" i="86"/>
  <c r="AB44" i="86" s="1"/>
  <c r="F44" i="86"/>
  <c r="AA44" i="86" s="1"/>
  <c r="Q43" i="86"/>
  <c r="Z43" i="86" s="1"/>
  <c r="J43" i="86"/>
  <c r="AC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C23" i="86"/>
  <c r="Q21" i="86"/>
  <c r="Z21" i="86" s="1"/>
  <c r="J21" i="86"/>
  <c r="AC21" i="86" s="1"/>
  <c r="H21" i="86"/>
  <c r="AB21" i="86" s="1"/>
  <c r="F21" i="86"/>
  <c r="AA21" i="86" s="1"/>
  <c r="C21" i="86"/>
  <c r="Q19" i="86"/>
  <c r="Z19" i="86" s="1"/>
  <c r="C19" i="86"/>
  <c r="Q17" i="86"/>
  <c r="Z17" i="86" s="1"/>
  <c r="H17" i="86"/>
  <c r="AB17" i="86" s="1"/>
  <c r="F17" i="86"/>
  <c r="AA17" i="86" s="1"/>
  <c r="C17" i="86"/>
  <c r="Q15" i="86"/>
  <c r="Z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H10" i="86"/>
  <c r="Q9" i="86"/>
  <c r="Z9" i="86" s="1"/>
  <c r="J9" i="86"/>
  <c r="AC9" i="86" s="1"/>
  <c r="H9" i="86"/>
  <c r="AB9" i="86" s="1"/>
  <c r="F9" i="86"/>
  <c r="AA9" i="86" s="1"/>
  <c r="AC8" i="86"/>
  <c r="J8" i="86"/>
  <c r="W8" i="86" s="1"/>
  <c r="H8" i="86"/>
  <c r="AB8" i="86" s="1"/>
  <c r="F8" i="86"/>
  <c r="S8" i="86" s="1"/>
  <c r="D2" i="86"/>
  <c r="U35" i="86" l="1"/>
  <c r="U8" i="86"/>
  <c r="F124" i="86"/>
  <c r="G124" i="86" s="1"/>
  <c r="H124" i="86" s="1"/>
  <c r="I124" i="86" s="1"/>
  <c r="J124" i="86" s="1"/>
  <c r="K124" i="86" s="1"/>
  <c r="L124" i="86" s="1"/>
  <c r="M124" i="86" s="1"/>
  <c r="H43" i="86"/>
  <c r="AB43" i="86" s="1"/>
  <c r="F43" i="86"/>
  <c r="AA43" i="86" s="1"/>
  <c r="F82" i="86"/>
  <c r="G82" i="86" s="1"/>
  <c r="F19" i="86"/>
  <c r="AA19" i="86" s="1"/>
  <c r="J19" i="86"/>
  <c r="AC19" i="86" s="1"/>
  <c r="H19" i="86"/>
  <c r="AB19" i="86" s="1"/>
  <c r="F78" i="86"/>
  <c r="G78" i="86" s="1"/>
  <c r="J15" i="86"/>
  <c r="AC15" i="86" s="1"/>
  <c r="H15" i="86"/>
  <c r="AB15" i="86" s="1"/>
  <c r="F86" i="86"/>
  <c r="G86" i="86" s="1"/>
  <c r="H23" i="86"/>
  <c r="AB23" i="86" s="1"/>
  <c r="F23" i="86"/>
  <c r="AA23" i="86" s="1"/>
  <c r="J23" i="86"/>
  <c r="AC23" i="86" s="1"/>
  <c r="F80" i="86"/>
  <c r="G80" i="86" s="1"/>
  <c r="J17" i="86"/>
  <c r="AC17" i="86" s="1"/>
  <c r="AB10" i="86"/>
  <c r="U10" i="86"/>
  <c r="S12" i="86"/>
  <c r="U13" i="86"/>
  <c r="W14" i="86"/>
  <c r="W21" i="86"/>
  <c r="S27" i="86"/>
  <c r="U28" i="86"/>
  <c r="W29" i="86"/>
  <c r="S31" i="86"/>
  <c r="U32" i="86"/>
  <c r="G112" i="86"/>
  <c r="AA8" i="86"/>
  <c r="U9" i="86"/>
  <c r="F10" i="86"/>
  <c r="J10" i="86"/>
  <c r="W9" i="86"/>
  <c r="S11" i="86"/>
  <c r="U12" i="86"/>
  <c r="W13" i="86"/>
  <c r="S25" i="86"/>
  <c r="U27" i="86"/>
  <c r="W28" i="86"/>
  <c r="S30" i="86"/>
  <c r="U31" i="86"/>
  <c r="W32" i="86"/>
  <c r="U11" i="86"/>
  <c r="W12" i="86"/>
  <c r="S14" i="86"/>
  <c r="S15" i="86"/>
  <c r="S17" i="86"/>
  <c r="S21" i="86"/>
  <c r="U25" i="86"/>
  <c r="W27" i="86"/>
  <c r="S29" i="86"/>
  <c r="U30" i="86"/>
  <c r="W31" i="86"/>
  <c r="S33" i="86"/>
  <c r="S9" i="86"/>
  <c r="W11" i="86"/>
  <c r="S13" i="86"/>
  <c r="U14" i="86"/>
  <c r="U17" i="86"/>
  <c r="U21" i="86"/>
  <c r="W25" i="86"/>
  <c r="S28" i="86"/>
  <c r="U29" i="86"/>
  <c r="W30" i="86"/>
  <c r="S32" i="86"/>
  <c r="W36" i="86"/>
  <c r="S38" i="86"/>
  <c r="U39" i="86"/>
  <c r="W40" i="86"/>
  <c r="S42" i="86"/>
  <c r="W44" i="86"/>
  <c r="S46" i="86"/>
  <c r="U47" i="86"/>
  <c r="E127" i="86"/>
  <c r="U33" i="86"/>
  <c r="W35" i="86"/>
  <c r="U38" i="86"/>
  <c r="W39" i="86"/>
  <c r="S41" i="86"/>
  <c r="U42" i="86"/>
  <c r="W43" i="86"/>
  <c r="U46" i="86"/>
  <c r="W47" i="86"/>
  <c r="W33" i="86"/>
  <c r="S36" i="86"/>
  <c r="W38" i="86"/>
  <c r="S40" i="86"/>
  <c r="U41" i="86"/>
  <c r="W42" i="86"/>
  <c r="S44" i="86"/>
  <c r="W46" i="86"/>
  <c r="S35" i="86"/>
  <c r="U36" i="86"/>
  <c r="S39" i="86"/>
  <c r="U40" i="86"/>
  <c r="W41" i="86"/>
  <c r="U44" i="86"/>
  <c r="S47" i="86"/>
  <c r="S43" i="86" l="1"/>
  <c r="U43" i="86"/>
  <c r="H112" i="86"/>
  <c r="I112" i="86" s="1"/>
  <c r="J112" i="86" s="1"/>
  <c r="K112" i="86" s="1"/>
  <c r="L112" i="86" s="1"/>
  <c r="M112" i="86" s="1"/>
  <c r="H37" i="86"/>
  <c r="J37" i="86"/>
  <c r="AC37" i="86" s="1"/>
  <c r="F37" i="86"/>
  <c r="AA37" i="86" s="1"/>
  <c r="U19" i="86"/>
  <c r="S19" i="86"/>
  <c r="W19" i="86"/>
  <c r="U15" i="86"/>
  <c r="W15" i="86"/>
  <c r="S23" i="86"/>
  <c r="U23" i="86"/>
  <c r="W23" i="86"/>
  <c r="W17" i="86"/>
  <c r="AC10" i="86"/>
  <c r="W10" i="86"/>
  <c r="AA10" i="86"/>
  <c r="S10" i="86"/>
  <c r="W37" i="86" l="1"/>
  <c r="S37" i="86"/>
  <c r="AB37" i="86"/>
  <c r="U37" i="86"/>
  <c r="AM6" i="1"/>
  <c r="D105" i="34"/>
  <c r="E105" i="34" s="1"/>
  <c r="F105" i="34" s="1"/>
  <c r="G105" i="34" s="1"/>
  <c r="G10" i="34"/>
  <c r="AB60" i="34"/>
  <c r="P60" i="34"/>
  <c r="Q60" i="34"/>
  <c r="R60" i="34" s="1"/>
  <c r="S60" i="34" s="1"/>
  <c r="T60" i="34" s="1"/>
  <c r="U60" i="34" s="1"/>
  <c r="V60" i="34" s="1"/>
  <c r="W60" i="34" s="1"/>
  <c r="X60" i="34" s="1"/>
  <c r="Y60" i="34" s="1"/>
  <c r="Z60" i="34" s="1"/>
  <c r="AA60" i="34" s="1"/>
  <c r="G45" i="34"/>
  <c r="O32" i="85"/>
  <c r="O17" i="85"/>
  <c r="O11" i="85"/>
  <c r="O31" i="85"/>
  <c r="P32" i="85"/>
  <c r="M32" i="85"/>
  <c r="G32" i="85"/>
  <c r="H32" i="85" s="1"/>
  <c r="U31" i="85"/>
  <c r="V31" i="85" s="1"/>
  <c r="P31" i="85"/>
  <c r="M31" i="85"/>
  <c r="L31" i="85"/>
  <c r="H31" i="85"/>
  <c r="U30" i="85"/>
  <c r="V30" i="85" s="1"/>
  <c r="Q30" i="85"/>
  <c r="P30" i="85"/>
  <c r="O30" i="85"/>
  <c r="M30" i="85"/>
  <c r="U19" i="85"/>
  <c r="V19" i="85" s="1"/>
  <c r="Q19" i="85"/>
  <c r="P19" i="85"/>
  <c r="Q8" i="85"/>
  <c r="R8" i="85" s="1"/>
  <c r="O8" i="85" s="1"/>
  <c r="AC60" i="34" l="1"/>
  <c r="AD60" i="34" s="1"/>
  <c r="AE60" i="34" s="1"/>
  <c r="AF60" i="34" s="1"/>
  <c r="AG60" i="34" s="1"/>
  <c r="AH60" i="34" s="1"/>
  <c r="AI60" i="34" s="1"/>
  <c r="AJ60" i="34" s="1"/>
  <c r="AK60" i="34" s="1"/>
  <c r="AL60" i="34" s="1"/>
  <c r="AM60" i="34" s="1"/>
  <c r="AN60" i="34" s="1"/>
  <c r="AO60" i="34" s="1"/>
  <c r="J52" i="84"/>
  <c r="J49" i="84"/>
  <c r="J52" i="15"/>
  <c r="B57" i="1"/>
  <c r="B35" i="1"/>
  <c r="B21" i="1"/>
  <c r="Q72" i="84" l="1"/>
  <c r="Q59" i="84"/>
  <c r="K59" i="84"/>
  <c r="P74" i="84" s="1"/>
  <c r="F59" i="84"/>
  <c r="Q58" i="84"/>
  <c r="Q51" i="84"/>
  <c r="J50" i="84"/>
  <c r="M47" i="84"/>
  <c r="D46" i="84"/>
  <c r="F33" i="84"/>
  <c r="F61" i="84" s="1"/>
  <c r="F31" i="84"/>
  <c r="F23" i="84"/>
  <c r="D24" i="84" s="1"/>
  <c r="F21" i="84"/>
  <c r="F20" i="84"/>
  <c r="M19" i="84"/>
  <c r="F18" i="84"/>
  <c r="M17" i="84"/>
  <c r="F17" i="84"/>
  <c r="F15" i="84"/>
  <c r="Y6" i="1" l="1"/>
  <c r="P61" i="84"/>
  <c r="D22" i="84"/>
  <c r="D23" i="84"/>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T25" i="79" s="1"/>
  <c r="W25" i="79" s="1"/>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I35" i="79"/>
  <c r="AB34" i="79"/>
  <c r="AA34" i="79"/>
  <c r="Z34" i="79"/>
  <c r="N34" i="79"/>
  <c r="U34" i="79" s="1"/>
  <c r="M34" i="79"/>
  <c r="L34" i="79"/>
  <c r="I34" i="79"/>
  <c r="AB33" i="79"/>
  <c r="AA33" i="79"/>
  <c r="Z33" i="79"/>
  <c r="N33" i="79"/>
  <c r="M33" i="79"/>
  <c r="L33" i="79"/>
  <c r="I33" i="79"/>
  <c r="AB27" i="79"/>
  <c r="AA27" i="79"/>
  <c r="AA25" i="79" s="1"/>
  <c r="AD25" i="79" s="1"/>
  <c r="Z27" i="79"/>
  <c r="N27" i="79"/>
  <c r="N25" i="79" s="1"/>
  <c r="M27" i="79"/>
  <c r="L27" i="79"/>
  <c r="I27" i="79"/>
  <c r="AD27" i="79" s="1"/>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L16" i="79"/>
  <c r="S16" i="79" s="1"/>
  <c r="K16" i="79"/>
  <c r="I16" i="79"/>
  <c r="AC15" i="79"/>
  <c r="AB15" i="79"/>
  <c r="AA15" i="79"/>
  <c r="AD15" i="79" s="1"/>
  <c r="Z15" i="79"/>
  <c r="Y15" i="79"/>
  <c r="O15" i="79"/>
  <c r="V15" i="79" s="1"/>
  <c r="N15" i="79"/>
  <c r="M15" i="79"/>
  <c r="L15" i="79"/>
  <c r="S15" i="79" s="1"/>
  <c r="K15" i="79"/>
  <c r="R15" i="79" s="1"/>
  <c r="I15" i="79"/>
  <c r="AC14" i="79"/>
  <c r="AB14" i="79"/>
  <c r="AA14" i="79"/>
  <c r="AD14" i="79" s="1"/>
  <c r="Z14" i="79"/>
  <c r="Y14" i="79"/>
  <c r="O14" i="79"/>
  <c r="V14" i="79" s="1"/>
  <c r="N14" i="79"/>
  <c r="M14" i="79"/>
  <c r="L14" i="79"/>
  <c r="S14" i="79" s="1"/>
  <c r="K14" i="79"/>
  <c r="R14" i="79" s="1"/>
  <c r="I14" i="79"/>
  <c r="AC13" i="79"/>
  <c r="AB13" i="79"/>
  <c r="AA13" i="79"/>
  <c r="AD13" i="79" s="1"/>
  <c r="Z13" i="79"/>
  <c r="Y13" i="79"/>
  <c r="O13" i="79"/>
  <c r="N13" i="79"/>
  <c r="M13" i="79"/>
  <c r="L13" i="79"/>
  <c r="S13" i="79" s="1"/>
  <c r="K13" i="79"/>
  <c r="R13" i="79" s="1"/>
  <c r="I13" i="79"/>
  <c r="AC12" i="79"/>
  <c r="AB12" i="79"/>
  <c r="AA12" i="79"/>
  <c r="AD12" i="79" s="1"/>
  <c r="Z12" i="79"/>
  <c r="Y12" i="79"/>
  <c r="O12" i="79"/>
  <c r="V12" i="79" s="1"/>
  <c r="N12" i="79"/>
  <c r="U12" i="79" s="1"/>
  <c r="M12" i="79"/>
  <c r="L12" i="79"/>
  <c r="K12" i="79"/>
  <c r="I12" i="79"/>
  <c r="AC11" i="79"/>
  <c r="AB11" i="79"/>
  <c r="AA11" i="79"/>
  <c r="AD11" i="79" s="1"/>
  <c r="Z11" i="79"/>
  <c r="Y11" i="79"/>
  <c r="O11" i="79"/>
  <c r="V3" i="79" s="1"/>
  <c r="N11" i="79"/>
  <c r="M11" i="79"/>
  <c r="L11" i="79"/>
  <c r="K11" i="79"/>
  <c r="I11" i="79"/>
  <c r="AC5" i="79"/>
  <c r="AC3" i="79" s="1"/>
  <c r="AB5" i="79"/>
  <c r="AB3" i="79" s="1"/>
  <c r="AA5" i="79"/>
  <c r="AD5" i="79" s="1"/>
  <c r="Z5" i="79"/>
  <c r="Y5" i="79"/>
  <c r="O5" i="79"/>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O3" i="79" l="1"/>
  <c r="U13" i="79"/>
  <c r="AD35" i="79"/>
  <c r="S36" i="79"/>
  <c r="S3" i="79"/>
  <c r="Y3" i="79"/>
  <c r="V13" i="79"/>
  <c r="T16" i="79"/>
  <c r="W16" i="79" s="1"/>
  <c r="U25" i="79"/>
  <c r="AD34" i="79"/>
  <c r="S35" i="79"/>
  <c r="Z3" i="79"/>
  <c r="U3" i="79"/>
  <c r="R12" i="79"/>
  <c r="T14" i="79"/>
  <c r="W14" i="79" s="1"/>
  <c r="U16" i="79"/>
  <c r="U36" i="79"/>
  <c r="S12" i="79"/>
  <c r="U14" i="79"/>
  <c r="S28" i="79"/>
  <c r="T34" i="79"/>
  <c r="U35" i="79"/>
  <c r="T12" i="79"/>
  <c r="W12" i="79" s="1"/>
  <c r="T28" i="79"/>
  <c r="W28" i="79" s="1"/>
  <c r="T27" i="79"/>
  <c r="U28" i="79"/>
  <c r="AD38" i="79"/>
  <c r="U15" i="79"/>
  <c r="R16"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s="1"/>
  <c r="C88" i="71"/>
  <c r="D88" i="71"/>
  <c r="B88" i="71"/>
  <c r="B87" i="71" s="1"/>
  <c r="B86" i="71" s="1"/>
  <c r="F87" i="71"/>
  <c r="F86" i="71" s="1"/>
  <c r="D85" i="71"/>
  <c r="F84" i="71"/>
  <c r="F83" i="71" s="1"/>
  <c r="F82" i="71" s="1"/>
  <c r="E84" i="71"/>
  <c r="E83" i="71"/>
  <c r="E82" i="71" s="1"/>
  <c r="C84" i="71"/>
  <c r="D84" i="71" s="1"/>
  <c r="B84" i="71"/>
  <c r="B83" i="71"/>
  <c r="B82" i="71"/>
  <c r="D81" i="71"/>
  <c r="Q80" i="71"/>
  <c r="P80" i="71"/>
  <c r="O80" i="71"/>
  <c r="N80" i="71"/>
  <c r="F80" i="71"/>
  <c r="F79" i="71" s="1"/>
  <c r="F78" i="71" s="1"/>
  <c r="V80" i="7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c r="E76" i="71"/>
  <c r="U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c r="Q70" i="71"/>
  <c r="P70" i="71"/>
  <c r="O70" i="71"/>
  <c r="N70" i="71"/>
  <c r="Q69" i="71"/>
  <c r="P69" i="71"/>
  <c r="O69" i="71"/>
  <c r="N69" i="71"/>
  <c r="D69" i="71"/>
  <c r="F68" i="71"/>
  <c r="V68" i="71" s="1"/>
  <c r="E68" i="71"/>
  <c r="P68" i="71"/>
  <c r="C68" i="71"/>
  <c r="B68" i="71"/>
  <c r="B67" i="71" s="1"/>
  <c r="N67" i="71" s="1"/>
  <c r="S68" i="7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s="1"/>
  <c r="E59" i="71" s="1"/>
  <c r="O57" i="71"/>
  <c r="C58" i="71"/>
  <c r="C59" i="71" s="1"/>
  <c r="C60" i="71" s="1"/>
  <c r="N57" i="71"/>
  <c r="B58" i="71"/>
  <c r="B59" i="7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c r="O49" i="71"/>
  <c r="C50" i="71" s="1"/>
  <c r="N49" i="71"/>
  <c r="B50" i="71"/>
  <c r="B51" i="71" s="1"/>
  <c r="B52" i="71" s="1"/>
  <c r="S52" i="71" s="1"/>
  <c r="D49" i="71"/>
  <c r="T48" i="71"/>
  <c r="Q48" i="71"/>
  <c r="P48" i="71"/>
  <c r="O48" i="71"/>
  <c r="N48" i="71"/>
  <c r="D48" i="71"/>
  <c r="Q47" i="71"/>
  <c r="P47" i="71"/>
  <c r="O47" i="71"/>
  <c r="N47" i="71"/>
  <c r="Q46" i="71"/>
  <c r="P46" i="71"/>
  <c r="O46" i="71"/>
  <c r="N46" i="71"/>
  <c r="F46" i="71"/>
  <c r="F47" i="71"/>
  <c r="F48" i="71" s="1"/>
  <c r="V48" i="71" s="1"/>
  <c r="Q45" i="71"/>
  <c r="P45" i="71"/>
  <c r="E46" i="71" s="1"/>
  <c r="E47" i="71" s="1"/>
  <c r="O45" i="71"/>
  <c r="C46" i="71" s="1"/>
  <c r="C47" i="71" s="1"/>
  <c r="D47" i="71" s="1"/>
  <c r="N45" i="71"/>
  <c r="B46" i="71"/>
  <c r="B47" i="71" s="1"/>
  <c r="B48" i="71" s="1"/>
  <c r="S48" i="71" s="1"/>
  <c r="D45" i="71"/>
  <c r="Q44" i="71"/>
  <c r="P44" i="71"/>
  <c r="O44" i="71"/>
  <c r="N44" i="71"/>
  <c r="Q43" i="71"/>
  <c r="P43" i="71"/>
  <c r="O43" i="71"/>
  <c r="N43" i="71"/>
  <c r="Q42" i="71"/>
  <c r="P42" i="71"/>
  <c r="O42" i="71"/>
  <c r="N42" i="71"/>
  <c r="V44" i="71"/>
  <c r="Q41" i="71"/>
  <c r="F42" i="71" s="1"/>
  <c r="F43" i="71" s="1"/>
  <c r="F44" i="71" s="1"/>
  <c r="P41" i="71"/>
  <c r="E42" i="71"/>
  <c r="E43" i="71"/>
  <c r="E44" i="71" s="1"/>
  <c r="U44" i="71" s="1"/>
  <c r="O41" i="71"/>
  <c r="C42" i="71"/>
  <c r="N41" i="71"/>
  <c r="B42" i="71" s="1"/>
  <c r="B43" i="71" s="1"/>
  <c r="B44" i="71" s="1"/>
  <c r="S44" i="71" s="1"/>
  <c r="D41" i="71"/>
  <c r="Q40" i="71"/>
  <c r="P40" i="71"/>
  <c r="O40" i="71"/>
  <c r="N40" i="71"/>
  <c r="Q39" i="71"/>
  <c r="P39" i="71"/>
  <c r="AA39" i="71"/>
  <c r="O39" i="71"/>
  <c r="Y39" i="71"/>
  <c r="Z39" i="71" s="1"/>
  <c r="N39" i="71"/>
  <c r="X39" i="71"/>
  <c r="Q38" i="71"/>
  <c r="AB38" i="71" s="1"/>
  <c r="P38" i="71"/>
  <c r="AA38" i="71" s="1"/>
  <c r="O38" i="71"/>
  <c r="Y38" i="71"/>
  <c r="Z38" i="71" s="1"/>
  <c r="N38" i="71"/>
  <c r="Q37" i="71"/>
  <c r="AB37" i="71" s="1"/>
  <c r="P37" i="71"/>
  <c r="AA33" i="71" s="1"/>
  <c r="O37" i="71"/>
  <c r="N37" i="71"/>
  <c r="D37" i="71"/>
  <c r="Q36" i="71"/>
  <c r="AB31" i="71" s="1"/>
  <c r="P36" i="71"/>
  <c r="O36" i="71"/>
  <c r="Y34" i="71" s="1"/>
  <c r="Z34" i="71" s="1"/>
  <c r="Y36" i="71"/>
  <c r="Z36" i="71" s="1"/>
  <c r="N36" i="71"/>
  <c r="Q35" i="71"/>
  <c r="P35" i="71"/>
  <c r="O35" i="71"/>
  <c r="Y35" i="71"/>
  <c r="Z35" i="71"/>
  <c r="N35" i="71"/>
  <c r="Q34" i="71"/>
  <c r="AB34" i="71" s="1"/>
  <c r="P34" i="71"/>
  <c r="AA34" i="71" s="1"/>
  <c r="O34" i="71"/>
  <c r="N34" i="71"/>
  <c r="F34" i="71"/>
  <c r="F35" i="71"/>
  <c r="F36" i="71" s="1"/>
  <c r="V36" i="71" s="1"/>
  <c r="Q33" i="71"/>
  <c r="P33" i="71"/>
  <c r="O33" i="71"/>
  <c r="C34" i="71" s="1"/>
  <c r="N33" i="71"/>
  <c r="B34" i="71" s="1"/>
  <c r="D33" i="71"/>
  <c r="Q32" i="71"/>
  <c r="AB32" i="71" s="1"/>
  <c r="P32" i="71"/>
  <c r="O32" i="71"/>
  <c r="N32" i="71"/>
  <c r="Q31" i="71"/>
  <c r="P31" i="71"/>
  <c r="O31" i="71"/>
  <c r="Y29" i="71" s="1"/>
  <c r="Z29" i="71" s="1"/>
  <c r="N31" i="71"/>
  <c r="Q30" i="71"/>
  <c r="P30" i="71"/>
  <c r="O30" i="71"/>
  <c r="N30" i="71"/>
  <c r="F30" i="71"/>
  <c r="Q29" i="71"/>
  <c r="P29" i="71"/>
  <c r="O29" i="71"/>
  <c r="N29" i="71"/>
  <c r="B30" i="71" s="1"/>
  <c r="B31" i="71" s="1"/>
  <c r="B32" i="71" s="1"/>
  <c r="S32" i="71" s="1"/>
  <c r="D29" i="71"/>
  <c r="O28" i="71"/>
  <c r="N28" i="71"/>
  <c r="E30" i="71"/>
  <c r="E31" i="71"/>
  <c r="E32" i="71" s="1"/>
  <c r="U32" i="71" s="1"/>
  <c r="B38" i="71"/>
  <c r="B39" i="71"/>
  <c r="B40" i="71"/>
  <c r="S40" i="71"/>
  <c r="X37" i="71"/>
  <c r="E34" i="71"/>
  <c r="E35" i="71" s="1"/>
  <c r="E36" i="71" s="1"/>
  <c r="U36" i="71" s="1"/>
  <c r="C30" i="71"/>
  <c r="AB33" i="71"/>
  <c r="X34" i="71"/>
  <c r="X35" i="71"/>
  <c r="X36" i="71"/>
  <c r="C38" i="71"/>
  <c r="C39" i="71" s="1"/>
  <c r="Y37" i="71"/>
  <c r="Z37" i="71"/>
  <c r="X38" i="71"/>
  <c r="B28" i="71"/>
  <c r="C31" i="71"/>
  <c r="C32" i="71" s="1"/>
  <c r="D32" i="71" s="1"/>
  <c r="D30" i="71"/>
  <c r="D46" i="71"/>
  <c r="P28" i="71"/>
  <c r="E55" i="71"/>
  <c r="E56" i="71" s="1"/>
  <c r="U56" i="71" s="1"/>
  <c r="E60" i="71"/>
  <c r="U60" i="71" s="1"/>
  <c r="U68" i="71"/>
  <c r="E67" i="71"/>
  <c r="P67" i="71" s="1"/>
  <c r="Q28" i="71"/>
  <c r="D58" i="71"/>
  <c r="B66" i="71"/>
  <c r="T68" i="71"/>
  <c r="O68" i="71"/>
  <c r="D68" i="71"/>
  <c r="C67" i="71"/>
  <c r="C66" i="71" s="1"/>
  <c r="Q68" i="71"/>
  <c r="C71" i="71"/>
  <c r="D71" i="71" s="1"/>
  <c r="E71" i="71"/>
  <c r="E70" i="71" s="1"/>
  <c r="D72" i="71"/>
  <c r="E75" i="71"/>
  <c r="E74" i="71" s="1"/>
  <c r="C79" i="71"/>
  <c r="D79" i="71" s="1"/>
  <c r="E79" i="71"/>
  <c r="E78" i="71" s="1"/>
  <c r="D80" i="71"/>
  <c r="C83" i="71"/>
  <c r="C87" i="71"/>
  <c r="D87" i="71" s="1"/>
  <c r="F28" i="71"/>
  <c r="F27" i="71" s="1"/>
  <c r="F26" i="71" s="1"/>
  <c r="E28" i="71"/>
  <c r="V28" i="71" s="1"/>
  <c r="E27" i="71"/>
  <c r="E26" i="71" s="1"/>
  <c r="O67" i="71"/>
  <c r="D67" i="71"/>
  <c r="D83" i="71"/>
  <c r="C82" i="71"/>
  <c r="D82" i="71"/>
  <c r="C86" i="71"/>
  <c r="D86" i="71"/>
  <c r="D59" i="71"/>
  <c r="T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H18" i="36"/>
  <c r="U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c r="C21" i="33"/>
  <c r="C21" i="21"/>
  <c r="Q21" i="21"/>
  <c r="Z21" i="21" s="1"/>
  <c r="H19" i="21"/>
  <c r="D83" i="21"/>
  <c r="F21" i="21"/>
  <c r="AA21" i="21" s="1"/>
  <c r="D81" i="21"/>
  <c r="G20" i="20"/>
  <c r="C25" i="40" s="1"/>
  <c r="B88" i="43"/>
  <c r="C22" i="20"/>
  <c r="B100" i="43" s="1"/>
  <c r="B77" i="43"/>
  <c r="C29" i="39"/>
  <c r="S25" i="40"/>
  <c r="H25" i="40"/>
  <c r="J25" i="40"/>
  <c r="W25" i="40" s="1"/>
  <c r="H29" i="39"/>
  <c r="AB29" i="39" s="1"/>
  <c r="J29" i="39"/>
  <c r="AC29" i="39" s="1"/>
  <c r="G66" i="36"/>
  <c r="J18" i="36"/>
  <c r="H18" i="35"/>
  <c r="AB18" i="35" s="1"/>
  <c r="S18" i="35"/>
  <c r="J18" i="35"/>
  <c r="AC18" i="35" s="1"/>
  <c r="H21" i="37"/>
  <c r="F21" i="37"/>
  <c r="H21" i="34"/>
  <c r="AB21" i="34" s="1"/>
  <c r="F83" i="33"/>
  <c r="H21" i="33"/>
  <c r="U21" i="33" s="1"/>
  <c r="F21" i="33"/>
  <c r="E83" i="21"/>
  <c r="F83" i="21" s="1"/>
  <c r="G83" i="21" s="1"/>
  <c r="S21" i="21"/>
  <c r="H1" i="69"/>
  <c r="AC25" i="40"/>
  <c r="AB25" i="40"/>
  <c r="U25" i="40"/>
  <c r="W29" i="39"/>
  <c r="AC18" i="36"/>
  <c r="W18" i="36"/>
  <c r="AA21" i="37"/>
  <c r="S21" i="37"/>
  <c r="AB21" i="33"/>
  <c r="AA21" i="33"/>
  <c r="S21" i="33"/>
  <c r="J21" i="37"/>
  <c r="AC21" i="37" s="1"/>
  <c r="J21" i="34"/>
  <c r="W21" i="34" s="1"/>
  <c r="G83" i="33"/>
  <c r="J21" i="33"/>
  <c r="H21" i="21"/>
  <c r="AB21" i="21" s="1"/>
  <c r="F38" i="69"/>
  <c r="E37" i="69"/>
  <c r="F36" i="69"/>
  <c r="F35" i="69"/>
  <c r="F21" i="69"/>
  <c r="F40" i="69" s="1"/>
  <c r="F20" i="69"/>
  <c r="F39" i="69" s="1"/>
  <c r="E10" i="69"/>
  <c r="E9" i="69"/>
  <c r="C7" i="69"/>
  <c r="W21" i="37"/>
  <c r="AC21" i="34"/>
  <c r="AC21" i="33"/>
  <c r="W21" i="33"/>
  <c r="U21"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9" s="1"/>
  <c r="E15" i="4"/>
  <c r="F8" i="1" s="1"/>
  <c r="G8" i="1" s="1"/>
  <c r="A7" i="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BN111" i="3"/>
  <c r="BM111" i="3"/>
  <c r="BK111" i="3"/>
  <c r="BJ111" i="3"/>
  <c r="BI111" i="3"/>
  <c r="BH111" i="3"/>
  <c r="BG111" i="3"/>
  <c r="BA111" i="3" s="1"/>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L104" i="3" s="1"/>
  <c r="BN104" i="3"/>
  <c r="BM104" i="3"/>
  <c r="BK104" i="3"/>
  <c r="BJ104" i="3"/>
  <c r="BI104" i="3"/>
  <c r="BH104" i="3"/>
  <c r="BG104" i="3"/>
  <c r="BA104" i="3" s="1"/>
  <c r="AZ104" i="3" s="1"/>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L101" i="3" s="1"/>
  <c r="BN101" i="3"/>
  <c r="BM101" i="3"/>
  <c r="BK101" i="3"/>
  <c r="BJ101" i="3"/>
  <c r="BI101" i="3"/>
  <c r="BH101" i="3"/>
  <c r="BG101" i="3"/>
  <c r="BA101" i="3" s="1"/>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A98" i="3" s="1"/>
  <c r="AZ98" i="3" s="1"/>
  <c r="BC98" i="3"/>
  <c r="BB98" i="3"/>
  <c r="AX98" i="3"/>
  <c r="AW98" i="3"/>
  <c r="AV98" i="3"/>
  <c r="AC98" i="3"/>
  <c r="H98" i="3"/>
  <c r="G98" i="3" s="1"/>
  <c r="BT97" i="3"/>
  <c r="BS97" i="3"/>
  <c r="BR97" i="3"/>
  <c r="BQ97" i="3"/>
  <c r="BP97" i="3"/>
  <c r="BO97" i="3"/>
  <c r="BL97" i="3" s="1"/>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A90" i="3" s="1"/>
  <c r="BE90" i="3"/>
  <c r="BD90" i="3"/>
  <c r="BC90" i="3"/>
  <c r="BB90" i="3"/>
  <c r="AX90" i="3"/>
  <c r="AW90" i="3"/>
  <c r="AV90" i="3"/>
  <c r="AC90" i="3"/>
  <c r="H90" i="3"/>
  <c r="BT89" i="3"/>
  <c r="BS89" i="3"/>
  <c r="BR89" i="3"/>
  <c r="BQ89" i="3"/>
  <c r="BP89" i="3"/>
  <c r="BO89" i="3"/>
  <c r="BL89" i="3" s="1"/>
  <c r="BN89" i="3"/>
  <c r="BM89" i="3"/>
  <c r="BK89" i="3"/>
  <c r="BJ89" i="3"/>
  <c r="BI89" i="3"/>
  <c r="BH89" i="3"/>
  <c r="BG89" i="3"/>
  <c r="BA89" i="3" s="1"/>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A82" i="3" s="1"/>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A79" i="3" s="1"/>
  <c r="BF79" i="3"/>
  <c r="BE79" i="3"/>
  <c r="BD79" i="3"/>
  <c r="BC79" i="3"/>
  <c r="BB79" i="3"/>
  <c r="AX79" i="3"/>
  <c r="AW79" i="3"/>
  <c r="AV79" i="3"/>
  <c r="AC79" i="3"/>
  <c r="H79" i="3"/>
  <c r="G79" i="3" s="1"/>
  <c r="BT78" i="3"/>
  <c r="BS78" i="3"/>
  <c r="BR78" i="3"/>
  <c r="BQ78" i="3"/>
  <c r="BL78" i="3" s="1"/>
  <c r="BP78" i="3"/>
  <c r="BO78" i="3"/>
  <c r="BN78" i="3"/>
  <c r="BM78" i="3"/>
  <c r="BK78" i="3"/>
  <c r="BJ78" i="3"/>
  <c r="BI78" i="3"/>
  <c r="BH78" i="3"/>
  <c r="BG78" i="3"/>
  <c r="BF78" i="3"/>
  <c r="BE78" i="3"/>
  <c r="BD78" i="3"/>
  <c r="BC78" i="3"/>
  <c r="BB78" i="3"/>
  <c r="BA78" i="3" s="1"/>
  <c r="AX78" i="3"/>
  <c r="AW78" i="3"/>
  <c r="AV78" i="3"/>
  <c r="AC78" i="3"/>
  <c r="H78" i="3"/>
  <c r="G78" i="3" s="1"/>
  <c r="BT77" i="3"/>
  <c r="BS77" i="3"/>
  <c r="BR77" i="3"/>
  <c r="BL77" i="3" s="1"/>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A76" i="3" s="1"/>
  <c r="AZ76" i="3" s="1"/>
  <c r="BB76" i="3"/>
  <c r="AX76" i="3"/>
  <c r="AW76" i="3"/>
  <c r="AV76" i="3"/>
  <c r="AC76" i="3"/>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A69" i="3" s="1"/>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L64" i="3" s="1"/>
  <c r="BM64" i="3"/>
  <c r="BK64" i="3"/>
  <c r="BJ64" i="3"/>
  <c r="BI64" i="3"/>
  <c r="BH64" i="3"/>
  <c r="BG64" i="3"/>
  <c r="BA64" i="3" s="1"/>
  <c r="AZ64" i="3" s="1"/>
  <c r="BF64" i="3"/>
  <c r="BE64" i="3"/>
  <c r="BD64" i="3"/>
  <c r="BC64" i="3"/>
  <c r="BB64" i="3"/>
  <c r="AX64" i="3"/>
  <c r="AW64" i="3"/>
  <c r="AV64" i="3"/>
  <c r="AC64" i="3"/>
  <c r="H64" i="3"/>
  <c r="G64" i="3" s="1"/>
  <c r="BT63" i="3"/>
  <c r="BS63" i="3"/>
  <c r="BR63" i="3"/>
  <c r="BL63" i="3" s="1"/>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L61" i="3" s="1"/>
  <c r="BM61" i="3"/>
  <c r="BK61" i="3"/>
  <c r="BJ61" i="3"/>
  <c r="BI61" i="3"/>
  <c r="BH61" i="3"/>
  <c r="BG61" i="3"/>
  <c r="BA61" i="3" s="1"/>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G58" i="3" s="1"/>
  <c r="H58" i="3"/>
  <c r="BT57" i="3"/>
  <c r="BS57" i="3"/>
  <c r="BR57" i="3"/>
  <c r="BQ57" i="3"/>
  <c r="BP57" i="3"/>
  <c r="BL57" i="3" s="1"/>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L54" i="3" s="1"/>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A52" i="3" s="1"/>
  <c r="AZ52" i="3" s="1"/>
  <c r="BD52" i="3"/>
  <c r="BC52" i="3"/>
  <c r="BB52" i="3"/>
  <c r="AX52" i="3"/>
  <c r="AW52" i="3"/>
  <c r="AV52" i="3"/>
  <c r="AC52" i="3"/>
  <c r="G52" i="3" s="1"/>
  <c r="H52" i="3"/>
  <c r="BT51" i="3"/>
  <c r="BS51" i="3"/>
  <c r="BR51" i="3"/>
  <c r="BQ51" i="3"/>
  <c r="BP51" i="3"/>
  <c r="BL51" i="3" s="1"/>
  <c r="BO51" i="3"/>
  <c r="BN51" i="3"/>
  <c r="BM51" i="3"/>
  <c r="BK51" i="3"/>
  <c r="BJ51" i="3"/>
  <c r="BI51" i="3"/>
  <c r="BH51" i="3"/>
  <c r="BG51" i="3"/>
  <c r="BF51" i="3"/>
  <c r="BE51" i="3"/>
  <c r="BD51" i="3"/>
  <c r="BC51" i="3"/>
  <c r="BB51" i="3"/>
  <c r="BA51" i="3" s="1"/>
  <c r="AX51" i="3"/>
  <c r="AW51" i="3"/>
  <c r="AV51" i="3"/>
  <c r="AC51" i="3"/>
  <c r="H51" i="3"/>
  <c r="G51" i="3" s="1"/>
  <c r="BT50" i="3"/>
  <c r="BS50" i="3"/>
  <c r="BR50" i="3"/>
  <c r="BL50" i="3" s="1"/>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A48" i="3" s="1"/>
  <c r="AZ48" i="3" s="1"/>
  <c r="BF48" i="3"/>
  <c r="BE48" i="3"/>
  <c r="BD48" i="3"/>
  <c r="BC48" i="3"/>
  <c r="BB48" i="3"/>
  <c r="AX48" i="3"/>
  <c r="AW48" i="3"/>
  <c r="AV48" i="3"/>
  <c r="AC48" i="3"/>
  <c r="H48" i="3"/>
  <c r="G48" i="3" s="1"/>
  <c r="BT47" i="3"/>
  <c r="BS47" i="3"/>
  <c r="BR47" i="3"/>
  <c r="BL47" i="3" s="1"/>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A46" i="3" s="1"/>
  <c r="AZ46" i="3" s="1"/>
  <c r="BB46" i="3"/>
  <c r="AX46" i="3"/>
  <c r="AW46" i="3"/>
  <c r="AV46" i="3"/>
  <c r="AC46" i="3"/>
  <c r="H46" i="3"/>
  <c r="G46" i="3" s="1"/>
  <c r="BT45" i="3"/>
  <c r="BS45" i="3"/>
  <c r="BR45" i="3"/>
  <c r="BQ45" i="3"/>
  <c r="BP45" i="3"/>
  <c r="BO45" i="3"/>
  <c r="BN45" i="3"/>
  <c r="BL45" i="3" s="1"/>
  <c r="BM45" i="3"/>
  <c r="BK45" i="3"/>
  <c r="BJ45" i="3"/>
  <c r="BI45" i="3"/>
  <c r="BH45" i="3"/>
  <c r="BG45" i="3"/>
  <c r="BA45" i="3" s="1"/>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L41" i="3" s="1"/>
  <c r="BN41" i="3"/>
  <c r="BM41" i="3"/>
  <c r="BK41" i="3"/>
  <c r="BJ41" i="3"/>
  <c r="BI41" i="3"/>
  <c r="BH41" i="3"/>
  <c r="BG41" i="3"/>
  <c r="BF41" i="3"/>
  <c r="BE41" i="3"/>
  <c r="BD41" i="3"/>
  <c r="BC41" i="3"/>
  <c r="BB41" i="3"/>
  <c r="BA41" i="3" s="1"/>
  <c r="AX41" i="3"/>
  <c r="AW41" i="3"/>
  <c r="AV41" i="3"/>
  <c r="AC41" i="3"/>
  <c r="H41" i="3"/>
  <c r="G41" i="3" s="1"/>
  <c r="BT40" i="3"/>
  <c r="BS40" i="3"/>
  <c r="BR40" i="3"/>
  <c r="BL40" i="3" s="1"/>
  <c r="BQ40" i="3"/>
  <c r="BP40" i="3"/>
  <c r="BO40" i="3"/>
  <c r="BN40" i="3"/>
  <c r="BM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A39" i="3" s="1"/>
  <c r="BD39" i="3"/>
  <c r="BC39" i="3"/>
  <c r="BB39" i="3"/>
  <c r="AX39" i="3"/>
  <c r="AW39" i="3"/>
  <c r="AV39" i="3"/>
  <c r="AC39" i="3"/>
  <c r="H39" i="3"/>
  <c r="G39" i="3" s="1"/>
  <c r="BT38" i="3"/>
  <c r="BS38" i="3"/>
  <c r="BR38" i="3"/>
  <c r="BQ38" i="3"/>
  <c r="BP38" i="3"/>
  <c r="BO38" i="3"/>
  <c r="BN38" i="3"/>
  <c r="BL38" i="3" s="1"/>
  <c r="BM38" i="3"/>
  <c r="BK38" i="3"/>
  <c r="BJ38" i="3"/>
  <c r="BI38" i="3"/>
  <c r="BH38" i="3"/>
  <c r="BG38" i="3"/>
  <c r="BA38" i="3" s="1"/>
  <c r="AZ38" i="3" s="1"/>
  <c r="BF38" i="3"/>
  <c r="BE38" i="3"/>
  <c r="BD38" i="3"/>
  <c r="BC38" i="3"/>
  <c r="BB38" i="3"/>
  <c r="AX38" i="3"/>
  <c r="AW38" i="3"/>
  <c r="AV38" i="3"/>
  <c r="AC38" i="3"/>
  <c r="H38" i="3"/>
  <c r="G38" i="3" s="1"/>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A35" i="3" s="1"/>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A33" i="3" s="1"/>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L31" i="3" s="1"/>
  <c r="BN31" i="3"/>
  <c r="BM31" i="3"/>
  <c r="BK31" i="3"/>
  <c r="BJ31" i="3"/>
  <c r="BI31" i="3"/>
  <c r="BH31" i="3"/>
  <c r="BG31" i="3"/>
  <c r="BF31" i="3"/>
  <c r="BE31" i="3"/>
  <c r="BD31" i="3"/>
  <c r="BC31" i="3"/>
  <c r="BB31" i="3"/>
  <c r="BA31" i="3" s="1"/>
  <c r="AX31" i="3"/>
  <c r="AW31" i="3"/>
  <c r="AV31" i="3"/>
  <c r="AC31" i="3"/>
  <c r="H31" i="3"/>
  <c r="G31" i="3" s="1"/>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A29" i="3" s="1"/>
  <c r="BC29" i="3"/>
  <c r="BB29" i="3"/>
  <c r="AX29" i="3"/>
  <c r="AW29" i="3"/>
  <c r="AV29" i="3"/>
  <c r="AC29" i="3"/>
  <c r="H29" i="3"/>
  <c r="G29" i="3" s="1"/>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A18" i="3" s="1"/>
  <c r="AZ18" i="3" s="1"/>
  <c r="BF18" i="3"/>
  <c r="BE18" i="3"/>
  <c r="BD18" i="3"/>
  <c r="BC18" i="3"/>
  <c r="BB18" i="3"/>
  <c r="AX18" i="3"/>
  <c r="AW18" i="3"/>
  <c r="AV18" i="3"/>
  <c r="AC18" i="3"/>
  <c r="H18" i="3"/>
  <c r="G18" i="3" s="1"/>
  <c r="BT207" i="3"/>
  <c r="BS207" i="3"/>
  <c r="BR207" i="3"/>
  <c r="BL207" i="3" s="1"/>
  <c r="BQ207" i="3"/>
  <c r="BP207" i="3"/>
  <c r="BO207" i="3"/>
  <c r="BN207" i="3"/>
  <c r="BM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A205" i="3" s="1"/>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A200" i="3" s="1"/>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A177" i="3" s="1"/>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A152" i="3" s="1"/>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A126" i="3" s="1"/>
  <c r="AZ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A301" i="3" s="1"/>
  <c r="BF301" i="3"/>
  <c r="BE301" i="3"/>
  <c r="BD301" i="3"/>
  <c r="BC301" i="3"/>
  <c r="BB301" i="3"/>
  <c r="AX301" i="3"/>
  <c r="AW301" i="3"/>
  <c r="AV301" i="3"/>
  <c r="AC301" i="3"/>
  <c r="H301" i="3"/>
  <c r="G301" i="3" s="1"/>
  <c r="BT300" i="3"/>
  <c r="BS300" i="3"/>
  <c r="BR300" i="3"/>
  <c r="BL300" i="3" s="1"/>
  <c r="BQ300" i="3"/>
  <c r="BP300" i="3"/>
  <c r="BO300" i="3"/>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G294" i="3" s="1"/>
  <c r="BT293" i="3"/>
  <c r="BS293" i="3"/>
  <c r="BR293" i="3"/>
  <c r="BL293" i="3" s="1"/>
  <c r="BQ293" i="3"/>
  <c r="BP293" i="3"/>
  <c r="BO293" i="3"/>
  <c r="BN293" i="3"/>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A291" i="3" s="1"/>
  <c r="BG291" i="3"/>
  <c r="BF291" i="3"/>
  <c r="BE291" i="3"/>
  <c r="BD291" i="3"/>
  <c r="BC291" i="3"/>
  <c r="BB291" i="3"/>
  <c r="AX291" i="3"/>
  <c r="AW291" i="3"/>
  <c r="AV291" i="3"/>
  <c r="AC291" i="3"/>
  <c r="H291" i="3"/>
  <c r="G291" i="3" s="1"/>
  <c r="BT290" i="3"/>
  <c r="BS290" i="3"/>
  <c r="BR290" i="3"/>
  <c r="BL290" i="3" s="1"/>
  <c r="BQ290" i="3"/>
  <c r="BP290" i="3"/>
  <c r="BO290" i="3"/>
  <c r="BN290" i="3"/>
  <c r="BM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A288" i="3" s="1"/>
  <c r="BG288" i="3"/>
  <c r="BF288" i="3"/>
  <c r="BE288" i="3"/>
  <c r="BD288" i="3"/>
  <c r="BC288" i="3"/>
  <c r="BB288" i="3"/>
  <c r="AX288" i="3"/>
  <c r="AW288" i="3"/>
  <c r="AV288" i="3"/>
  <c r="AC288" i="3"/>
  <c r="H288" i="3"/>
  <c r="G288" i="3" s="1"/>
  <c r="BT287" i="3"/>
  <c r="BS287" i="3"/>
  <c r="BR287" i="3"/>
  <c r="BL287" i="3" s="1"/>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L280" i="3" s="1"/>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G278" i="3" s="1"/>
  <c r="BT277" i="3"/>
  <c r="BS277" i="3"/>
  <c r="BR277" i="3"/>
  <c r="BL277" i="3" s="1"/>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A275" i="3" s="1"/>
  <c r="BG275" i="3"/>
  <c r="BF275" i="3"/>
  <c r="BE275" i="3"/>
  <c r="BD275" i="3"/>
  <c r="BC275" i="3"/>
  <c r="BB275" i="3"/>
  <c r="AX275" i="3"/>
  <c r="AW275" i="3"/>
  <c r="AV275" i="3"/>
  <c r="AC275" i="3"/>
  <c r="H275" i="3"/>
  <c r="G275" i="3" s="1"/>
  <c r="BT274" i="3"/>
  <c r="BS274" i="3"/>
  <c r="BR274" i="3"/>
  <c r="BL274" i="3" s="1"/>
  <c r="BQ274" i="3"/>
  <c r="BP274" i="3"/>
  <c r="BO274" i="3"/>
  <c r="BN274" i="3"/>
  <c r="BM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A272" i="3" s="1"/>
  <c r="BF272" i="3"/>
  <c r="BE272" i="3"/>
  <c r="BD272" i="3"/>
  <c r="BC272" i="3"/>
  <c r="BB272" i="3"/>
  <c r="AX272" i="3"/>
  <c r="AW272" i="3"/>
  <c r="AV272" i="3"/>
  <c r="AC272" i="3"/>
  <c r="H272" i="3"/>
  <c r="G272" i="3" s="1"/>
  <c r="BT271" i="3"/>
  <c r="BS271" i="3"/>
  <c r="BR271" i="3"/>
  <c r="BL271" i="3" s="1"/>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A269" i="3" s="1"/>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A265" i="3" s="1"/>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A262" i="3" s="1"/>
  <c r="BD262" i="3"/>
  <c r="BC262" i="3"/>
  <c r="BB262" i="3"/>
  <c r="AX262" i="3"/>
  <c r="AW262" i="3"/>
  <c r="AV262" i="3"/>
  <c r="AC262" i="3"/>
  <c r="H262" i="3"/>
  <c r="G262" i="3" s="1"/>
  <c r="BT261" i="3"/>
  <c r="BS261" i="3"/>
  <c r="BR261" i="3"/>
  <c r="BQ261" i="3"/>
  <c r="BP261" i="3"/>
  <c r="BL261" i="3" s="1"/>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L259" i="3" s="1"/>
  <c r="BK259" i="3"/>
  <c r="BJ259" i="3"/>
  <c r="BI259" i="3"/>
  <c r="BH259" i="3"/>
  <c r="BG259" i="3"/>
  <c r="BA259" i="3" s="1"/>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A256" i="3" s="1"/>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A239" i="3" s="1"/>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AZ236" i="3" s="1"/>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A230" i="3" s="1"/>
  <c r="AZ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A211" i="3" s="1"/>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A210" i="3" s="1"/>
  <c r="BE210" i="3"/>
  <c r="BD210" i="3"/>
  <c r="BC210" i="3"/>
  <c r="BB210" i="3"/>
  <c r="AX210" i="3"/>
  <c r="AW210" i="3"/>
  <c r="AV210" i="3"/>
  <c r="AC210" i="3"/>
  <c r="G210" i="3" s="1"/>
  <c r="H210" i="3"/>
  <c r="BT209" i="3"/>
  <c r="BS209" i="3"/>
  <c r="BR209" i="3"/>
  <c r="BQ209" i="3"/>
  <c r="BP209" i="3"/>
  <c r="BO209" i="3"/>
  <c r="BL209" i="3" s="1"/>
  <c r="BN209" i="3"/>
  <c r="BM209" i="3"/>
  <c r="BK209" i="3"/>
  <c r="BJ209" i="3"/>
  <c r="BI209" i="3"/>
  <c r="BH209" i="3"/>
  <c r="BG209" i="3"/>
  <c r="BA209" i="3" s="1"/>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s="1"/>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G397" i="3" s="1"/>
  <c r="H397" i="3"/>
  <c r="BT396" i="3"/>
  <c r="BS396" i="3"/>
  <c r="BR396" i="3"/>
  <c r="BQ396" i="3"/>
  <c r="BL396" i="3" s="1"/>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A354" i="3" s="1"/>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A348" i="3" s="1"/>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L332" i="3" s="1"/>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A488" i="3" s="1"/>
  <c r="BB488" i="3"/>
  <c r="AX488" i="3"/>
  <c r="AW488" i="3"/>
  <c r="AV488" i="3"/>
  <c r="AC488" i="3"/>
  <c r="H488" i="3"/>
  <c r="G488" i="3" s="1"/>
  <c r="BT487" i="3"/>
  <c r="BS487" i="3"/>
  <c r="BR487" i="3"/>
  <c r="BQ487" i="3"/>
  <c r="BL487" i="3" s="1"/>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L486" i="3" s="1"/>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A481" i="3" s="1"/>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A480" i="3" s="1"/>
  <c r="AZ480" i="3" s="1"/>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G468" i="3" s="1"/>
  <c r="BT467" i="3"/>
  <c r="BS467" i="3"/>
  <c r="BR467" i="3"/>
  <c r="BQ467" i="3"/>
  <c r="BP467" i="3"/>
  <c r="BO467" i="3"/>
  <c r="BL467" i="3" s="1"/>
  <c r="BN467" i="3"/>
  <c r="BM467" i="3"/>
  <c r="BK467" i="3"/>
  <c r="BJ467" i="3"/>
  <c r="BI467" i="3"/>
  <c r="BH467" i="3"/>
  <c r="BG467" i="3"/>
  <c r="BA467" i="3" s="1"/>
  <c r="AZ467" i="3" s="1"/>
  <c r="BF467" i="3"/>
  <c r="BE467" i="3"/>
  <c r="BD467" i="3"/>
  <c r="BC467" i="3"/>
  <c r="BB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A455" i="3" s="1"/>
  <c r="BB455" i="3"/>
  <c r="AX455" i="3"/>
  <c r="AW455" i="3"/>
  <c r="AV455" i="3"/>
  <c r="AC455" i="3"/>
  <c r="H455" i="3"/>
  <c r="G455" i="3" s="1"/>
  <c r="BT454" i="3"/>
  <c r="BS454" i="3"/>
  <c r="BR454" i="3"/>
  <c r="BQ454" i="3"/>
  <c r="BL454" i="3" s="1"/>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L453" i="3" s="1"/>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K434" i="3"/>
  <c r="BJ434" i="3"/>
  <c r="BI434" i="3"/>
  <c r="BH434" i="3"/>
  <c r="BG434" i="3"/>
  <c r="BA434" i="3" s="1"/>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A427" i="3" s="1"/>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L425" i="3" s="1"/>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A422" i="3" s="1"/>
  <c r="BD422" i="3"/>
  <c r="BC422" i="3"/>
  <c r="BB422" i="3"/>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A418" i="3" s="1"/>
  <c r="AZ418" i="3" s="1"/>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A417" i="3" s="1"/>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A410" i="3" s="1"/>
  <c r="AZ410" i="3" s="1"/>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L405" i="3" s="1"/>
  <c r="BO405" i="3"/>
  <c r="BN405" i="3"/>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A403" i="3" s="1"/>
  <c r="BD403" i="3"/>
  <c r="BC403" i="3"/>
  <c r="BB403" i="3"/>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A400" i="3" s="1"/>
  <c r="AZ400" i="3" s="1"/>
  <c r="BC400" i="3"/>
  <c r="BB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C15" i="4"/>
  <c r="F6" i="1" s="1"/>
  <c r="L21" i="4"/>
  <c r="F19" i="4"/>
  <c r="F2" i="52"/>
  <c r="B50" i="72" s="1"/>
  <c r="D2" i="52"/>
  <c r="B46" i="72" s="1"/>
  <c r="B8" i="53"/>
  <c r="B23" i="72" s="1"/>
  <c r="L4" i="9"/>
  <c r="B17" i="72"/>
  <c r="A3" i="51"/>
  <c r="C8" i="11"/>
  <c r="B40" i="48"/>
  <c r="B3" i="72" s="1"/>
  <c r="F35" i="4"/>
  <c r="J55" i="39" s="1"/>
  <c r="H38" i="43"/>
  <c r="H39" i="43"/>
  <c r="H40" i="43"/>
  <c r="H41"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A560" i="3" s="1"/>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A562" i="3" s="1"/>
  <c r="BG562" i="3"/>
  <c r="BH562" i="3"/>
  <c r="BI562" i="3"/>
  <c r="BJ562" i="3"/>
  <c r="BK562" i="3"/>
  <c r="BM562" i="3"/>
  <c r="BN562" i="3"/>
  <c r="BO562" i="3"/>
  <c r="BL562" i="3" s="1"/>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AZ564" i="3" s="1"/>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L568" i="3" s="1"/>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A570" i="3" s="1"/>
  <c r="AZ570" i="3" s="1"/>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L572" i="3" s="1"/>
  <c r="BT572" i="3"/>
  <c r="H573" i="3"/>
  <c r="G573" i="3" s="1"/>
  <c r="AC573" i="3"/>
  <c r="BB573" i="3"/>
  <c r="BC573" i="3"/>
  <c r="BD573" i="3"/>
  <c r="BE573" i="3"/>
  <c r="BF573" i="3"/>
  <c r="BG573" i="3"/>
  <c r="BH573" i="3"/>
  <c r="BI573" i="3"/>
  <c r="BJ573" i="3"/>
  <c r="BK573" i="3"/>
  <c r="BM573" i="3"/>
  <c r="BN573" i="3"/>
  <c r="BO573" i="3"/>
  <c r="BL573" i="3" s="1"/>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L578" i="3" s="1"/>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A584" i="3" s="1"/>
  <c r="BH584" i="3"/>
  <c r="BI584" i="3"/>
  <c r="BJ584" i="3"/>
  <c r="BK584" i="3"/>
  <c r="BM584" i="3"/>
  <c r="BN584" i="3"/>
  <c r="BO584" i="3"/>
  <c r="BP584" i="3"/>
  <c r="BL584" i="3" s="1"/>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s="1"/>
  <c r="G99" i="37"/>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S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s="1"/>
  <c r="W33" i="40"/>
  <c r="B103" i="40"/>
  <c r="J32" i="40"/>
  <c r="AC32" i="40" s="1"/>
  <c r="B101" i="40"/>
  <c r="J31" i="40" s="1"/>
  <c r="AC31" i="40" s="1"/>
  <c r="D100" i="40"/>
  <c r="E100" i="40"/>
  <c r="F100" i="40"/>
  <c r="G100" i="40" s="1"/>
  <c r="H100" i="40" s="1"/>
  <c r="I100" i="40" s="1"/>
  <c r="J100" i="40" s="1"/>
  <c r="K100" i="40" s="1"/>
  <c r="L100" i="40" s="1"/>
  <c r="M100" i="40" s="1"/>
  <c r="D98" i="40"/>
  <c r="J28" i="40"/>
  <c r="AC28" i="40"/>
  <c r="D96" i="40"/>
  <c r="E96" i="40" s="1"/>
  <c r="F96" i="40"/>
  <c r="G96" i="40" s="1"/>
  <c r="H96" i="40" s="1"/>
  <c r="I96" i="40"/>
  <c r="J96" i="40" s="1"/>
  <c r="K96" i="40"/>
  <c r="L96" i="40" s="1"/>
  <c r="M96" i="40" s="1"/>
  <c r="B95" i="40"/>
  <c r="D92" i="40"/>
  <c r="E92" i="40"/>
  <c r="F92" i="40" s="1"/>
  <c r="G92" i="40" s="1"/>
  <c r="D90" i="40"/>
  <c r="E90" i="40"/>
  <c r="F90" i="40" s="1"/>
  <c r="G90" i="40" s="1"/>
  <c r="D88" i="40"/>
  <c r="E88" i="40"/>
  <c r="D86" i="40"/>
  <c r="E86" i="40" s="1"/>
  <c r="F86" i="40"/>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c r="H40" i="40"/>
  <c r="AB40" i="40"/>
  <c r="F40" i="40"/>
  <c r="AA40" i="40" s="1"/>
  <c r="Q39" i="40"/>
  <c r="Z39" i="40" s="1"/>
  <c r="H39" i="40"/>
  <c r="U39" i="40"/>
  <c r="Q38" i="40"/>
  <c r="Z38" i="40"/>
  <c r="H38" i="40"/>
  <c r="AB38" i="40" s="1"/>
  <c r="Q37" i="40"/>
  <c r="Z37" i="40"/>
  <c r="Q36" i="40"/>
  <c r="Z36" i="40"/>
  <c r="Q35" i="40"/>
  <c r="Z35" i="40" s="1"/>
  <c r="Q34" i="40"/>
  <c r="Z34" i="40" s="1"/>
  <c r="J34" i="40"/>
  <c r="AC34" i="40"/>
  <c r="H34" i="40"/>
  <c r="AB34" i="40"/>
  <c r="F34" i="40"/>
  <c r="AA34" i="40" s="1"/>
  <c r="Q33" i="40"/>
  <c r="Z33" i="40" s="1"/>
  <c r="Q32" i="40"/>
  <c r="Z32" i="40"/>
  <c r="Q31" i="40"/>
  <c r="Z31" i="40"/>
  <c r="Q30" i="40"/>
  <c r="Z30" i="40" s="1"/>
  <c r="Q28" i="40"/>
  <c r="Z28" i="40" s="1"/>
  <c r="Q27" i="40"/>
  <c r="Z27" i="40"/>
  <c r="Q23" i="40"/>
  <c r="Z23" i="40"/>
  <c r="Q21" i="40"/>
  <c r="Z21" i="40" s="1"/>
  <c r="Q19" i="40"/>
  <c r="Z19" i="40" s="1"/>
  <c r="Q17" i="40"/>
  <c r="Z17" i="40"/>
  <c r="Q15" i="40"/>
  <c r="Z15" i="40"/>
  <c r="Q14" i="40"/>
  <c r="Z14" i="40" s="1"/>
  <c r="Q13" i="40"/>
  <c r="Z13" i="40" s="1"/>
  <c r="Q12" i="40"/>
  <c r="Z12" i="40"/>
  <c r="Q11" i="40"/>
  <c r="Z11" i="40"/>
  <c r="Q10" i="40"/>
  <c r="Z10" i="40" s="1"/>
  <c r="Q9" i="40"/>
  <c r="Z9" i="40" s="1"/>
  <c r="J9" i="40"/>
  <c r="W9" i="40"/>
  <c r="H9" i="40"/>
  <c r="AB9" i="40"/>
  <c r="F9" i="40"/>
  <c r="S9" i="40" s="1"/>
  <c r="J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c r="Q37" i="37"/>
  <c r="Z37" i="37" s="1"/>
  <c r="Q36" i="37"/>
  <c r="Z36" i="37" s="1"/>
  <c r="Q35" i="37"/>
  <c r="Z35" i="37" s="1"/>
  <c r="Q34" i="37"/>
  <c r="Z34" i="37"/>
  <c r="Q33" i="37"/>
  <c r="Z33" i="37" s="1"/>
  <c r="Q32" i="37"/>
  <c r="Z32" i="37" s="1"/>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J26" i="37"/>
  <c r="AC26" i="37"/>
  <c r="H26" i="37"/>
  <c r="AB26" i="37"/>
  <c r="F26" i="37"/>
  <c r="AA26" i="37"/>
  <c r="Q25" i="37"/>
  <c r="Z25" i="37" s="1"/>
  <c r="Q23" i="37"/>
  <c r="Z23" i="37" s="1"/>
  <c r="Q19" i="37"/>
  <c r="Z19" i="37" s="1"/>
  <c r="Q17" i="37"/>
  <c r="Z17" i="37"/>
  <c r="Q15" i="37"/>
  <c r="Z15" i="37"/>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c r="B95" i="36"/>
  <c r="H34" i="36" s="1"/>
  <c r="D83" i="36"/>
  <c r="E83" i="36" s="1"/>
  <c r="F83" i="36" s="1"/>
  <c r="G83" i="36" s="1"/>
  <c r="H83" i="36" s="1"/>
  <c r="I83" i="36" s="1"/>
  <c r="J83" i="36"/>
  <c r="K83" i="36" s="1"/>
  <c r="L83" i="36" s="1"/>
  <c r="M83" i="36"/>
  <c r="D78" i="36"/>
  <c r="E78" i="36"/>
  <c r="F78" i="36" s="1"/>
  <c r="G78" i="36" s="1"/>
  <c r="H78" i="36" s="1"/>
  <c r="I78" i="36" s="1"/>
  <c r="J78" i="36" s="1"/>
  <c r="K78" i="36" s="1"/>
  <c r="L78" i="36" s="1"/>
  <c r="M78" i="36" s="1"/>
  <c r="B75" i="36"/>
  <c r="B73" i="36"/>
  <c r="H24" i="36" s="1"/>
  <c r="AB24" i="36" s="1"/>
  <c r="J24" i="36"/>
  <c r="AC24" i="36" s="1"/>
  <c r="B71" i="36"/>
  <c r="D70" i="36"/>
  <c r="H22" i="36"/>
  <c r="AB22" i="36"/>
  <c r="D68" i="36"/>
  <c r="E68" i="36"/>
  <c r="F68" i="36" s="1"/>
  <c r="G68" i="36" s="1"/>
  <c r="D64" i="36"/>
  <c r="E64" i="36" s="1"/>
  <c r="F64" i="36"/>
  <c r="G64" i="36" s="1"/>
  <c r="J16" i="36"/>
  <c r="W16" i="36" s="1"/>
  <c r="D62" i="36"/>
  <c r="E62" i="36" s="1"/>
  <c r="F62" i="36" s="1"/>
  <c r="G62" i="36" s="1"/>
  <c r="B59" i="36"/>
  <c r="B57" i="36"/>
  <c r="J12" i="36" s="1"/>
  <c r="B55" i="36"/>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c r="F27" i="35"/>
  <c r="AA27" i="35"/>
  <c r="J22" i="35"/>
  <c r="AC22" i="35"/>
  <c r="B101" i="35"/>
  <c r="H36" i="35"/>
  <c r="AB36" i="35" s="1"/>
  <c r="B99" i="35"/>
  <c r="B97" i="35"/>
  <c r="B77" i="35"/>
  <c r="J25" i="35" s="1"/>
  <c r="W25" i="35" s="1"/>
  <c r="B75" i="35"/>
  <c r="J24" i="35"/>
  <c r="AC24" i="35" s="1"/>
  <c r="B73" i="35"/>
  <c r="B57" i="35"/>
  <c r="B61" i="35"/>
  <c r="H13" i="35" s="1"/>
  <c r="U13" i="35" s="1"/>
  <c r="B59" i="35"/>
  <c r="J12" i="35" s="1"/>
  <c r="W12" i="35" s="1"/>
  <c r="B131" i="34"/>
  <c r="B129" i="34"/>
  <c r="H46" i="34" s="1"/>
  <c r="B127" i="34"/>
  <c r="B99" i="34"/>
  <c r="B97" i="34"/>
  <c r="B95" i="34"/>
  <c r="B93" i="34"/>
  <c r="B75" i="34"/>
  <c r="B73" i="34"/>
  <c r="B71" i="34"/>
  <c r="B130" i="33"/>
  <c r="B128" i="33"/>
  <c r="B126" i="33"/>
  <c r="B98" i="33"/>
  <c r="B96" i="33"/>
  <c r="H30" i="33" s="1"/>
  <c r="B94" i="33"/>
  <c r="B74" i="33"/>
  <c r="J14" i="33" s="1"/>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c r="I80" i="35" s="1"/>
  <c r="J80" i="35" s="1"/>
  <c r="K80" i="35" s="1"/>
  <c r="L80" i="35" s="1"/>
  <c r="M80" i="35" s="1"/>
  <c r="D72" i="35"/>
  <c r="E72" i="35" s="1"/>
  <c r="F72" i="35"/>
  <c r="G72" i="35" s="1"/>
  <c r="D70" i="35"/>
  <c r="E70" i="35" s="1"/>
  <c r="F70" i="35" s="1"/>
  <c r="G70" i="35" s="1"/>
  <c r="D66" i="35"/>
  <c r="E66" i="35" s="1"/>
  <c r="F66" i="35"/>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c r="D88" i="34"/>
  <c r="E88" i="34" s="1"/>
  <c r="D86" i="34"/>
  <c r="E86" i="34" s="1"/>
  <c r="F86" i="34" s="1"/>
  <c r="G86" i="34" s="1"/>
  <c r="D82" i="34"/>
  <c r="E82" i="34" s="1"/>
  <c r="F82" i="34" s="1"/>
  <c r="G82" i="34" s="1"/>
  <c r="D80" i="34"/>
  <c r="E80" i="34" s="1"/>
  <c r="D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J12" i="34"/>
  <c r="W12" i="34" s="1"/>
  <c r="H12" i="34"/>
  <c r="F12" i="34"/>
  <c r="S12" i="34" s="1"/>
  <c r="Q11" i="34"/>
  <c r="Z11" i="34"/>
  <c r="Q10" i="34"/>
  <c r="Z10" i="34"/>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H28" i="33" s="1"/>
  <c r="U28" i="33" s="1"/>
  <c r="B90" i="33"/>
  <c r="F27" i="33" s="1"/>
  <c r="AA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C18" i="20"/>
  <c r="C17" i="20"/>
  <c r="B61" i="43" s="1"/>
  <c r="C16" i="20"/>
  <c r="C17" i="39" s="1"/>
  <c r="C15" i="20"/>
  <c r="E54" i="21"/>
  <c r="F54" i="21" s="1"/>
  <c r="I54" i="21"/>
  <c r="J54" i="21" s="1"/>
  <c r="G54" i="21"/>
  <c r="H54" i="21" s="1"/>
  <c r="D125" i="21"/>
  <c r="E125" i="21" s="1"/>
  <c r="F125" i="21"/>
  <c r="G125" i="21" s="1"/>
  <c r="D123" i="21"/>
  <c r="E123" i="21" s="1"/>
  <c r="F123" i="21" s="1"/>
  <c r="G123" i="21" s="1"/>
  <c r="H123" i="21" s="1"/>
  <c r="F42" i="21"/>
  <c r="AA42" i="21"/>
  <c r="D119" i="21"/>
  <c r="F40"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c r="J108" i="21" s="1"/>
  <c r="K108" i="21" s="1"/>
  <c r="L108" i="21" s="1"/>
  <c r="M108" i="21" s="1"/>
  <c r="D106" i="21"/>
  <c r="E106" i="21"/>
  <c r="F106" i="21" s="1"/>
  <c r="G106" i="21" s="1"/>
  <c r="H106" i="21" s="1"/>
  <c r="I106" i="21" s="1"/>
  <c r="J106" i="21" s="1"/>
  <c r="K106" i="21" s="1"/>
  <c r="L106" i="21" s="1"/>
  <c r="M106" i="21" s="1"/>
  <c r="D101" i="21"/>
  <c r="E101" i="21"/>
  <c r="F101" i="21" s="1"/>
  <c r="G101" i="21"/>
  <c r="H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H46" i="21" s="1"/>
  <c r="U46" i="21" s="1"/>
  <c r="B128" i="21"/>
  <c r="J45" i="21" s="1"/>
  <c r="W45" i="21" s="1"/>
  <c r="B126" i="21"/>
  <c r="B98" i="21"/>
  <c r="B96" i="21"/>
  <c r="J30" i="21" s="1"/>
  <c r="AC30" i="21" s="1"/>
  <c r="B94" i="21"/>
  <c r="H29" i="21" s="1"/>
  <c r="U29" i="21" s="1"/>
  <c r="J29" i="21"/>
  <c r="AC29" i="21" s="1"/>
  <c r="B92" i="21"/>
  <c r="B90" i="21"/>
  <c r="J27" i="21"/>
  <c r="W27" i="21" s="1"/>
  <c r="B74" i="21"/>
  <c r="B72" i="21"/>
  <c r="J13" i="21" s="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D5" i="3" s="1"/>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AB38" i="21" s="1"/>
  <c r="H43" i="21"/>
  <c r="AB43" i="21"/>
  <c r="F38" i="21"/>
  <c r="S38" i="21"/>
  <c r="F36" i="21"/>
  <c r="S36" i="21"/>
  <c r="F39" i="21"/>
  <c r="AA39" i="21" s="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AA41" i="21"/>
  <c r="F45" i="39"/>
  <c r="S45" i="39"/>
  <c r="J45" i="39"/>
  <c r="W45" i="39"/>
  <c r="J44" i="39"/>
  <c r="AC44" i="39"/>
  <c r="F36" i="39"/>
  <c r="S36" i="39"/>
  <c r="H36" i="39"/>
  <c r="AB36" i="39"/>
  <c r="J36" i="39"/>
  <c r="AC36" i="39"/>
  <c r="U9" i="39"/>
  <c r="W40" i="39"/>
  <c r="U30" i="37"/>
  <c r="W31" i="37"/>
  <c r="E103" i="37"/>
  <c r="F103" i="37" s="1"/>
  <c r="G103" i="37" s="1"/>
  <c r="H103" i="37" s="1"/>
  <c r="I103" i="37" s="1"/>
  <c r="J103" i="37" s="1"/>
  <c r="K103" i="37" s="1"/>
  <c r="L103" i="37" s="1"/>
  <c r="M103" i="37" s="1"/>
  <c r="U14" i="37"/>
  <c r="F29" i="36"/>
  <c r="AA29" i="36" s="1"/>
  <c r="F16" i="36"/>
  <c r="AA16" i="36"/>
  <c r="W28" i="36"/>
  <c r="J33" i="36"/>
  <c r="AC33" i="36" s="1"/>
  <c r="H22" i="35"/>
  <c r="AB22" i="35"/>
  <c r="W28" i="35"/>
  <c r="U31" i="35"/>
  <c r="S34" i="35"/>
  <c r="W36" i="35"/>
  <c r="W22" i="35"/>
  <c r="S31" i="35"/>
  <c r="F36" i="34"/>
  <c r="AA36" i="34" s="1"/>
  <c r="J35" i="34"/>
  <c r="H39" i="33"/>
  <c r="AB39" i="33"/>
  <c r="F26" i="33"/>
  <c r="AA26" i="33" s="1"/>
  <c r="U33" i="33"/>
  <c r="S40" i="33"/>
  <c r="W33" i="33"/>
  <c r="H39" i="37"/>
  <c r="AB39" i="37" s="1"/>
  <c r="S27" i="35"/>
  <c r="F11" i="40"/>
  <c r="AA11" i="40"/>
  <c r="H11" i="40"/>
  <c r="AB11" i="40"/>
  <c r="AB39" i="40"/>
  <c r="AC40" i="40"/>
  <c r="AA9" i="40"/>
  <c r="AC9" i="40"/>
  <c r="U9" i="40"/>
  <c r="U38" i="40"/>
  <c r="S40" i="40"/>
  <c r="W31" i="40"/>
  <c r="U34" i="40"/>
  <c r="S38" i="40"/>
  <c r="U40" i="40"/>
  <c r="F42" i="39"/>
  <c r="AA42" i="39" s="1"/>
  <c r="F41" i="39"/>
  <c r="S41" i="39" s="1"/>
  <c r="H40" i="39"/>
  <c r="AB40" i="39" s="1"/>
  <c r="H39" i="39"/>
  <c r="U39" i="39" s="1"/>
  <c r="S38" i="39"/>
  <c r="S34" i="39"/>
  <c r="H34" i="39"/>
  <c r="U34" i="39" s="1"/>
  <c r="H31" i="39"/>
  <c r="AB31" i="39" s="1"/>
  <c r="F31" i="39"/>
  <c r="AA31" i="39" s="1"/>
  <c r="E100" i="39"/>
  <c r="F100" i="39" s="1"/>
  <c r="H19" i="39"/>
  <c r="AB19" i="39" s="1"/>
  <c r="F19" i="39"/>
  <c r="AA19" i="39" s="1"/>
  <c r="H17" i="39"/>
  <c r="AB17" i="39" s="1"/>
  <c r="F17" i="39"/>
  <c r="AA17" i="39" s="1"/>
  <c r="J23" i="40"/>
  <c r="AC23" i="40"/>
  <c r="F21" i="40"/>
  <c r="AA21" i="40"/>
  <c r="J21" i="40"/>
  <c r="W21" i="40" s="1"/>
  <c r="H42" i="39"/>
  <c r="AB42" i="39" s="1"/>
  <c r="J34" i="39"/>
  <c r="AC34" i="39" s="1"/>
  <c r="J31" i="39"/>
  <c r="H27" i="39"/>
  <c r="U27" i="39" s="1"/>
  <c r="J19" i="39"/>
  <c r="AC19" i="39" s="1"/>
  <c r="J17" i="39"/>
  <c r="J27" i="39"/>
  <c r="AC27" i="39"/>
  <c r="F27" i="39"/>
  <c r="F11" i="21"/>
  <c r="S11" i="21" s="1"/>
  <c r="U34" i="21"/>
  <c r="S34" i="21"/>
  <c r="C25" i="39"/>
  <c r="C27" i="39"/>
  <c r="H11" i="39"/>
  <c r="S40" i="39"/>
  <c r="H32" i="33"/>
  <c r="AB32" i="33"/>
  <c r="H11" i="21"/>
  <c r="U11" i="21" s="1"/>
  <c r="J11" i="21"/>
  <c r="W11" i="21" s="1"/>
  <c r="H37" i="40"/>
  <c r="U37" i="40" s="1"/>
  <c r="H36" i="40"/>
  <c r="AB36" i="40" s="1"/>
  <c r="F35" i="40"/>
  <c r="AA35" i="40" s="1"/>
  <c r="H23" i="40"/>
  <c r="H17" i="40"/>
  <c r="U17" i="40" s="1"/>
  <c r="J15" i="40"/>
  <c r="W15" i="40" s="1"/>
  <c r="J11" i="40"/>
  <c r="AC11" i="40" s="1"/>
  <c r="W11" i="40"/>
  <c r="AB8" i="39"/>
  <c r="W32" i="40"/>
  <c r="S44" i="39"/>
  <c r="F37" i="39"/>
  <c r="AA37" i="39" s="1"/>
  <c r="J34" i="36"/>
  <c r="W34" i="36" s="1"/>
  <c r="U30" i="36"/>
  <c r="J30" i="35"/>
  <c r="W30" i="35" s="1"/>
  <c r="H30" i="35"/>
  <c r="AB30" i="35" s="1"/>
  <c r="F22" i="35"/>
  <c r="AA22" i="35" s="1"/>
  <c r="H10" i="35"/>
  <c r="U10" i="35" s="1"/>
  <c r="AC16" i="36"/>
  <c r="F33" i="36"/>
  <c r="AA33" i="36" s="1"/>
  <c r="W30" i="36"/>
  <c r="H16" i="36"/>
  <c r="AB16" i="36"/>
  <c r="F85" i="36"/>
  <c r="G85" i="36"/>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AA35" i="37" s="1"/>
  <c r="E101" i="37"/>
  <c r="F101" i="37" s="1"/>
  <c r="G101" i="37" s="1"/>
  <c r="H101" i="37" s="1"/>
  <c r="I101" i="37" s="1"/>
  <c r="J101" i="37" s="1"/>
  <c r="K101" i="37" s="1"/>
  <c r="L101" i="37" s="1"/>
  <c r="M101" i="37" s="1"/>
  <c r="J34" i="37"/>
  <c r="W34" i="37"/>
  <c r="AB34" i="37"/>
  <c r="J33" i="37"/>
  <c r="AC33" i="37" s="1"/>
  <c r="U42" i="34"/>
  <c r="H40" i="34"/>
  <c r="U40" i="34" s="1"/>
  <c r="H36" i="34"/>
  <c r="U36" i="34" s="1"/>
  <c r="F27" i="34"/>
  <c r="AA27" i="34" s="1"/>
  <c r="J23" i="34"/>
  <c r="AC23" i="34" s="1"/>
  <c r="F15" i="34"/>
  <c r="AA15" i="34" s="1"/>
  <c r="W8" i="34"/>
  <c r="J28" i="34"/>
  <c r="W28" i="34" s="1"/>
  <c r="F41" i="33"/>
  <c r="S41" i="33" s="1"/>
  <c r="AA41" i="33"/>
  <c r="S38" i="33"/>
  <c r="E113" i="33"/>
  <c r="F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AB30" i="36"/>
  <c r="U33" i="35"/>
  <c r="F29" i="35"/>
  <c r="H29" i="35"/>
  <c r="AB29" i="35" s="1"/>
  <c r="H33" i="37"/>
  <c r="AB33" i="37" s="1"/>
  <c r="F33" i="37"/>
  <c r="AA33" i="37" s="1"/>
  <c r="U34" i="37"/>
  <c r="S34" i="37"/>
  <c r="AA34" i="37"/>
  <c r="J43" i="34"/>
  <c r="AC43" i="34" s="1"/>
  <c r="AB42" i="34"/>
  <c r="J40" i="34"/>
  <c r="H38" i="34"/>
  <c r="AB38" i="34" s="1"/>
  <c r="J36" i="34"/>
  <c r="W36" i="34" s="1"/>
  <c r="F17" i="34"/>
  <c r="AA17" i="34" s="1"/>
  <c r="G113" i="33"/>
  <c r="H113" i="33" s="1"/>
  <c r="I113" i="33" s="1"/>
  <c r="J113" i="33" s="1"/>
  <c r="K113" i="33" s="1"/>
  <c r="L113" i="33" s="1"/>
  <c r="M113" i="33" s="1"/>
  <c r="H37" i="33"/>
  <c r="AB37" i="33"/>
  <c r="H15" i="33"/>
  <c r="U15" i="33" s="1"/>
  <c r="H11" i="33"/>
  <c r="AB11" i="33" s="1"/>
  <c r="F28" i="40"/>
  <c r="AA28" i="40" s="1"/>
  <c r="AA42" i="34"/>
  <c r="S42" i="34"/>
  <c r="AC38" i="34"/>
  <c r="AA38" i="34"/>
  <c r="J11" i="33"/>
  <c r="W11" i="33" s="1"/>
  <c r="S28" i="34"/>
  <c r="I123" i="21"/>
  <c r="J123" i="21" s="1"/>
  <c r="K123" i="21" s="1"/>
  <c r="L123" i="21" s="1"/>
  <c r="M123" i="21" s="1"/>
  <c r="J42" i="21"/>
  <c r="AC42" i="21"/>
  <c r="H42" i="21"/>
  <c r="U42" i="21"/>
  <c r="J44" i="34"/>
  <c r="AC44" i="34" s="1"/>
  <c r="F44" i="34"/>
  <c r="AA44" i="34" s="1"/>
  <c r="J10" i="35"/>
  <c r="AC10" i="35" s="1"/>
  <c r="BL587" i="3"/>
  <c r="H14" i="21"/>
  <c r="U14" i="21" s="1"/>
  <c r="H28" i="21"/>
  <c r="AB28" i="21" s="1"/>
  <c r="F28" i="21"/>
  <c r="AA28" i="21"/>
  <c r="J28" i="21"/>
  <c r="W28" i="21"/>
  <c r="H30" i="21"/>
  <c r="AB30" i="21" s="1"/>
  <c r="F30" i="21"/>
  <c r="S30" i="21" s="1"/>
  <c r="J44" i="21"/>
  <c r="AC44" i="21"/>
  <c r="H44" i="21"/>
  <c r="U44" i="21" s="1"/>
  <c r="F44" i="21"/>
  <c r="AA44" i="21" s="1"/>
  <c r="F46" i="21"/>
  <c r="AA46" i="21" s="1"/>
  <c r="E119" i="21"/>
  <c r="F119" i="21"/>
  <c r="G119" i="21" s="1"/>
  <c r="H119" i="21" s="1"/>
  <c r="I119" i="21" s="1"/>
  <c r="J119" i="21" s="1"/>
  <c r="K119" i="21" s="1"/>
  <c r="L119" i="21" s="1"/>
  <c r="M119" i="21" s="1"/>
  <c r="H26" i="33"/>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C13" i="21"/>
  <c r="H27" i="21"/>
  <c r="AB27" i="21"/>
  <c r="F27" i="21"/>
  <c r="AA27" i="21"/>
  <c r="F31" i="21"/>
  <c r="S31" i="21" s="1"/>
  <c r="F45" i="21"/>
  <c r="AA45" i="21" s="1"/>
  <c r="H13" i="33"/>
  <c r="U13" i="33" s="1"/>
  <c r="F13" i="33"/>
  <c r="S13" i="33"/>
  <c r="J29" i="33"/>
  <c r="W29" i="33" s="1"/>
  <c r="H29" i="33"/>
  <c r="U29" i="33"/>
  <c r="F29" i="33"/>
  <c r="S29" i="33"/>
  <c r="J31" i="33"/>
  <c r="W31" i="33"/>
  <c r="H31" i="33"/>
  <c r="AB31" i="33" s="1"/>
  <c r="F31" i="33"/>
  <c r="H45" i="33"/>
  <c r="U45" i="33"/>
  <c r="J45" i="33"/>
  <c r="W45" i="33"/>
  <c r="F45" i="33"/>
  <c r="AA45" i="33"/>
  <c r="J14" i="34"/>
  <c r="W14" i="34" s="1"/>
  <c r="F14" i="34"/>
  <c r="S14" i="34" s="1"/>
  <c r="H14" i="34"/>
  <c r="H30" i="34"/>
  <c r="F30" i="34"/>
  <c r="S30" i="34" s="1"/>
  <c r="J30" i="34"/>
  <c r="AC30" i="34" s="1"/>
  <c r="H32" i="34"/>
  <c r="F32" i="34"/>
  <c r="J32" i="34"/>
  <c r="W32" i="34" s="1"/>
  <c r="H11" i="35"/>
  <c r="AB11" i="35" s="1"/>
  <c r="J11" i="35"/>
  <c r="W11" i="35" s="1"/>
  <c r="AC11" i="35"/>
  <c r="F11" i="35"/>
  <c r="S11" i="35" s="1"/>
  <c r="J26" i="36"/>
  <c r="W26" i="36" s="1"/>
  <c r="H28" i="36"/>
  <c r="U28" i="36" s="1"/>
  <c r="H32" i="36"/>
  <c r="AB32" i="36" s="1"/>
  <c r="J32" i="36"/>
  <c r="W32" i="36" s="1"/>
  <c r="H13" i="36"/>
  <c r="AB13" i="36"/>
  <c r="J13" i="36"/>
  <c r="F13" i="36"/>
  <c r="S13" i="36" s="1"/>
  <c r="E89" i="37"/>
  <c r="F89" i="37"/>
  <c r="G89" i="37" s="1"/>
  <c r="H89" i="37" s="1"/>
  <c r="I89" i="37" s="1"/>
  <c r="J89" i="37" s="1"/>
  <c r="K89" i="37" s="1"/>
  <c r="L89" i="37" s="1"/>
  <c r="M89" i="37" s="1"/>
  <c r="J29" i="37"/>
  <c r="W29" i="37" s="1"/>
  <c r="F29" i="37"/>
  <c r="S29" i="37" s="1"/>
  <c r="F105" i="37"/>
  <c r="H36" i="37"/>
  <c r="AB36" i="37"/>
  <c r="F107" i="37"/>
  <c r="J37" i="37"/>
  <c r="AC37" i="37" s="1"/>
  <c r="H37" i="37"/>
  <c r="U37" i="37"/>
  <c r="AC12" i="40"/>
  <c r="W12" i="40"/>
  <c r="H14" i="33"/>
  <c r="AB14" i="33" s="1"/>
  <c r="F14" i="33"/>
  <c r="S14" i="33" s="1"/>
  <c r="AB30" i="33"/>
  <c r="F30" i="33"/>
  <c r="J30" i="33"/>
  <c r="H44" i="33"/>
  <c r="J44" i="33"/>
  <c r="AC44" i="33" s="1"/>
  <c r="F44" i="33"/>
  <c r="AA44" i="33" s="1"/>
  <c r="J46" i="33"/>
  <c r="AC46" i="33"/>
  <c r="F46" i="33"/>
  <c r="AA46" i="33" s="1"/>
  <c r="H46" i="33"/>
  <c r="F13" i="34"/>
  <c r="AA13" i="34" s="1"/>
  <c r="J29" i="34"/>
  <c r="F29" i="34"/>
  <c r="S29" i="34" s="1"/>
  <c r="H29" i="34"/>
  <c r="AB29" i="34" s="1"/>
  <c r="J31" i="34"/>
  <c r="AC31" i="34" s="1"/>
  <c r="H31" i="34"/>
  <c r="U31" i="34" s="1"/>
  <c r="F31" i="34"/>
  <c r="S31" i="34" s="1"/>
  <c r="J47" i="34"/>
  <c r="AC47" i="34" s="1"/>
  <c r="F13" i="35"/>
  <c r="S13" i="35" s="1"/>
  <c r="J13" i="35"/>
  <c r="W13" i="35" s="1"/>
  <c r="F25" i="35"/>
  <c r="S25" i="35" s="1"/>
  <c r="H25" i="35"/>
  <c r="AB25" i="35"/>
  <c r="J35" i="35"/>
  <c r="AC35" i="35"/>
  <c r="F35" i="35"/>
  <c r="AA35" i="35"/>
  <c r="H35" i="35"/>
  <c r="AB35" i="35" s="1"/>
  <c r="J25" i="36"/>
  <c r="W25" i="36"/>
  <c r="F25" i="36"/>
  <c r="S25" i="36"/>
  <c r="H25" i="36"/>
  <c r="AB25" i="36"/>
  <c r="H13" i="37"/>
  <c r="AB13" i="37" s="1"/>
  <c r="F13" i="37"/>
  <c r="S13" i="37" s="1"/>
  <c r="J13" i="37"/>
  <c r="W13" i="37" s="1"/>
  <c r="F28" i="37"/>
  <c r="AA28" i="37"/>
  <c r="J28" i="37"/>
  <c r="AC28" i="37"/>
  <c r="H28" i="37"/>
  <c r="U28" i="37" s="1"/>
  <c r="H38" i="37"/>
  <c r="AB38" i="37"/>
  <c r="J38" i="37"/>
  <c r="AC38" i="37"/>
  <c r="F38" i="37"/>
  <c r="S38" i="37"/>
  <c r="F43" i="39"/>
  <c r="AA43" i="39" s="1"/>
  <c r="H43" i="39"/>
  <c r="J14" i="39"/>
  <c r="AC14" i="39" s="1"/>
  <c r="F14" i="39"/>
  <c r="H14" i="39"/>
  <c r="AB14" i="39" s="1"/>
  <c r="F12" i="40"/>
  <c r="S12" i="40"/>
  <c r="H12" i="40"/>
  <c r="AB12" i="40" s="1"/>
  <c r="H30" i="40"/>
  <c r="AB30" i="40" s="1"/>
  <c r="F33" i="40"/>
  <c r="AA33" i="40" s="1"/>
  <c r="H33" i="40"/>
  <c r="U33" i="40"/>
  <c r="J35" i="40"/>
  <c r="AC35" i="40"/>
  <c r="J37" i="40"/>
  <c r="AC37" i="40" s="1"/>
  <c r="H13" i="40"/>
  <c r="U13" i="40" s="1"/>
  <c r="J13" i="40"/>
  <c r="W13" i="40"/>
  <c r="F13" i="40"/>
  <c r="AA13" i="40"/>
  <c r="F14" i="37"/>
  <c r="F27" i="37"/>
  <c r="AA27" i="37" s="1"/>
  <c r="F13" i="39"/>
  <c r="J13" i="39"/>
  <c r="W13" i="39" s="1"/>
  <c r="H13" i="39"/>
  <c r="H14" i="40"/>
  <c r="AB14" i="40" s="1"/>
  <c r="J14" i="40"/>
  <c r="W14" i="40"/>
  <c r="F14" i="40"/>
  <c r="AA14" i="40"/>
  <c r="J14" i="37"/>
  <c r="W14" i="37" s="1"/>
  <c r="AC14" i="37"/>
  <c r="J27" i="37"/>
  <c r="AC27" i="37" s="1"/>
  <c r="AA13" i="35"/>
  <c r="J36" i="37"/>
  <c r="AC36" i="37" s="1"/>
  <c r="G105" i="37"/>
  <c r="J10" i="36"/>
  <c r="AC10" i="36" s="1"/>
  <c r="AC13" i="36"/>
  <c r="W13" i="36"/>
  <c r="S45" i="33"/>
  <c r="AB45" i="33"/>
  <c r="AC28" i="21"/>
  <c r="BA585" i="3"/>
  <c r="AZ585" i="3" s="1"/>
  <c r="F17" i="21"/>
  <c r="AA17" i="21" s="1"/>
  <c r="H17" i="21"/>
  <c r="AB17" i="21"/>
  <c r="F15" i="21"/>
  <c r="S15"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4" i="3"/>
  <c r="G560" i="3"/>
  <c r="G554" i="3"/>
  <c r="G550" i="3"/>
  <c r="BL580" i="3"/>
  <c r="BL576" i="3"/>
  <c r="BL564" i="3"/>
  <c r="BL554" i="3"/>
  <c r="BL546" i="3"/>
  <c r="BL542" i="3"/>
  <c r="BL538" i="3"/>
  <c r="BL534" i="3"/>
  <c r="BL530" i="3"/>
  <c r="BL526" i="3"/>
  <c r="BL522" i="3"/>
  <c r="BL516" i="3"/>
  <c r="AZ516" i="3" s="1"/>
  <c r="BL512" i="3"/>
  <c r="BL506" i="3"/>
  <c r="BL502" i="3"/>
  <c r="BL498" i="3"/>
  <c r="BL494" i="3"/>
  <c r="BL574" i="3"/>
  <c r="BL570" i="3"/>
  <c r="BL566" i="3"/>
  <c r="BL556" i="3"/>
  <c r="BL544" i="3"/>
  <c r="BL540" i="3"/>
  <c r="BL536" i="3"/>
  <c r="G533" i="3"/>
  <c r="BL532" i="3"/>
  <c r="G529" i="3"/>
  <c r="BL528" i="3"/>
  <c r="G525" i="3"/>
  <c r="BL524" i="3"/>
  <c r="BL518" i="3"/>
  <c r="BL514" i="3"/>
  <c r="BL510" i="3"/>
  <c r="BL504" i="3"/>
  <c r="BL500" i="3"/>
  <c r="BL496" i="3"/>
  <c r="G493" i="3"/>
  <c r="BA580" i="3"/>
  <c r="AZ580" i="3"/>
  <c r="BA578" i="3"/>
  <c r="AZ578" i="3"/>
  <c r="BA558" i="3"/>
  <c r="AZ558" i="3" s="1"/>
  <c r="BA556" i="3"/>
  <c r="AZ556" i="3" s="1"/>
  <c r="BA554" i="3"/>
  <c r="AZ554" i="3" s="1"/>
  <c r="BA552" i="3"/>
  <c r="AZ552" i="3" s="1"/>
  <c r="BA548" i="3"/>
  <c r="BA544" i="3"/>
  <c r="AZ544" i="3" s="1"/>
  <c r="BA542" i="3"/>
  <c r="AZ542" i="3" s="1"/>
  <c r="BA540" i="3"/>
  <c r="AZ540" i="3" s="1"/>
  <c r="BA538" i="3"/>
  <c r="AZ538" i="3" s="1"/>
  <c r="BA536" i="3"/>
  <c r="AZ536" i="3"/>
  <c r="BA534" i="3"/>
  <c r="AZ534" i="3" s="1"/>
  <c r="BA532" i="3"/>
  <c r="AZ532" i="3" s="1"/>
  <c r="BA530" i="3"/>
  <c r="BA528" i="3"/>
  <c r="AZ528" i="3"/>
  <c r="BA526" i="3"/>
  <c r="AZ526" i="3"/>
  <c r="BA524" i="3"/>
  <c r="AZ524" i="3" s="1"/>
  <c r="BA522" i="3"/>
  <c r="BA520" i="3"/>
  <c r="AZ520" i="3" s="1"/>
  <c r="BA518" i="3"/>
  <c r="AZ518" i="3"/>
  <c r="BA516" i="3"/>
  <c r="BA514" i="3"/>
  <c r="BA512" i="3"/>
  <c r="BA510" i="3"/>
  <c r="AZ510" i="3" s="1"/>
  <c r="BA508" i="3"/>
  <c r="AZ508" i="3" s="1"/>
  <c r="BA506" i="3"/>
  <c r="BA504" i="3"/>
  <c r="AZ504" i="3" s="1"/>
  <c r="BA502" i="3"/>
  <c r="AZ502" i="3" s="1"/>
  <c r="BA500" i="3"/>
  <c r="BA498" i="3"/>
  <c r="BA496" i="3"/>
  <c r="AZ496" i="3" s="1"/>
  <c r="BA494" i="3"/>
  <c r="BA587" i="3"/>
  <c r="AZ587" i="3" s="1"/>
  <c r="BA577" i="3"/>
  <c r="BA575" i="3"/>
  <c r="BA573" i="3"/>
  <c r="AZ573" i="3" s="1"/>
  <c r="BA571" i="3"/>
  <c r="BA569" i="3"/>
  <c r="AZ569" i="3" s="1"/>
  <c r="BA561" i="3"/>
  <c r="BA559" i="3"/>
  <c r="AZ559" i="3" s="1"/>
  <c r="BA555" i="3"/>
  <c r="AZ555" i="3" s="1"/>
  <c r="BA553" i="3"/>
  <c r="BA549" i="3"/>
  <c r="AZ549" i="3" s="1"/>
  <c r="BA545" i="3"/>
  <c r="BA541" i="3"/>
  <c r="BA539" i="3"/>
  <c r="AZ539" i="3" s="1"/>
  <c r="BA537" i="3"/>
  <c r="BA535" i="3"/>
  <c r="BA533" i="3"/>
  <c r="BA531" i="3"/>
  <c r="BA529" i="3"/>
  <c r="BA527" i="3"/>
  <c r="BA525" i="3"/>
  <c r="AZ525" i="3" s="1"/>
  <c r="BA523" i="3"/>
  <c r="BA519" i="3"/>
  <c r="BA517" i="3"/>
  <c r="BA515" i="3"/>
  <c r="AZ515" i="3" s="1"/>
  <c r="BA513" i="3"/>
  <c r="BA511" i="3"/>
  <c r="BA507" i="3"/>
  <c r="BA505" i="3"/>
  <c r="BA503" i="3"/>
  <c r="BA501" i="3"/>
  <c r="BA499" i="3"/>
  <c r="BA497" i="3"/>
  <c r="BA495" i="3"/>
  <c r="BA493" i="3"/>
  <c r="AZ493" i="3" s="1"/>
  <c r="G583" i="3"/>
  <c r="G581" i="3"/>
  <c r="G579" i="3"/>
  <c r="G577" i="3"/>
  <c r="G575" i="3"/>
  <c r="G571" i="3"/>
  <c r="G569" i="3"/>
  <c r="G567" i="3"/>
  <c r="G565" i="3"/>
  <c r="G563" i="3"/>
  <c r="G561" i="3"/>
  <c r="BL558" i="3"/>
  <c r="AC557" i="3"/>
  <c r="G557" i="3"/>
  <c r="BQ557" i="3"/>
  <c r="BL557" i="3" s="1"/>
  <c r="BQ583" i="3"/>
  <c r="BL583" i="3" s="1"/>
  <c r="BQ581" i="3"/>
  <c r="BL581" i="3" s="1"/>
  <c r="BQ579" i="3"/>
  <c r="BL579" i="3"/>
  <c r="BQ577" i="3"/>
  <c r="BL577" i="3" s="1"/>
  <c r="BQ575" i="3"/>
  <c r="BQ573" i="3"/>
  <c r="BQ571" i="3"/>
  <c r="AZ571" i="3"/>
  <c r="BQ569" i="3"/>
  <c r="BL569" i="3"/>
  <c r="BQ567" i="3"/>
  <c r="BQ565" i="3"/>
  <c r="BL565" i="3"/>
  <c r="BQ563" i="3"/>
  <c r="BL563" i="3"/>
  <c r="BQ561" i="3"/>
  <c r="BL561" i="3" s="1"/>
  <c r="AZ561" i="3" s="1"/>
  <c r="BQ559" i="3"/>
  <c r="BL559" i="3"/>
  <c r="G559" i="3"/>
  <c r="G555" i="3"/>
  <c r="G553" i="3"/>
  <c r="G549" i="3"/>
  <c r="G547" i="3"/>
  <c r="G543" i="3"/>
  <c r="G541" i="3"/>
  <c r="G539" i="3"/>
  <c r="G537" i="3"/>
  <c r="BQ555" i="3"/>
  <c r="BL555" i="3"/>
  <c r="BQ553" i="3"/>
  <c r="BL553" i="3"/>
  <c r="BQ551" i="3"/>
  <c r="BL551" i="3" s="1"/>
  <c r="AZ551" i="3" s="1"/>
  <c r="BQ549" i="3"/>
  <c r="BL549" i="3" s="1"/>
  <c r="BQ547" i="3"/>
  <c r="BL547" i="3"/>
  <c r="BQ545" i="3"/>
  <c r="BQ543" i="3"/>
  <c r="BL543" i="3"/>
  <c r="BQ541" i="3"/>
  <c r="BL541" i="3" s="1"/>
  <c r="BQ539" i="3"/>
  <c r="BL539" i="3"/>
  <c r="BQ537" i="3"/>
  <c r="BL537" i="3"/>
  <c r="AZ537" i="3" s="1"/>
  <c r="BQ535" i="3"/>
  <c r="BL535" i="3"/>
  <c r="BQ533" i="3"/>
  <c r="BL533" i="3" s="1"/>
  <c r="BQ531" i="3"/>
  <c r="BL531" i="3"/>
  <c r="AZ531" i="3" s="1"/>
  <c r="BQ529" i="3"/>
  <c r="BL529" i="3" s="1"/>
  <c r="AZ529" i="3"/>
  <c r="BQ527" i="3"/>
  <c r="BL527" i="3"/>
  <c r="AZ527" i="3" s="1"/>
  <c r="BQ525" i="3"/>
  <c r="BL525" i="3" s="1"/>
  <c r="BQ523" i="3"/>
  <c r="BL523" i="3"/>
  <c r="AZ523" i="3"/>
  <c r="BA521" i="3"/>
  <c r="AZ521" i="3"/>
  <c r="AC521" i="3"/>
  <c r="G521" i="3" s="1"/>
  <c r="BQ521" i="3"/>
  <c r="BL521" i="3" s="1"/>
  <c r="BL520" i="3"/>
  <c r="G519" i="3"/>
  <c r="G517" i="3"/>
  <c r="G515" i="3"/>
  <c r="G513" i="3"/>
  <c r="G511" i="3"/>
  <c r="BQ519" i="3"/>
  <c r="BL519" i="3"/>
  <c r="AZ519" i="3"/>
  <c r="BQ517" i="3"/>
  <c r="BL517" i="3"/>
  <c r="AZ517" i="3" s="1"/>
  <c r="BQ515" i="3"/>
  <c r="BL515" i="3"/>
  <c r="BQ513" i="3"/>
  <c r="BL513" i="3"/>
  <c r="AZ513" i="3"/>
  <c r="BQ511" i="3"/>
  <c r="BL511" i="3"/>
  <c r="BA509" i="3"/>
  <c r="AC509" i="3"/>
  <c r="BQ509" i="3"/>
  <c r="BL509" i="3" s="1"/>
  <c r="BL508" i="3"/>
  <c r="G507" i="3"/>
  <c r="G505" i="3"/>
  <c r="G503" i="3"/>
  <c r="G501" i="3"/>
  <c r="G499" i="3"/>
  <c r="G497" i="3"/>
  <c r="G495" i="3"/>
  <c r="BQ507" i="3"/>
  <c r="BL507" i="3" s="1"/>
  <c r="BQ505" i="3"/>
  <c r="BQ503" i="3"/>
  <c r="BL503" i="3" s="1"/>
  <c r="BQ501" i="3"/>
  <c r="BL501" i="3" s="1"/>
  <c r="BQ499" i="3"/>
  <c r="BL499" i="3" s="1"/>
  <c r="BQ497" i="3"/>
  <c r="BL497" i="3"/>
  <c r="AZ497" i="3" s="1"/>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c r="H43" i="33"/>
  <c r="U43" i="33" s="1"/>
  <c r="AB43" i="33"/>
  <c r="H17" i="37"/>
  <c r="U17" i="37" s="1"/>
  <c r="AB27" i="37"/>
  <c r="U32" i="33"/>
  <c r="AA36" i="39"/>
  <c r="F39" i="33"/>
  <c r="AA39" i="33" s="1"/>
  <c r="E123" i="33"/>
  <c r="F42" i="33"/>
  <c r="AA42" i="33"/>
  <c r="H28" i="34"/>
  <c r="AB28" i="34" s="1"/>
  <c r="F14" i="36"/>
  <c r="AA14" i="36" s="1"/>
  <c r="F22" i="36"/>
  <c r="S22" i="36" s="1"/>
  <c r="F26" i="36"/>
  <c r="S26" i="36"/>
  <c r="H27" i="34"/>
  <c r="AB27" i="34" s="1"/>
  <c r="H35" i="34"/>
  <c r="AB35" i="34" s="1"/>
  <c r="F41" i="34"/>
  <c r="S41" i="34" s="1"/>
  <c r="H41" i="34"/>
  <c r="U41" i="34" s="1"/>
  <c r="J41" i="34"/>
  <c r="W41" i="34" s="1"/>
  <c r="F10" i="35"/>
  <c r="S10" i="35" s="1"/>
  <c r="F24" i="35"/>
  <c r="AA24" i="35"/>
  <c r="H24" i="35"/>
  <c r="AB24" i="35" s="1"/>
  <c r="H23" i="37"/>
  <c r="J32" i="37"/>
  <c r="AC32" i="37"/>
  <c r="F36" i="37"/>
  <c r="AA36" i="37" s="1"/>
  <c r="F37" i="37"/>
  <c r="AA37" i="37" s="1"/>
  <c r="F31" i="40"/>
  <c r="AA31" i="40" s="1"/>
  <c r="H31" i="40"/>
  <c r="U31" i="40" s="1"/>
  <c r="F32" i="40"/>
  <c r="S32" i="40" s="1"/>
  <c r="H32" i="40"/>
  <c r="AB32" i="40"/>
  <c r="J36" i="40"/>
  <c r="W36" i="40" s="1"/>
  <c r="H19" i="37"/>
  <c r="AB19" i="37"/>
  <c r="F123" i="33"/>
  <c r="G123" i="33"/>
  <c r="H123" i="33" s="1"/>
  <c r="I123" i="33" s="1"/>
  <c r="J123" i="33" s="1"/>
  <c r="K123" i="33" s="1"/>
  <c r="L123" i="33" s="1"/>
  <c r="M123" i="33" s="1"/>
  <c r="H42" i="33"/>
  <c r="G125" i="33"/>
  <c r="J43" i="33"/>
  <c r="AC43" i="33" s="1"/>
  <c r="S28" i="31"/>
  <c r="S27" i="31"/>
  <c r="S26" i="31"/>
  <c r="U14" i="40"/>
  <c r="U35" i="35"/>
  <c r="AA12" i="35"/>
  <c r="AB28" i="37"/>
  <c r="U33" i="37"/>
  <c r="U39" i="37"/>
  <c r="W26" i="37"/>
  <c r="U26" i="37"/>
  <c r="AA13" i="33"/>
  <c r="AC31" i="33"/>
  <c r="AC45" i="33"/>
  <c r="W44" i="33"/>
  <c r="U11" i="33"/>
  <c r="U19" i="21"/>
  <c r="W44" i="21"/>
  <c r="U26" i="21"/>
  <c r="U12" i="21"/>
  <c r="F43" i="33"/>
  <c r="AA43" i="33" s="1"/>
  <c r="W16" i="35"/>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c r="AT6" i="3"/>
  <c r="H19" i="40"/>
  <c r="U19" i="40"/>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4" i="3"/>
  <c r="AZ514" i="3"/>
  <c r="AZ522" i="3"/>
  <c r="AZ530" i="3"/>
  <c r="G546" i="3"/>
  <c r="G524" i="3"/>
  <c r="G303" i="3"/>
  <c r="BL304" i="3"/>
  <c r="G305" i="3"/>
  <c r="BL306" i="3"/>
  <c r="BA308" i="3"/>
  <c r="AZ308" i="3"/>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AZ123" i="3"/>
  <c r="BL124" i="3"/>
  <c r="G125" i="3"/>
  <c r="BA127" i="3"/>
  <c r="BL128" i="3"/>
  <c r="G129" i="3"/>
  <c r="BA131" i="3"/>
  <c r="AZ131" i="3" s="1"/>
  <c r="BL132" i="3"/>
  <c r="G133" i="3"/>
  <c r="BA135" i="3"/>
  <c r="AZ135" i="3"/>
  <c r="BL136" i="3"/>
  <c r="G137" i="3"/>
  <c r="BA139" i="3"/>
  <c r="AZ139" i="3" s="1"/>
  <c r="BL140" i="3"/>
  <c r="G141" i="3"/>
  <c r="BA143" i="3"/>
  <c r="AZ143" i="3" s="1"/>
  <c r="BL144" i="3"/>
  <c r="AZ144" i="3" s="1"/>
  <c r="G145" i="3"/>
  <c r="BA147" i="3"/>
  <c r="AZ147" i="3"/>
  <c r="BL148" i="3"/>
  <c r="G149" i="3"/>
  <c r="BA151" i="3"/>
  <c r="BL152" i="3"/>
  <c r="AZ152" i="3" s="1"/>
  <c r="G153" i="3"/>
  <c r="BA155" i="3"/>
  <c r="BL156" i="3"/>
  <c r="G157" i="3"/>
  <c r="BA159" i="3"/>
  <c r="AZ159" i="3" s="1"/>
  <c r="BL160" i="3"/>
  <c r="AZ160" i="3" s="1"/>
  <c r="G161" i="3"/>
  <c r="BA163" i="3"/>
  <c r="AZ163" i="3"/>
  <c r="BL164" i="3"/>
  <c r="AZ164" i="3" s="1"/>
  <c r="G165" i="3"/>
  <c r="BA167" i="3"/>
  <c r="AZ167" i="3" s="1"/>
  <c r="BL168" i="3"/>
  <c r="G169" i="3"/>
  <c r="BA171" i="3"/>
  <c r="AZ171" i="3"/>
  <c r="BL172" i="3"/>
  <c r="AZ172" i="3"/>
  <c r="G173" i="3"/>
  <c r="BA175" i="3"/>
  <c r="AZ175" i="3"/>
  <c r="BL176" i="3"/>
  <c r="G177" i="3"/>
  <c r="BA179" i="3"/>
  <c r="AZ179" i="3" s="1"/>
  <c r="BL180" i="3"/>
  <c r="AZ180" i="3" s="1"/>
  <c r="G181" i="3"/>
  <c r="BA183" i="3"/>
  <c r="AZ183" i="3" s="1"/>
  <c r="BL184" i="3"/>
  <c r="G185" i="3"/>
  <c r="BA187" i="3"/>
  <c r="AZ187" i="3"/>
  <c r="BL188" i="3"/>
  <c r="AZ188" i="3" s="1"/>
  <c r="G189" i="3"/>
  <c r="BA191" i="3"/>
  <c r="AZ191" i="3"/>
  <c r="BL192" i="3"/>
  <c r="AZ192" i="3" s="1"/>
  <c r="G193" i="3"/>
  <c r="BA195" i="3"/>
  <c r="AZ195" i="3" s="1"/>
  <c r="BL196" i="3"/>
  <c r="AZ196" i="3"/>
  <c r="G197" i="3"/>
  <c r="BA199" i="3"/>
  <c r="AZ199" i="3"/>
  <c r="BL200" i="3"/>
  <c r="AZ200" i="3" s="1"/>
  <c r="G201" i="3"/>
  <c r="BA203" i="3"/>
  <c r="AZ203" i="3" s="1"/>
  <c r="BL204" i="3"/>
  <c r="AZ204" i="3" s="1"/>
  <c r="AZ39" i="3"/>
  <c r="AZ43" i="3"/>
  <c r="AZ47" i="3"/>
  <c r="AZ51" i="3"/>
  <c r="AZ55" i="3"/>
  <c r="AZ59" i="3"/>
  <c r="AZ63" i="3"/>
  <c r="AZ67" i="3"/>
  <c r="AZ71" i="3"/>
  <c r="AZ75" i="3"/>
  <c r="AZ83" i="3"/>
  <c r="AZ168" i="3"/>
  <c r="AZ176" i="3"/>
  <c r="AZ184" i="3"/>
  <c r="AZ89" i="3"/>
  <c r="AZ93" i="3"/>
  <c r="AZ97" i="3"/>
  <c r="AZ101" i="3"/>
  <c r="AZ109" i="3"/>
  <c r="AZ120" i="3"/>
  <c r="G534" i="3"/>
  <c r="G530" i="3"/>
  <c r="G522" i="3"/>
  <c r="G516" i="3"/>
  <c r="G512" i="3"/>
  <c r="G506" i="3"/>
  <c r="G498" i="3"/>
  <c r="G494" i="3"/>
  <c r="G16" i="3"/>
  <c r="G15" i="3"/>
  <c r="BA304" i="3"/>
  <c r="AZ304" i="3"/>
  <c r="BA305" i="3"/>
  <c r="AZ305" i="3"/>
  <c r="BL305" i="3"/>
  <c r="G306" i="3"/>
  <c r="G309" i="3"/>
  <c r="BL310" i="3"/>
  <c r="BA312" i="3"/>
  <c r="BA313" i="3"/>
  <c r="AZ313" i="3" s="1"/>
  <c r="BL313" i="3"/>
  <c r="G314" i="3"/>
  <c r="G317" i="3"/>
  <c r="BL318" i="3"/>
  <c r="BA320" i="3"/>
  <c r="AZ320" i="3"/>
  <c r="BA321" i="3"/>
  <c r="AZ321" i="3"/>
  <c r="BL321" i="3"/>
  <c r="G322" i="3"/>
  <c r="G325" i="3"/>
  <c r="BL326" i="3"/>
  <c r="BA328" i="3"/>
  <c r="AZ328" i="3"/>
  <c r="BA329" i="3"/>
  <c r="AZ329" i="3" s="1"/>
  <c r="BL329" i="3"/>
  <c r="G330" i="3"/>
  <c r="G333" i="3"/>
  <c r="BL334" i="3"/>
  <c r="BA336" i="3"/>
  <c r="AZ336" i="3"/>
  <c r="BA337" i="3"/>
  <c r="AZ337" i="3"/>
  <c r="BL337" i="3"/>
  <c r="G338" i="3"/>
  <c r="G341" i="3"/>
  <c r="BA342" i="3"/>
  <c r="BL342" i="3"/>
  <c r="AZ342" i="3"/>
  <c r="BA344" i="3"/>
  <c r="AZ344" i="3" s="1"/>
  <c r="BL344" i="3"/>
  <c r="BA346" i="3"/>
  <c r="AZ346" i="3"/>
  <c r="BA347" i="3"/>
  <c r="BL347" i="3"/>
  <c r="AZ347" i="3" s="1"/>
  <c r="G350" i="3"/>
  <c r="BA351" i="3"/>
  <c r="AZ351" i="3" s="1"/>
  <c r="BL351" i="3"/>
  <c r="G352" i="3"/>
  <c r="G354" i="3"/>
  <c r="BA355" i="3"/>
  <c r="AZ355" i="3"/>
  <c r="BA356" i="3"/>
  <c r="BL356" i="3"/>
  <c r="AZ356" i="3" s="1"/>
  <c r="G357" i="3"/>
  <c r="G360" i="3"/>
  <c r="BL361" i="3"/>
  <c r="BA363" i="3"/>
  <c r="AZ363" i="3"/>
  <c r="BA364" i="3"/>
  <c r="AZ364" i="3" s="1"/>
  <c r="BL364" i="3"/>
  <c r="G365" i="3"/>
  <c r="G368" i="3"/>
  <c r="BL369" i="3"/>
  <c r="BA371" i="3"/>
  <c r="AZ371" i="3" s="1"/>
  <c r="BA372" i="3"/>
  <c r="AZ372" i="3"/>
  <c r="BL372" i="3"/>
  <c r="G373" i="3"/>
  <c r="G376" i="3"/>
  <c r="BL377" i="3"/>
  <c r="BL379" i="3"/>
  <c r="BA381" i="3"/>
  <c r="AZ381" i="3"/>
  <c r="BA382" i="3"/>
  <c r="AZ382" i="3" s="1"/>
  <c r="BL382" i="3"/>
  <c r="G383" i="3"/>
  <c r="G386" i="3"/>
  <c r="BL387" i="3"/>
  <c r="BA389" i="3"/>
  <c r="AZ389" i="3" s="1"/>
  <c r="BA390" i="3"/>
  <c r="BL390" i="3"/>
  <c r="G391" i="3"/>
  <c r="G394" i="3"/>
  <c r="AZ142" i="3"/>
  <c r="AZ146" i="3"/>
  <c r="AZ150" i="3"/>
  <c r="AZ158" i="3"/>
  <c r="AZ162" i="3"/>
  <c r="AZ166" i="3"/>
  <c r="AZ170" i="3"/>
  <c r="AZ174" i="3"/>
  <c r="AZ178" i="3"/>
  <c r="AZ182" i="3"/>
  <c r="AZ186" i="3"/>
  <c r="AZ190" i="3"/>
  <c r="AZ194" i="3"/>
  <c r="AZ198" i="3"/>
  <c r="AZ202" i="3"/>
  <c r="AZ206" i="3"/>
  <c r="AZ500" i="3"/>
  <c r="BA16" i="3"/>
  <c r="AZ16" i="3"/>
  <c r="BL303" i="3"/>
  <c r="AZ303" i="3" s="1"/>
  <c r="G304" i="3"/>
  <c r="BA306" i="3"/>
  <c r="AZ306" i="3" s="1"/>
  <c r="BL307" i="3"/>
  <c r="G308" i="3"/>
  <c r="BA310" i="3"/>
  <c r="AZ310" i="3"/>
  <c r="BL311" i="3"/>
  <c r="AZ311" i="3"/>
  <c r="G312" i="3"/>
  <c r="BA314" i="3"/>
  <c r="AZ314" i="3"/>
  <c r="BL315" i="3"/>
  <c r="G316" i="3"/>
  <c r="BA318" i="3"/>
  <c r="AZ318" i="3"/>
  <c r="BL319" i="3"/>
  <c r="AZ319" i="3" s="1"/>
  <c r="G320" i="3"/>
  <c r="BA322" i="3"/>
  <c r="AZ322" i="3" s="1"/>
  <c r="BL323" i="3"/>
  <c r="G324" i="3"/>
  <c r="BA326" i="3"/>
  <c r="AZ326" i="3" s="1"/>
  <c r="BL327" i="3"/>
  <c r="AZ327" i="3"/>
  <c r="G328" i="3"/>
  <c r="BA330" i="3"/>
  <c r="BL331" i="3"/>
  <c r="AZ331" i="3"/>
  <c r="G332" i="3"/>
  <c r="BA334" i="3"/>
  <c r="AZ334" i="3"/>
  <c r="BL335" i="3"/>
  <c r="G336" i="3"/>
  <c r="BA338" i="3"/>
  <c r="AZ338" i="3" s="1"/>
  <c r="BL339" i="3"/>
  <c r="G340" i="3"/>
  <c r="BL343" i="3"/>
  <c r="G344" i="3"/>
  <c r="G348" i="3"/>
  <c r="G355" i="3"/>
  <c r="AZ209" i="3"/>
  <c r="AZ335" i="3"/>
  <c r="G342" i="3"/>
  <c r="BL345" i="3"/>
  <c r="AZ345" i="3"/>
  <c r="G346" i="3"/>
  <c r="BL349" i="3"/>
  <c r="AZ349" i="3" s="1"/>
  <c r="BL352" i="3"/>
  <c r="G353" i="3"/>
  <c r="BA357" i="3"/>
  <c r="AZ357" i="3"/>
  <c r="BL358" i="3"/>
  <c r="G359" i="3"/>
  <c r="BA361" i="3"/>
  <c r="AZ361" i="3"/>
  <c r="BL362" i="3"/>
  <c r="AZ362" i="3" s="1"/>
  <c r="G363" i="3"/>
  <c r="BA365" i="3"/>
  <c r="BL366" i="3"/>
  <c r="AZ366" i="3"/>
  <c r="G367" i="3"/>
  <c r="BA369" i="3"/>
  <c r="AZ369" i="3"/>
  <c r="BL370" i="3"/>
  <c r="G371" i="3"/>
  <c r="BA373" i="3"/>
  <c r="AZ373" i="3" s="1"/>
  <c r="BL374" i="3"/>
  <c r="AZ374" i="3" s="1"/>
  <c r="G375" i="3"/>
  <c r="BA377" i="3"/>
  <c r="AZ377" i="3" s="1"/>
  <c r="AZ229" i="3"/>
  <c r="AZ237" i="3"/>
  <c r="AZ249" i="3"/>
  <c r="AZ261" i="3"/>
  <c r="AZ265" i="3"/>
  <c r="AZ269" i="3"/>
  <c r="AZ273" i="3"/>
  <c r="BA379" i="3"/>
  <c r="AZ379" i="3"/>
  <c r="BL380" i="3"/>
  <c r="G381" i="3"/>
  <c r="BA383" i="3"/>
  <c r="BL384" i="3"/>
  <c r="G385" i="3"/>
  <c r="BA387" i="3"/>
  <c r="AZ387" i="3"/>
  <c r="BL388" i="3"/>
  <c r="G389" i="3"/>
  <c r="BA391" i="3"/>
  <c r="AZ391" i="3" s="1"/>
  <c r="BL392" i="3"/>
  <c r="G393" i="3"/>
  <c r="AZ263" i="3"/>
  <c r="AZ287" i="3"/>
  <c r="AZ291" i="3"/>
  <c r="AZ299" i="3"/>
  <c r="BO5" i="3"/>
  <c r="BM5" i="3"/>
  <c r="BJ5" i="3"/>
  <c r="BH5" i="3"/>
  <c r="BF5" i="3"/>
  <c r="AZ341" i="3"/>
  <c r="AC5" i="3"/>
  <c r="AZ506" i="3"/>
  <c r="G548" i="3"/>
  <c r="G538" i="3"/>
  <c r="G520" i="3"/>
  <c r="G502" i="3"/>
  <c r="BS5" i="3"/>
  <c r="BP5" i="3"/>
  <c r="BN5" i="3"/>
  <c r="BK5" i="3"/>
  <c r="BI5" i="3"/>
  <c r="BG5" i="3"/>
  <c r="BE5" i="3"/>
  <c r="G17" i="3"/>
  <c r="BA17" i="3"/>
  <c r="BT5" i="3"/>
  <c r="AZ360" i="3"/>
  <c r="BA15" i="3"/>
  <c r="AZ15" i="3" s="1"/>
  <c r="BR5" i="3"/>
  <c r="AZ380" i="3"/>
  <c r="AZ384" i="3"/>
  <c r="AZ396" i="3"/>
  <c r="AZ499" i="3"/>
  <c r="AZ509" i="3"/>
  <c r="G509" i="3"/>
  <c r="BL493" i="3"/>
  <c r="AZ491" i="3"/>
  <c r="U36" i="40"/>
  <c r="F83" i="43"/>
  <c r="H85" i="43" s="1"/>
  <c r="F50" i="43"/>
  <c r="H54" i="43" s="1"/>
  <c r="F72" i="43"/>
  <c r="H75" i="43" s="1"/>
  <c r="U17" i="39"/>
  <c r="S14" i="35"/>
  <c r="U43" i="21"/>
  <c r="U35" i="21"/>
  <c r="AC35" i="21"/>
  <c r="G10" i="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c r="M111" i="40" s="1"/>
  <c r="H35" i="40"/>
  <c r="U35" i="40" s="1"/>
  <c r="AC29" i="35"/>
  <c r="W29" i="35"/>
  <c r="H35" i="37"/>
  <c r="U35" i="37"/>
  <c r="AC14" i="35"/>
  <c r="H20" i="35"/>
  <c r="AB20" i="35" s="1"/>
  <c r="U20" i="35"/>
  <c r="F20" i="35"/>
  <c r="AA20" i="35" s="1"/>
  <c r="AB29" i="36"/>
  <c r="U29" i="36"/>
  <c r="H32" i="37"/>
  <c r="F96" i="37"/>
  <c r="G96" i="37" s="1"/>
  <c r="H96" i="37" s="1"/>
  <c r="I96" i="37" s="1"/>
  <c r="H27" i="40"/>
  <c r="U27" i="40" s="1"/>
  <c r="J27" i="40"/>
  <c r="AC27" i="40" s="1"/>
  <c r="F27" i="40"/>
  <c r="S27" i="40"/>
  <c r="J30" i="40"/>
  <c r="AC30" i="40"/>
  <c r="F30" i="40"/>
  <c r="AA30" i="40" s="1"/>
  <c r="AC21" i="40"/>
  <c r="S11" i="40"/>
  <c r="E98" i="40"/>
  <c r="F98" i="40" s="1"/>
  <c r="G98" i="40"/>
  <c r="H98" i="40" s="1"/>
  <c r="I98" i="40" s="1"/>
  <c r="J98" i="40" s="1"/>
  <c r="K98" i="40" s="1"/>
  <c r="L98" i="40" s="1"/>
  <c r="M98" i="40"/>
  <c r="F10" i="33"/>
  <c r="S10" i="33" s="1"/>
  <c r="F34" i="33"/>
  <c r="H34" i="33"/>
  <c r="U34" i="33"/>
  <c r="F35" i="33"/>
  <c r="S35" i="33"/>
  <c r="F39" i="34"/>
  <c r="S39" i="34" s="1"/>
  <c r="J39" i="34"/>
  <c r="W39" i="34" s="1"/>
  <c r="F40" i="34"/>
  <c r="F43" i="34"/>
  <c r="S43" i="34" s="1"/>
  <c r="H44" i="34"/>
  <c r="U44" i="34" s="1"/>
  <c r="AC38" i="39"/>
  <c r="F39" i="39"/>
  <c r="S39" i="39" s="1"/>
  <c r="J39" i="39"/>
  <c r="AC39" i="39" s="1"/>
  <c r="E96" i="39"/>
  <c r="F96" i="39" s="1"/>
  <c r="G96" i="39" s="1"/>
  <c r="AZ354" i="3"/>
  <c r="C40" i="11"/>
  <c r="AZ235" i="3"/>
  <c r="AZ259" i="3"/>
  <c r="AZ268" i="3"/>
  <c r="AZ271" i="3"/>
  <c r="AZ280" i="3"/>
  <c r="AZ288" i="3"/>
  <c r="AZ296" i="3"/>
  <c r="AZ130" i="3"/>
  <c r="AZ21" i="3"/>
  <c r="AZ29" i="3"/>
  <c r="AZ31" i="3"/>
  <c r="AZ33" i="3"/>
  <c r="AZ37" i="3"/>
  <c r="AZ42" i="3"/>
  <c r="AZ45" i="3"/>
  <c r="AZ50" i="3"/>
  <c r="AZ53" i="3"/>
  <c r="AZ58" i="3"/>
  <c r="AZ61" i="3"/>
  <c r="AZ66" i="3"/>
  <c r="AZ69" i="3"/>
  <c r="AZ74" i="3"/>
  <c r="AZ77" i="3"/>
  <c r="AZ82" i="3"/>
  <c r="F23" i="39"/>
  <c r="AA23" i="39"/>
  <c r="H27" i="36"/>
  <c r="U27" i="36" s="1"/>
  <c r="F27" i="36"/>
  <c r="AA27" i="36" s="1"/>
  <c r="H33" i="34"/>
  <c r="F32" i="37"/>
  <c r="AA32" i="37" s="1"/>
  <c r="J96" i="37"/>
  <c r="K96" i="37" s="1"/>
  <c r="L96" i="37" s="1"/>
  <c r="M96" i="37" s="1"/>
  <c r="F20" i="36"/>
  <c r="AA20" i="36" s="1"/>
  <c r="J33" i="34"/>
  <c r="W33" i="34" s="1"/>
  <c r="H23" i="39"/>
  <c r="U23" i="39" s="1"/>
  <c r="K9" i="1"/>
  <c r="M9" i="1" s="1"/>
  <c r="D93" i="9"/>
  <c r="G29" i="6"/>
  <c r="AC26" i="33"/>
  <c r="W26" i="33"/>
  <c r="W27" i="34"/>
  <c r="AC27" i="34"/>
  <c r="AB34" i="36"/>
  <c r="U34" i="36"/>
  <c r="AB33" i="36"/>
  <c r="U33" i="36"/>
  <c r="AC12" i="39"/>
  <c r="W12" i="39"/>
  <c r="AC39" i="40"/>
  <c r="W39" i="40"/>
  <c r="AZ401" i="3"/>
  <c r="AZ412" i="3"/>
  <c r="AZ417" i="3"/>
  <c r="AZ428" i="3"/>
  <c r="AA32" i="36"/>
  <c r="S32" i="36"/>
  <c r="AZ408" i="3"/>
  <c r="AZ457" i="3"/>
  <c r="AZ490" i="3"/>
  <c r="BL14" i="3"/>
  <c r="U30" i="33"/>
  <c r="W28" i="37"/>
  <c r="S19" i="39"/>
  <c r="F12" i="33"/>
  <c r="S12" i="33" s="1"/>
  <c r="H12" i="39"/>
  <c r="AB12" i="39" s="1"/>
  <c r="F39" i="40"/>
  <c r="BA14" i="3"/>
  <c r="AZ14" i="3"/>
  <c r="AZ367" i="3"/>
  <c r="AZ213" i="3"/>
  <c r="AZ224" i="3"/>
  <c r="AZ238" i="3"/>
  <c r="AZ250" i="3"/>
  <c r="AZ281" i="3"/>
  <c r="AZ157" i="3"/>
  <c r="AZ165" i="3"/>
  <c r="AZ173" i="3"/>
  <c r="AZ181" i="3"/>
  <c r="AZ189" i="3"/>
  <c r="AZ197" i="3"/>
  <c r="AZ19" i="3"/>
  <c r="AZ26" i="3"/>
  <c r="AZ35" i="3"/>
  <c r="AZ41" i="3"/>
  <c r="B12" i="1"/>
  <c r="E12" i="1" s="1"/>
  <c r="B10" i="1"/>
  <c r="E10" i="1" s="1"/>
  <c r="AZ111" i="3"/>
  <c r="K12" i="1"/>
  <c r="M12" i="1" s="1"/>
  <c r="S13" i="1"/>
  <c r="AR13" i="1" s="1"/>
  <c r="R13" i="1"/>
  <c r="J51" i="67"/>
  <c r="C42" i="1"/>
  <c r="AC34" i="33"/>
  <c r="B41" i="1"/>
  <c r="F28" i="67" s="1"/>
  <c r="AB37" i="40"/>
  <c r="S35" i="40"/>
  <c r="AC36" i="40"/>
  <c r="AA32" i="40"/>
  <c r="S17" i="40"/>
  <c r="S23" i="40"/>
  <c r="AC17" i="40"/>
  <c r="AC15"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2" i="39"/>
  <c r="S23" i="36"/>
  <c r="U13" i="36"/>
  <c r="U26" i="36"/>
  <c r="S33" i="36"/>
  <c r="AA26" i="36"/>
  <c r="AA34" i="36"/>
  <c r="AA22" i="36"/>
  <c r="W14" i="36"/>
  <c r="AB14" i="36"/>
  <c r="U22" i="36"/>
  <c r="S16" i="36"/>
  <c r="AA25" i="36"/>
  <c r="S24" i="36"/>
  <c r="U24" i="36"/>
  <c r="U23" i="36"/>
  <c r="U16" i="36"/>
  <c r="S14" i="36"/>
  <c r="AA25" i="35"/>
  <c r="S23" i="35"/>
  <c r="W24" i="35"/>
  <c r="AB13" i="35"/>
  <c r="U29" i="35"/>
  <c r="U28" i="35"/>
  <c r="AB27" i="35"/>
  <c r="U36" i="35"/>
  <c r="U32" i="35"/>
  <c r="AC30" i="35"/>
  <c r="S32" i="35"/>
  <c r="AA36" i="35"/>
  <c r="S28" i="35"/>
  <c r="AB16" i="35"/>
  <c r="U22" i="35"/>
  <c r="AC20" i="35"/>
  <c r="S22" i="35"/>
  <c r="U14" i="35"/>
  <c r="AA11" i="35"/>
  <c r="AC9" i="35"/>
  <c r="W9" i="35"/>
  <c r="AC12" i="35"/>
  <c r="F9" i="35"/>
  <c r="S9" i="35" s="1"/>
  <c r="H9" i="35"/>
  <c r="U9" i="35" s="1"/>
  <c r="W27" i="37"/>
  <c r="S26" i="37"/>
  <c r="AC29" i="37"/>
  <c r="U29" i="37"/>
  <c r="AB31" i="37"/>
  <c r="W30" i="37"/>
  <c r="S36" i="37"/>
  <c r="AA38" i="37"/>
  <c r="W38" i="37"/>
  <c r="AC35" i="37"/>
  <c r="S30" i="37"/>
  <c r="S37" i="37"/>
  <c r="AC15" i="37"/>
  <c r="J17" i="37"/>
  <c r="W17" i="37" s="1"/>
  <c r="G73" i="37"/>
  <c r="F17" i="37"/>
  <c r="AA17" i="37"/>
  <c r="F75" i="37"/>
  <c r="G75" i="37" s="1"/>
  <c r="F19" i="37"/>
  <c r="AA19" i="37" s="1"/>
  <c r="F79" i="37"/>
  <c r="F23" i="37"/>
  <c r="S23" i="37" s="1"/>
  <c r="U15" i="37"/>
  <c r="AC13" i="37"/>
  <c r="AA13" i="37"/>
  <c r="H10" i="37"/>
  <c r="AB10" i="37" s="1"/>
  <c r="F63" i="37"/>
  <c r="G63" i="37" s="1"/>
  <c r="H63" i="37" s="1"/>
  <c r="I63" i="37" s="1"/>
  <c r="J63" i="37" s="1"/>
  <c r="K63" i="37" s="1"/>
  <c r="L63" i="37" s="1"/>
  <c r="F11" i="37"/>
  <c r="S11" i="37" s="1"/>
  <c r="S27" i="34"/>
  <c r="AB8" i="34"/>
  <c r="AC39" i="34"/>
  <c r="AC42" i="34"/>
  <c r="U39" i="34"/>
  <c r="U28" i="34"/>
  <c r="U27" i="34"/>
  <c r="S13" i="34"/>
  <c r="H10" i="34"/>
  <c r="AB10" i="34" s="1"/>
  <c r="F11" i="34"/>
  <c r="S11" i="34" s="1"/>
  <c r="F70" i="34"/>
  <c r="W42" i="33"/>
  <c r="AA35" i="33"/>
  <c r="S27" i="33"/>
  <c r="S32" i="33"/>
  <c r="AA29" i="33"/>
  <c r="AB29" i="33"/>
  <c r="W38" i="33"/>
  <c r="H41" i="33"/>
  <c r="F121" i="33"/>
  <c r="G121" i="33"/>
  <c r="H121" i="33"/>
  <c r="I121" i="33"/>
  <c r="J121" i="33" s="1"/>
  <c r="K121" i="33"/>
  <c r="L121" i="33" s="1"/>
  <c r="M121" i="33" s="1"/>
  <c r="S42" i="33"/>
  <c r="F36" i="33"/>
  <c r="AA36" i="33" s="1"/>
  <c r="G111" i="33"/>
  <c r="H111" i="33" s="1"/>
  <c r="I111" i="33" s="1"/>
  <c r="J111" i="33" s="1"/>
  <c r="K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AB25" i="33" s="1"/>
  <c r="F25" i="33"/>
  <c r="J23" i="33"/>
  <c r="F85" i="33"/>
  <c r="H23" i="33"/>
  <c r="F81" i="33"/>
  <c r="G81" i="33" s="1"/>
  <c r="F19" i="33"/>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E85" i="21"/>
  <c r="D120" i="9"/>
  <c r="D121" i="9" s="1"/>
  <c r="D7" i="52" s="1"/>
  <c r="C18" i="9"/>
  <c r="D18" i="9" s="1"/>
  <c r="F34" i="67"/>
  <c r="F62" i="67" s="1"/>
  <c r="M20" i="67"/>
  <c r="F34" i="15"/>
  <c r="F62" i="15" s="1"/>
  <c r="BL17" i="3"/>
  <c r="AZ17" i="3"/>
  <c r="BL13" i="3"/>
  <c r="J56" i="9"/>
  <c r="J57" i="9" s="1"/>
  <c r="J59" i="9" s="1"/>
  <c r="J61" i="9" s="1"/>
  <c r="U29" i="34"/>
  <c r="E5" i="6"/>
  <c r="E32" i="6"/>
  <c r="G1" i="68"/>
  <c r="K1" i="12"/>
  <c r="E19" i="69"/>
  <c r="E19" i="68"/>
  <c r="E19" i="11"/>
  <c r="E1" i="73"/>
  <c r="G22" i="69"/>
  <c r="G22" i="68"/>
  <c r="G26" i="12"/>
  <c r="G22" i="11"/>
  <c r="C6" i="43"/>
  <c r="C7" i="35"/>
  <c r="C48" i="35" s="1"/>
  <c r="D48" i="35" s="1"/>
  <c r="C7" i="21"/>
  <c r="A4" i="51"/>
  <c r="B6" i="72"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W36" i="37"/>
  <c r="S27" i="37"/>
  <c r="S28" i="37"/>
  <c r="W32" i="37"/>
  <c r="U36" i="37"/>
  <c r="S40" i="37"/>
  <c r="U38" i="37"/>
  <c r="AB37" i="37"/>
  <c r="AC34" i="37"/>
  <c r="AB35" i="37"/>
  <c r="AA31" i="37"/>
  <c r="U19" i="37"/>
  <c r="AA29" i="37"/>
  <c r="U8" i="37"/>
  <c r="AB40" i="34"/>
  <c r="AC32" i="34"/>
  <c r="AC29" i="34"/>
  <c r="W29" i="34"/>
  <c r="S32" i="34"/>
  <c r="AA32" i="34"/>
  <c r="U30" i="34"/>
  <c r="AB30" i="34"/>
  <c r="U38" i="34"/>
  <c r="AC40" i="34"/>
  <c r="W40" i="34"/>
  <c r="AA8" i="34"/>
  <c r="S8"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37" i="33"/>
  <c r="AC28" i="33"/>
  <c r="S28" i="33"/>
  <c r="W9" i="33"/>
  <c r="W8" i="33"/>
  <c r="S44" i="21"/>
  <c r="AB42" i="21"/>
  <c r="U28" i="21"/>
  <c r="S45" i="21"/>
  <c r="I101" i="21"/>
  <c r="J101" i="21"/>
  <c r="K101" i="21"/>
  <c r="L101" i="21"/>
  <c r="M101" i="21"/>
  <c r="F33" i="21"/>
  <c r="AA33" i="21" s="1"/>
  <c r="J33" i="21"/>
  <c r="AC33" i="21" s="1"/>
  <c r="H33" i="21"/>
  <c r="AB33" i="21" s="1"/>
  <c r="F37" i="21"/>
  <c r="S37" i="21" s="1"/>
  <c r="AA37" i="21"/>
  <c r="AA26" i="21"/>
  <c r="AB14" i="21"/>
  <c r="AB46" i="21"/>
  <c r="U40" i="21"/>
  <c r="AC15" i="21"/>
  <c r="U13" i="21"/>
  <c r="AB13" i="21"/>
  <c r="S35" i="21"/>
  <c r="J37" i="21"/>
  <c r="W37" i="21" s="1"/>
  <c r="H15" i="21"/>
  <c r="U15" i="21" s="1"/>
  <c r="J17" i="21"/>
  <c r="AC17" i="21"/>
  <c r="AC19" i="21"/>
  <c r="W39" i="21"/>
  <c r="W30" i="21"/>
  <c r="S46" i="21"/>
  <c r="H45" i="21"/>
  <c r="U45" i="21"/>
  <c r="F29" i="21"/>
  <c r="AA29" i="21" s="1"/>
  <c r="S29" i="21"/>
  <c r="F13" i="21"/>
  <c r="S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W12" i="21"/>
  <c r="AB36" i="21"/>
  <c r="W30" i="40"/>
  <c r="C15" i="40"/>
  <c r="C17" i="40"/>
  <c r="C23" i="40"/>
  <c r="C21" i="40"/>
  <c r="U30" i="40"/>
  <c r="B56" i="43"/>
  <c r="B67" i="43"/>
  <c r="B51" i="43"/>
  <c r="B54" i="43"/>
  <c r="B58" i="43"/>
  <c r="B62" i="43"/>
  <c r="B65" i="43"/>
  <c r="B69" i="43"/>
  <c r="D23" i="15"/>
  <c r="D22" i="15"/>
  <c r="E4" i="4"/>
  <c r="B5" i="62" s="1"/>
  <c r="B73" i="72" s="1"/>
  <c r="C4" i="4"/>
  <c r="F30" i="68"/>
  <c r="F48" i="68" s="1"/>
  <c r="F30" i="11"/>
  <c r="C48" i="11" s="1"/>
  <c r="F52" i="9"/>
  <c r="M18" i="67"/>
  <c r="F32" i="67"/>
  <c r="F60" i="67" s="1"/>
  <c r="F30" i="69"/>
  <c r="F48" i="69" s="1"/>
  <c r="F32" i="15"/>
  <c r="F60" i="15" s="1"/>
  <c r="M18" i="15"/>
  <c r="AA39" i="40"/>
  <c r="S39" i="40"/>
  <c r="AA12" i="33"/>
  <c r="D68" i="9"/>
  <c r="F54" i="9"/>
  <c r="J32" i="39"/>
  <c r="H32" i="39"/>
  <c r="AB32" i="39" s="1"/>
  <c r="S32" i="39"/>
  <c r="AB21" i="39"/>
  <c r="U21" i="39"/>
  <c r="AA21" i="39"/>
  <c r="S21" i="39"/>
  <c r="AC17" i="37"/>
  <c r="S17" i="37"/>
  <c r="J19" i="37"/>
  <c r="S19" i="37"/>
  <c r="AA23" i="37"/>
  <c r="J23" i="37"/>
  <c r="W23" i="37" s="1"/>
  <c r="G79" i="37"/>
  <c r="J10" i="37"/>
  <c r="W10" i="37" s="1"/>
  <c r="H11" i="37"/>
  <c r="AB11" i="37" s="1"/>
  <c r="G70" i="34"/>
  <c r="H70" i="34" s="1"/>
  <c r="I70" i="34" s="1"/>
  <c r="J70" i="34" s="1"/>
  <c r="K70" i="34" s="1"/>
  <c r="L70" i="34" s="1"/>
  <c r="M70" i="34" s="1"/>
  <c r="H11" i="34"/>
  <c r="U11" i="34" s="1"/>
  <c r="J10" i="34"/>
  <c r="AC10" i="34" s="1"/>
  <c r="AB41" i="33"/>
  <c r="U41" i="33"/>
  <c r="L111" i="33"/>
  <c r="M111" i="33" s="1"/>
  <c r="J36" i="33"/>
  <c r="W36" i="33" s="1"/>
  <c r="H36" i="33"/>
  <c r="U36" i="33" s="1"/>
  <c r="S36" i="33"/>
  <c r="AC32" i="33"/>
  <c r="W32" i="33"/>
  <c r="AB27" i="33"/>
  <c r="G91" i="33"/>
  <c r="H91" i="33" s="1"/>
  <c r="I91" i="33" s="1"/>
  <c r="J91" i="33" s="1"/>
  <c r="K91" i="33" s="1"/>
  <c r="L91" i="33" s="1"/>
  <c r="M91" i="33" s="1"/>
  <c r="J27" i="33"/>
  <c r="U25" i="33"/>
  <c r="S25" i="33"/>
  <c r="AA25" i="33"/>
  <c r="G87" i="33"/>
  <c r="H87" i="33" s="1"/>
  <c r="I87" i="33" s="1"/>
  <c r="J87" i="33" s="1"/>
  <c r="K87" i="33" s="1"/>
  <c r="L87" i="33" s="1"/>
  <c r="M87" i="33" s="1"/>
  <c r="J25" i="33"/>
  <c r="AC25" i="33" s="1"/>
  <c r="AB23" i="33"/>
  <c r="U23" i="33"/>
  <c r="F23" i="33"/>
  <c r="G85" i="33"/>
  <c r="AC23" i="33"/>
  <c r="W23" i="33"/>
  <c r="H19" i="33"/>
  <c r="G79" i="33"/>
  <c r="H17" i="33"/>
  <c r="F17" i="33"/>
  <c r="W17" i="33"/>
  <c r="AB15" i="21"/>
  <c r="J23" i="21"/>
  <c r="AC23" i="21" s="1"/>
  <c r="F85" i="21"/>
  <c r="G85" i="21" s="1"/>
  <c r="H23" i="21"/>
  <c r="D6" i="52"/>
  <c r="AP7" i="1"/>
  <c r="AB45" i="21"/>
  <c r="AB9" i="21"/>
  <c r="U9" i="21"/>
  <c r="W9" i="21"/>
  <c r="AC9" i="21"/>
  <c r="AB32" i="21"/>
  <c r="U32" i="21"/>
  <c r="U32" i="39"/>
  <c r="W19" i="37"/>
  <c r="AC19" i="37"/>
  <c r="M63" i="37"/>
  <c r="J11" i="37"/>
  <c r="AC11" i="37" s="1"/>
  <c r="J11" i="34"/>
  <c r="W11" i="34" s="1"/>
  <c r="AB36" i="33"/>
  <c r="W27" i="33"/>
  <c r="AC27" i="33"/>
  <c r="W25" i="33"/>
  <c r="AB19" i="33"/>
  <c r="U19" i="33"/>
  <c r="W23" i="21"/>
  <c r="AD3" i="71"/>
  <c r="J1" i="73"/>
  <c r="H50" i="4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C20" i="71"/>
  <c r="D21" i="71"/>
  <c r="E8" i="76"/>
  <c r="E2" i="69"/>
  <c r="L48" i="15"/>
  <c r="F4" i="73"/>
  <c r="F38" i="67"/>
  <c r="M28" i="67"/>
  <c r="F5" i="73"/>
  <c r="F40" i="15"/>
  <c r="E12" i="76"/>
  <c r="F37" i="67"/>
  <c r="J15" i="15"/>
  <c r="C76" i="15"/>
  <c r="M23" i="67"/>
  <c r="F36" i="67"/>
  <c r="M6" i="15"/>
  <c r="F26" i="67"/>
  <c r="M23" i="15"/>
  <c r="F7" i="73"/>
  <c r="M6" i="67"/>
  <c r="F42" i="67"/>
  <c r="E10" i="76"/>
  <c r="D4" i="73"/>
  <c r="M26" i="67"/>
  <c r="J15" i="67"/>
  <c r="F38" i="15"/>
  <c r="F37" i="15"/>
  <c r="F13" i="15"/>
  <c r="F20" i="31"/>
  <c r="M8" i="67"/>
  <c r="B10" i="76"/>
  <c r="M24" i="15"/>
  <c r="L47" i="15"/>
  <c r="F40" i="67"/>
  <c r="M26" i="15"/>
  <c r="E11" i="76"/>
  <c r="E7" i="76"/>
  <c r="B8" i="76"/>
  <c r="F6" i="73"/>
  <c r="M22" i="67"/>
  <c r="F13" i="67"/>
  <c r="D5" i="73"/>
  <c r="M8" i="15"/>
  <c r="D6" i="73"/>
  <c r="B11" i="76"/>
  <c r="E9" i="76"/>
  <c r="M24" i="67"/>
  <c r="F36" i="15"/>
  <c r="D3" i="73"/>
  <c r="F9" i="15"/>
  <c r="D7" i="73"/>
  <c r="B12" i="76"/>
  <c r="F8" i="15"/>
  <c r="F6" i="15"/>
  <c r="M9" i="15"/>
  <c r="F3" i="73"/>
  <c r="F9" i="67"/>
  <c r="F8" i="67"/>
  <c r="F6" i="67"/>
  <c r="F16" i="67"/>
  <c r="M9" i="67"/>
  <c r="C76" i="67"/>
  <c r="M28" i="15"/>
  <c r="E13" i="76"/>
  <c r="F16" i="15"/>
  <c r="AO13" i="1"/>
  <c r="B13" i="76"/>
  <c r="B7" i="76"/>
  <c r="M22" i="15"/>
  <c r="B9" i="76"/>
  <c r="L47" i="67"/>
  <c r="E2" i="68"/>
  <c r="F88" i="34" l="1"/>
  <c r="H25" i="34"/>
  <c r="AB25" i="34" s="1"/>
  <c r="H19" i="34"/>
  <c r="AB19" i="34" s="1"/>
  <c r="F19" i="34"/>
  <c r="AA19" i="34" s="1"/>
  <c r="H67" i="43"/>
  <c r="G13" i="3"/>
  <c r="E19" i="6"/>
  <c r="K6" i="1" s="1"/>
  <c r="Q16" i="1" s="1"/>
  <c r="F27" i="69" s="1"/>
  <c r="H69" i="43"/>
  <c r="H23" i="34"/>
  <c r="AB23" i="34" s="1"/>
  <c r="F23" i="34"/>
  <c r="W23" i="34"/>
  <c r="U43" i="34"/>
  <c r="C40" i="68"/>
  <c r="BA13" i="3"/>
  <c r="AZ13" i="3" s="1"/>
  <c r="G27" i="6"/>
  <c r="B19" i="53"/>
  <c r="B37" i="72" s="1"/>
  <c r="S36" i="34"/>
  <c r="W43" i="34"/>
  <c r="AA33" i="34"/>
  <c r="AA23" i="21"/>
  <c r="S23" i="21"/>
  <c r="AA17" i="33"/>
  <c r="S17" i="33"/>
  <c r="AB17" i="33"/>
  <c r="U17" i="33"/>
  <c r="S34" i="33"/>
  <c r="AA34" i="33"/>
  <c r="S32" i="21"/>
  <c r="AA32" i="21"/>
  <c r="U33" i="34"/>
  <c r="AB33" i="34"/>
  <c r="AA19" i="33"/>
  <c r="S19" i="33"/>
  <c r="AC32" i="39"/>
  <c r="W32" i="39"/>
  <c r="AC23" i="37"/>
  <c r="U42" i="33"/>
  <c r="AB42" i="33"/>
  <c r="W35" i="33"/>
  <c r="AC35" i="33"/>
  <c r="C19" i="71"/>
  <c r="D20" i="71"/>
  <c r="U20" i="71" s="1"/>
  <c r="T20" i="71"/>
  <c r="AA13" i="21"/>
  <c r="AZ533" i="3"/>
  <c r="AZ584" i="3"/>
  <c r="AZ583" i="3"/>
  <c r="AZ572" i="3"/>
  <c r="AZ567" i="3"/>
  <c r="AZ565" i="3"/>
  <c r="AZ562" i="3"/>
  <c r="S23" i="33"/>
  <c r="AA23" i="33"/>
  <c r="U32" i="37"/>
  <c r="AB32" i="37"/>
  <c r="AZ383" i="3"/>
  <c r="AZ376" i="3"/>
  <c r="AA25" i="21"/>
  <c r="AC9" i="34"/>
  <c r="W9" i="34"/>
  <c r="U23" i="21"/>
  <c r="AB23" i="21"/>
  <c r="AB17" i="37"/>
  <c r="S40" i="34"/>
  <c r="AA40" i="34"/>
  <c r="AZ390" i="3"/>
  <c r="BL505" i="3"/>
  <c r="BQ5" i="3"/>
  <c r="F28" i="6" s="1"/>
  <c r="AZ503" i="3"/>
  <c r="AZ115" i="3"/>
  <c r="AB23" i="37"/>
  <c r="U23" i="37"/>
  <c r="AZ505" i="3"/>
  <c r="AZ541" i="3"/>
  <c r="AB20" i="36"/>
  <c r="AB35" i="40"/>
  <c r="H40" i="37"/>
  <c r="U26" i="33"/>
  <c r="AB26" i="33"/>
  <c r="S12" i="36"/>
  <c r="B72" i="43"/>
  <c r="C15" i="39"/>
  <c r="J23" i="35"/>
  <c r="H23" i="35"/>
  <c r="BA557" i="3"/>
  <c r="AZ557" i="3" s="1"/>
  <c r="E78" i="34"/>
  <c r="J15" i="34"/>
  <c r="AC15" i="34" s="1"/>
  <c r="J11" i="36"/>
  <c r="AC11" i="36" s="1"/>
  <c r="H11" i="36"/>
  <c r="U11" i="36" s="1"/>
  <c r="F11" i="36"/>
  <c r="F39" i="37"/>
  <c r="J39" i="37"/>
  <c r="BA568" i="3"/>
  <c r="AZ568" i="3" s="1"/>
  <c r="BA566" i="3"/>
  <c r="AZ566" i="3" s="1"/>
  <c r="AC26" i="36"/>
  <c r="AZ507" i="3"/>
  <c r="AA14" i="33"/>
  <c r="S14" i="37"/>
  <c r="AA14" i="37"/>
  <c r="AC13" i="35"/>
  <c r="U14" i="33"/>
  <c r="U30" i="21"/>
  <c r="AB15" i="33"/>
  <c r="S35" i="37"/>
  <c r="H12" i="33"/>
  <c r="J12" i="33"/>
  <c r="J25" i="37"/>
  <c r="H25" i="37"/>
  <c r="BA581" i="3"/>
  <c r="AZ581" i="3" s="1"/>
  <c r="AZ560" i="3"/>
  <c r="B94" i="43"/>
  <c r="C21" i="39"/>
  <c r="AB35" i="33"/>
  <c r="U35" i="33"/>
  <c r="AC39" i="33"/>
  <c r="W39" i="33"/>
  <c r="H9" i="34"/>
  <c r="F9" i="34"/>
  <c r="AA9" i="34" s="1"/>
  <c r="U12" i="36"/>
  <c r="AB12" i="36"/>
  <c r="BA563" i="3"/>
  <c r="AZ563" i="3" s="1"/>
  <c r="S32" i="37"/>
  <c r="AA33" i="35"/>
  <c r="S30" i="40"/>
  <c r="AZ553" i="3"/>
  <c r="AZ498" i="3"/>
  <c r="AZ512" i="3"/>
  <c r="J19" i="34"/>
  <c r="AC19" i="34" s="1"/>
  <c r="S29" i="35"/>
  <c r="AA29" i="35"/>
  <c r="U38" i="21"/>
  <c r="AB34" i="35"/>
  <c r="U34" i="35"/>
  <c r="H13" i="34"/>
  <c r="U13" i="34" s="1"/>
  <c r="J13" i="34"/>
  <c r="W13" i="34" s="1"/>
  <c r="H47" i="34"/>
  <c r="F47" i="34"/>
  <c r="BA579" i="3"/>
  <c r="AZ579" i="3" s="1"/>
  <c r="BA576" i="3"/>
  <c r="AZ576" i="3" s="1"/>
  <c r="BL575" i="3"/>
  <c r="AZ575" i="3" s="1"/>
  <c r="BA574" i="3"/>
  <c r="AZ574" i="3" s="1"/>
  <c r="BA547" i="3"/>
  <c r="AZ547" i="3" s="1"/>
  <c r="S20" i="35"/>
  <c r="AB27" i="40"/>
  <c r="S31" i="39"/>
  <c r="AZ577" i="3"/>
  <c r="BA586" i="3"/>
  <c r="AZ586" i="3" s="1"/>
  <c r="AC31" i="35"/>
  <c r="W34" i="35"/>
  <c r="AC34" i="35"/>
  <c r="AC8" i="40"/>
  <c r="W8" i="40"/>
  <c r="BA582" i="3"/>
  <c r="AZ582" i="3" s="1"/>
  <c r="AZ511" i="3"/>
  <c r="E15" i="71"/>
  <c r="E14" i="71" s="1"/>
  <c r="E13" i="71" s="1"/>
  <c r="E12" i="71" s="1"/>
  <c r="V16" i="71"/>
  <c r="F31" i="12"/>
  <c r="F28" i="15"/>
  <c r="S11" i="33"/>
  <c r="S15" i="39"/>
  <c r="AZ535" i="3"/>
  <c r="AB46" i="33"/>
  <c r="U46" i="33"/>
  <c r="J40" i="37"/>
  <c r="H31" i="21"/>
  <c r="J31" i="21"/>
  <c r="S40" i="21"/>
  <c r="AA40" i="21"/>
  <c r="F25" i="37"/>
  <c r="BL548" i="3"/>
  <c r="AZ548" i="3" s="1"/>
  <c r="BA546" i="3"/>
  <c r="AZ546" i="3" s="1"/>
  <c r="BL545" i="3"/>
  <c r="AZ545" i="3" s="1"/>
  <c r="BA543" i="3"/>
  <c r="AZ543" i="3" s="1"/>
  <c r="U31" i="33"/>
  <c r="AC29" i="33"/>
  <c r="AB23" i="40"/>
  <c r="U23" i="40"/>
  <c r="J14" i="21"/>
  <c r="F14" i="21"/>
  <c r="U12" i="35"/>
  <c r="AB12" i="35"/>
  <c r="BL550" i="3"/>
  <c r="S44" i="33"/>
  <c r="J46" i="21"/>
  <c r="S34" i="40"/>
  <c r="U9" i="36"/>
  <c r="F35" i="39"/>
  <c r="J38" i="40"/>
  <c r="AZ425" i="3"/>
  <c r="AZ447" i="3"/>
  <c r="J35" i="39"/>
  <c r="AZ399" i="3"/>
  <c r="AZ420" i="3"/>
  <c r="AZ427" i="3"/>
  <c r="AZ419" i="3"/>
  <c r="AZ422" i="3"/>
  <c r="AZ423" i="3"/>
  <c r="AZ416" i="3"/>
  <c r="U31" i="36"/>
  <c r="AZ407" i="3"/>
  <c r="AZ409" i="3"/>
  <c r="AZ414" i="3"/>
  <c r="AZ426" i="3"/>
  <c r="AZ455" i="3"/>
  <c r="BA550" i="3"/>
  <c r="AZ550" i="3" s="1"/>
  <c r="AZ406" i="3"/>
  <c r="AZ413" i="3"/>
  <c r="AZ492" i="3"/>
  <c r="G412" i="3"/>
  <c r="BL419" i="3"/>
  <c r="BA421" i="3"/>
  <c r="AZ421" i="3" s="1"/>
  <c r="BA431" i="3"/>
  <c r="BA432" i="3"/>
  <c r="AZ432" i="3" s="1"/>
  <c r="G453" i="3"/>
  <c r="BL469" i="3"/>
  <c r="BL470" i="3"/>
  <c r="BA476" i="3"/>
  <c r="AZ476" i="3" s="1"/>
  <c r="BA477" i="3"/>
  <c r="AZ477" i="3" s="1"/>
  <c r="AZ478" i="3"/>
  <c r="G486" i="3"/>
  <c r="AZ332" i="3"/>
  <c r="AZ211" i="3"/>
  <c r="BL420" i="3"/>
  <c r="BL430" i="3"/>
  <c r="AZ430" i="3" s="1"/>
  <c r="BL436" i="3"/>
  <c r="AZ436" i="3" s="1"/>
  <c r="BL437" i="3"/>
  <c r="AZ437" i="3" s="1"/>
  <c r="BA439" i="3"/>
  <c r="AZ439" i="3" s="1"/>
  <c r="AZ440" i="3"/>
  <c r="BA441" i="3"/>
  <c r="BL455" i="3"/>
  <c r="BL456" i="3"/>
  <c r="AZ456" i="3" s="1"/>
  <c r="BA460" i="3"/>
  <c r="BL473" i="3"/>
  <c r="AZ473" i="3" s="1"/>
  <c r="BL474" i="3"/>
  <c r="AZ474" i="3" s="1"/>
  <c r="AZ479" i="3"/>
  <c r="BL488" i="3"/>
  <c r="AZ488" i="3" s="1"/>
  <c r="BL489" i="3"/>
  <c r="AZ489" i="3" s="1"/>
  <c r="BL375" i="3"/>
  <c r="AZ375" i="3" s="1"/>
  <c r="BL386" i="3"/>
  <c r="AZ386" i="3" s="1"/>
  <c r="AZ210" i="3"/>
  <c r="AZ228" i="3"/>
  <c r="BL416" i="3"/>
  <c r="BL431" i="3"/>
  <c r="G432" i="3"/>
  <c r="BL438" i="3"/>
  <c r="AZ438" i="3" s="1"/>
  <c r="BA443" i="3"/>
  <c r="BA444" i="3"/>
  <c r="AZ444" i="3" s="1"/>
  <c r="BL458" i="3"/>
  <c r="AZ458" i="3" s="1"/>
  <c r="BA461" i="3"/>
  <c r="BA462" i="3"/>
  <c r="AZ462" i="3" s="1"/>
  <c r="BA463" i="3"/>
  <c r="AZ463" i="3" s="1"/>
  <c r="BL475" i="3"/>
  <c r="AZ475" i="3" s="1"/>
  <c r="BL476" i="3"/>
  <c r="BL492" i="3"/>
  <c r="BL353" i="3"/>
  <c r="BL439" i="3"/>
  <c r="BL440" i="3"/>
  <c r="BL441" i="3"/>
  <c r="BA446" i="3"/>
  <c r="AZ446" i="3" s="1"/>
  <c r="BL459" i="3"/>
  <c r="AZ459" i="3" s="1"/>
  <c r="BL460" i="3"/>
  <c r="BA465" i="3"/>
  <c r="BA466" i="3"/>
  <c r="AZ466" i="3" s="1"/>
  <c r="BA317" i="3"/>
  <c r="BL333" i="3"/>
  <c r="AZ333" i="3" s="1"/>
  <c r="BA404" i="3"/>
  <c r="AZ404" i="3" s="1"/>
  <c r="G418" i="3"/>
  <c r="BA424" i="3"/>
  <c r="AZ424" i="3" s="1"/>
  <c r="BL427" i="3"/>
  <c r="BL433" i="3"/>
  <c r="AZ433" i="3" s="1"/>
  <c r="BL442" i="3"/>
  <c r="AZ442" i="3" s="1"/>
  <c r="BL443" i="3"/>
  <c r="BA448" i="3"/>
  <c r="BA449" i="3"/>
  <c r="BL461" i="3"/>
  <c r="BL462" i="3"/>
  <c r="G479" i="3"/>
  <c r="BA482" i="3"/>
  <c r="AZ482" i="3" s="1"/>
  <c r="BA350" i="3"/>
  <c r="AZ350" i="3" s="1"/>
  <c r="BA370" i="3"/>
  <c r="AZ370" i="3" s="1"/>
  <c r="BL403" i="3"/>
  <c r="AZ403" i="3" s="1"/>
  <c r="BL434" i="3"/>
  <c r="AZ434" i="3" s="1"/>
  <c r="AZ451" i="3"/>
  <c r="BA452" i="3"/>
  <c r="AZ452" i="3" s="1"/>
  <c r="AZ453" i="3"/>
  <c r="BL465" i="3"/>
  <c r="BA469" i="3"/>
  <c r="AZ469" i="3" s="1"/>
  <c r="AZ484" i="3"/>
  <c r="BA485" i="3"/>
  <c r="AZ485" i="3" s="1"/>
  <c r="AZ486" i="3"/>
  <c r="BL317" i="3"/>
  <c r="G415" i="3"/>
  <c r="BL423" i="3"/>
  <c r="G429" i="3"/>
  <c r="G446" i="3"/>
  <c r="BL447" i="3"/>
  <c r="BL448" i="3"/>
  <c r="BL449" i="3"/>
  <c r="BA454" i="3"/>
  <c r="AZ454" i="3" s="1"/>
  <c r="G465" i="3"/>
  <c r="G467" i="3"/>
  <c r="BA470" i="3"/>
  <c r="AZ470" i="3" s="1"/>
  <c r="BA471" i="3"/>
  <c r="AZ471" i="3" s="1"/>
  <c r="BL481" i="3"/>
  <c r="AZ481" i="3" s="1"/>
  <c r="BL482" i="3"/>
  <c r="BA487" i="3"/>
  <c r="AZ487" i="3" s="1"/>
  <c r="BA315" i="3"/>
  <c r="AZ315" i="3" s="1"/>
  <c r="BL316" i="3"/>
  <c r="G491" i="3"/>
  <c r="BL330" i="3"/>
  <c r="AZ330" i="3" s="1"/>
  <c r="BA358" i="3"/>
  <c r="AZ358" i="3" s="1"/>
  <c r="BL383" i="3"/>
  <c r="AZ397" i="3"/>
  <c r="G234" i="3"/>
  <c r="BA260" i="3"/>
  <c r="AZ260" i="3" s="1"/>
  <c r="AZ276" i="3"/>
  <c r="AZ277" i="3"/>
  <c r="BA295" i="3"/>
  <c r="AZ295" i="3" s="1"/>
  <c r="BA298" i="3"/>
  <c r="AZ298" i="3" s="1"/>
  <c r="BL114" i="3"/>
  <c r="AZ114" i="3" s="1"/>
  <c r="BA353" i="3"/>
  <c r="BL227" i="3"/>
  <c r="AZ227" i="3" s="1"/>
  <c r="BL231" i="3"/>
  <c r="BL232" i="3"/>
  <c r="AZ232" i="3" s="1"/>
  <c r="BL239" i="3"/>
  <c r="AZ239" i="3" s="1"/>
  <c r="BA257" i="3"/>
  <c r="AZ257" i="3" s="1"/>
  <c r="AZ258" i="3"/>
  <c r="BA323" i="3"/>
  <c r="AZ323" i="3" s="1"/>
  <c r="BA352" i="3"/>
  <c r="AZ352" i="3" s="1"/>
  <c r="BA392" i="3"/>
  <c r="AZ392" i="3" s="1"/>
  <c r="BL395" i="3"/>
  <c r="AZ395" i="3" s="1"/>
  <c r="BL228" i="3"/>
  <c r="AZ292" i="3"/>
  <c r="AZ293" i="3"/>
  <c r="BA118" i="3"/>
  <c r="AZ118" i="3" s="1"/>
  <c r="BA128" i="3"/>
  <c r="AZ128" i="3" s="1"/>
  <c r="BA316" i="3"/>
  <c r="AZ316" i="3" s="1"/>
  <c r="BL348" i="3"/>
  <c r="AZ348" i="3" s="1"/>
  <c r="BL393" i="3"/>
  <c r="AZ393" i="3" s="1"/>
  <c r="BA251" i="3"/>
  <c r="AZ252" i="3"/>
  <c r="BA254" i="3"/>
  <c r="AZ262" i="3"/>
  <c r="BA270" i="3"/>
  <c r="AZ270" i="3" s="1"/>
  <c r="BL275" i="3"/>
  <c r="AZ275" i="3" s="1"/>
  <c r="BL294" i="3"/>
  <c r="BL297" i="3"/>
  <c r="AZ297" i="3" s="1"/>
  <c r="AZ301" i="3"/>
  <c r="BL117" i="3"/>
  <c r="AZ117" i="3" s="1"/>
  <c r="BL208" i="3"/>
  <c r="AZ208" i="3" s="1"/>
  <c r="BA212" i="3"/>
  <c r="AZ212" i="3" s="1"/>
  <c r="BA214" i="3"/>
  <c r="AZ214" i="3" s="1"/>
  <c r="BA215" i="3"/>
  <c r="BA216" i="3"/>
  <c r="BA217" i="3"/>
  <c r="AZ217" i="3" s="1"/>
  <c r="BA218" i="3"/>
  <c r="BA219" i="3"/>
  <c r="AZ219" i="3" s="1"/>
  <c r="BA220" i="3"/>
  <c r="AZ220" i="3" s="1"/>
  <c r="BA244" i="3"/>
  <c r="AZ244" i="3" s="1"/>
  <c r="BA247" i="3"/>
  <c r="AZ247" i="3" s="1"/>
  <c r="BL253" i="3"/>
  <c r="AZ253" i="3" s="1"/>
  <c r="BL255" i="3"/>
  <c r="AZ255" i="3" s="1"/>
  <c r="BL264" i="3"/>
  <c r="AZ264" i="3" s="1"/>
  <c r="AZ278" i="3"/>
  <c r="BA289" i="3"/>
  <c r="AZ289" i="3" s="1"/>
  <c r="AZ125" i="3"/>
  <c r="G128" i="3"/>
  <c r="BL312" i="3"/>
  <c r="AZ312" i="3" s="1"/>
  <c r="G345" i="3"/>
  <c r="BA368" i="3"/>
  <c r="AZ368" i="3" s="1"/>
  <c r="BA385" i="3"/>
  <c r="AZ385" i="3" s="1"/>
  <c r="G392" i="3"/>
  <c r="BA222" i="3"/>
  <c r="AZ222" i="3" s="1"/>
  <c r="BA233" i="3"/>
  <c r="AZ233" i="3" s="1"/>
  <c r="BA234" i="3"/>
  <c r="AZ234" i="3" s="1"/>
  <c r="BA240" i="3"/>
  <c r="AZ240" i="3" s="1"/>
  <c r="BA241" i="3"/>
  <c r="AZ241" i="3" s="1"/>
  <c r="BA242" i="3"/>
  <c r="AZ242" i="3" s="1"/>
  <c r="BA243" i="3"/>
  <c r="AZ243" i="3" s="1"/>
  <c r="BA245" i="3"/>
  <c r="AZ245" i="3" s="1"/>
  <c r="BA246" i="3"/>
  <c r="AZ246" i="3" s="1"/>
  <c r="BA248" i="3"/>
  <c r="AZ248" i="3" s="1"/>
  <c r="BL251" i="3"/>
  <c r="BL252" i="3"/>
  <c r="BL254" i="3"/>
  <c r="BL256" i="3"/>
  <c r="AZ256" i="3" s="1"/>
  <c r="BA266" i="3"/>
  <c r="AZ266" i="3" s="1"/>
  <c r="AZ267" i="3"/>
  <c r="BL272" i="3"/>
  <c r="AZ272" i="3" s="1"/>
  <c r="BA283" i="3"/>
  <c r="AZ283" i="3" s="1"/>
  <c r="BA286" i="3"/>
  <c r="AZ286" i="3" s="1"/>
  <c r="BA307" i="3"/>
  <c r="AZ307" i="3" s="1"/>
  <c r="BA339" i="3"/>
  <c r="AZ339" i="3" s="1"/>
  <c r="BL365" i="3"/>
  <c r="AZ365" i="3" s="1"/>
  <c r="BA388" i="3"/>
  <c r="AZ388" i="3" s="1"/>
  <c r="BL211" i="3"/>
  <c r="BL215" i="3"/>
  <c r="BL216" i="3"/>
  <c r="BL218" i="3"/>
  <c r="BL219" i="3"/>
  <c r="BA223" i="3"/>
  <c r="AZ223" i="3" s="1"/>
  <c r="BA225" i="3"/>
  <c r="AZ225" i="3" s="1"/>
  <c r="BA231" i="3"/>
  <c r="AZ231" i="3" s="1"/>
  <c r="BL248" i="3"/>
  <c r="BA279" i="3"/>
  <c r="AZ279" i="3" s="1"/>
  <c r="AZ282" i="3"/>
  <c r="AZ284" i="3"/>
  <c r="AZ285" i="3"/>
  <c r="AZ294" i="3"/>
  <c r="BL115" i="3"/>
  <c r="BA122" i="3"/>
  <c r="G136" i="3"/>
  <c r="G138" i="3"/>
  <c r="AZ70" i="3"/>
  <c r="BL121" i="3"/>
  <c r="AZ121" i="3" s="1"/>
  <c r="BA124" i="3"/>
  <c r="AZ124" i="3" s="1"/>
  <c r="AZ201" i="3"/>
  <c r="BL122" i="3"/>
  <c r="AZ90" i="3"/>
  <c r="G116" i="3"/>
  <c r="AZ100" i="3"/>
  <c r="G126" i="3"/>
  <c r="BA129" i="3"/>
  <c r="AZ129" i="3" s="1"/>
  <c r="BA149" i="3"/>
  <c r="AZ149" i="3" s="1"/>
  <c r="BA156" i="3"/>
  <c r="AZ156" i="3" s="1"/>
  <c r="AZ57" i="3"/>
  <c r="AZ78" i="3"/>
  <c r="BL127" i="3"/>
  <c r="AZ127" i="3" s="1"/>
  <c r="BA133" i="3"/>
  <c r="AZ133" i="3" s="1"/>
  <c r="BA134" i="3"/>
  <c r="AZ134" i="3" s="1"/>
  <c r="BA136" i="3"/>
  <c r="AZ136" i="3" s="1"/>
  <c r="BA138" i="3"/>
  <c r="AZ138" i="3" s="1"/>
  <c r="BA140" i="3"/>
  <c r="AZ140" i="3" s="1"/>
  <c r="BA145" i="3"/>
  <c r="AZ145" i="3" s="1"/>
  <c r="BA148" i="3"/>
  <c r="AZ148" i="3" s="1"/>
  <c r="BA153" i="3"/>
  <c r="AZ153" i="3" s="1"/>
  <c r="BA154" i="3"/>
  <c r="AZ154" i="3" s="1"/>
  <c r="AZ205" i="3"/>
  <c r="AZ22" i="3"/>
  <c r="G127" i="3"/>
  <c r="BL129" i="3"/>
  <c r="BA132" i="3"/>
  <c r="AZ132" i="3" s="1"/>
  <c r="BL149" i="3"/>
  <c r="BL151" i="3"/>
  <c r="AZ151" i="3" s="1"/>
  <c r="BL155" i="3"/>
  <c r="AZ155" i="3" s="1"/>
  <c r="AZ169" i="3"/>
  <c r="AZ177" i="3"/>
  <c r="AZ54" i="3"/>
  <c r="BA73" i="3"/>
  <c r="G77" i="3"/>
  <c r="BA80" i="3"/>
  <c r="BL86" i="3"/>
  <c r="AZ86" i="3" s="1"/>
  <c r="BL87" i="3"/>
  <c r="G96" i="3"/>
  <c r="BA102" i="3"/>
  <c r="BA103" i="3"/>
  <c r="AZ103" i="3" s="1"/>
  <c r="BA105" i="3"/>
  <c r="BA106" i="3"/>
  <c r="AZ106" i="3" s="1"/>
  <c r="BA107" i="3"/>
  <c r="BA108" i="3"/>
  <c r="AZ108" i="3" s="1"/>
  <c r="S18" i="36"/>
  <c r="AB30" i="71"/>
  <c r="AB29" i="71"/>
  <c r="V72" i="71"/>
  <c r="F71" i="71"/>
  <c r="F70" i="71" s="1"/>
  <c r="AA24" i="71"/>
  <c r="BL72" i="3"/>
  <c r="AZ72" i="3" s="1"/>
  <c r="BA81" i="3"/>
  <c r="AZ81" i="3" s="1"/>
  <c r="BL88" i="3"/>
  <c r="AZ88" i="3" s="1"/>
  <c r="X33" i="71"/>
  <c r="AA3" i="71"/>
  <c r="X26" i="71"/>
  <c r="AB24" i="71"/>
  <c r="BL73" i="3"/>
  <c r="BL79" i="3"/>
  <c r="AZ79" i="3" s="1"/>
  <c r="BL80" i="3"/>
  <c r="G99" i="3"/>
  <c r="BL102" i="3"/>
  <c r="BL105" i="3"/>
  <c r="BL107" i="3"/>
  <c r="BL108" i="3"/>
  <c r="N65" i="71"/>
  <c r="N66" i="71"/>
  <c r="C40" i="71"/>
  <c r="D39" i="71"/>
  <c r="B35" i="71"/>
  <c r="B36" i="71" s="1"/>
  <c r="S36" i="71" s="1"/>
  <c r="AA37" i="71"/>
  <c r="AA26" i="71"/>
  <c r="E38" i="71"/>
  <c r="E39" i="71" s="1"/>
  <c r="E40" i="71" s="1"/>
  <c r="U40" i="71" s="1"/>
  <c r="AA28" i="71"/>
  <c r="X10" i="71"/>
  <c r="T60" i="71"/>
  <c r="D60" i="71"/>
  <c r="AA23" i="71"/>
  <c r="Y23" i="71"/>
  <c r="Z23" i="71" s="1"/>
  <c r="Y17" i="71"/>
  <c r="Z17" i="71" s="1"/>
  <c r="BA84" i="3"/>
  <c r="AZ84" i="3" s="1"/>
  <c r="G90" i="3"/>
  <c r="BL100" i="3"/>
  <c r="G102" i="3"/>
  <c r="G105" i="3"/>
  <c r="BL110" i="3"/>
  <c r="AZ110" i="3" s="1"/>
  <c r="F3" i="35"/>
  <c r="F31" i="71"/>
  <c r="F32" i="71" s="1"/>
  <c r="V32" i="71" s="1"/>
  <c r="D34" i="71"/>
  <c r="C35" i="71"/>
  <c r="C51" i="71"/>
  <c r="D50" i="71"/>
  <c r="AA22" i="71"/>
  <c r="X21" i="71"/>
  <c r="X11" i="71"/>
  <c r="G69" i="3"/>
  <c r="BA85" i="3"/>
  <c r="AZ85" i="3" s="1"/>
  <c r="BA92" i="3"/>
  <c r="BA94" i="3"/>
  <c r="AZ94" i="3" s="1"/>
  <c r="AB25" i="71"/>
  <c r="AB26" i="71"/>
  <c r="AB27" i="71"/>
  <c r="AB28" i="71"/>
  <c r="AB23" i="71"/>
  <c r="AA18" i="71"/>
  <c r="Y13" i="71"/>
  <c r="Z13" i="71" s="1"/>
  <c r="AZ96" i="3"/>
  <c r="B27" i="71"/>
  <c r="B26" i="71" s="1"/>
  <c r="S28" i="71"/>
  <c r="Y26" i="71"/>
  <c r="Z26" i="71" s="1"/>
  <c r="Y27" i="71"/>
  <c r="Z27" i="71" s="1"/>
  <c r="Y28" i="71"/>
  <c r="Z28" i="71" s="1"/>
  <c r="C28" i="71"/>
  <c r="X30" i="71"/>
  <c r="X32" i="71"/>
  <c r="X31" i="71"/>
  <c r="AA35" i="71"/>
  <c r="C55" i="71"/>
  <c r="D54" i="71"/>
  <c r="C63" i="71"/>
  <c r="D62" i="71"/>
  <c r="Y21" i="71"/>
  <c r="Z21" i="71" s="1"/>
  <c r="AB18" i="71"/>
  <c r="AA11" i="71"/>
  <c r="G76" i="3"/>
  <c r="G84" i="3"/>
  <c r="BA87" i="3"/>
  <c r="AZ87" i="3" s="1"/>
  <c r="BL92" i="3"/>
  <c r="AB21" i="37"/>
  <c r="U21" i="37"/>
  <c r="O66" i="71"/>
  <c r="D66" i="71"/>
  <c r="O65" i="71"/>
  <c r="Y25" i="71"/>
  <c r="Z25" i="71" s="1"/>
  <c r="C43" i="71"/>
  <c r="D42" i="71"/>
  <c r="E48" i="71"/>
  <c r="U48" i="71" s="1"/>
  <c r="F59" i="71"/>
  <c r="F60" i="71" s="1"/>
  <c r="V60" i="71" s="1"/>
  <c r="F66" i="71"/>
  <c r="Q67" i="71"/>
  <c r="AB14" i="71"/>
  <c r="AZ99" i="3"/>
  <c r="P27" i="6"/>
  <c r="AA31" i="71"/>
  <c r="AA32" i="71"/>
  <c r="D75" i="71"/>
  <c r="C74" i="71"/>
  <c r="D74" i="71" s="1"/>
  <c r="Y24" i="71"/>
  <c r="Z24" i="71" s="1"/>
  <c r="X24" i="71"/>
  <c r="X18" i="71"/>
  <c r="AB18" i="36"/>
  <c r="Y9" i="71"/>
  <c r="Z9" i="71" s="1"/>
  <c r="AA21" i="71"/>
  <c r="Y18" i="71"/>
  <c r="Z18" i="71" s="1"/>
  <c r="AA17" i="71"/>
  <c r="Y10" i="71"/>
  <c r="Z10" i="71" s="1"/>
  <c r="AB11" i="71"/>
  <c r="D31" i="71"/>
  <c r="D76" i="71"/>
  <c r="X28" i="71"/>
  <c r="AA30" i="71"/>
  <c r="X29" i="71"/>
  <c r="Y32" i="71"/>
  <c r="Z32" i="71" s="1"/>
  <c r="X22" i="71"/>
  <c r="Y14" i="71"/>
  <c r="Z14" i="71" s="1"/>
  <c r="AB12" i="71"/>
  <c r="U29" i="39"/>
  <c r="C70" i="71"/>
  <c r="D70" i="71" s="1"/>
  <c r="AA27" i="71"/>
  <c r="X27" i="71"/>
  <c r="AA36" i="71"/>
  <c r="Y33" i="71"/>
  <c r="Z33" i="71" s="1"/>
  <c r="Y31" i="71"/>
  <c r="Z31" i="71" s="1"/>
  <c r="AB36" i="71"/>
  <c r="AA9" i="71"/>
  <c r="AB17" i="71"/>
  <c r="W18" i="35"/>
  <c r="E66" i="71"/>
  <c r="Y30" i="71"/>
  <c r="Z30" i="71" s="1"/>
  <c r="AB35" i="71"/>
  <c r="AB9" i="71"/>
  <c r="AB10" i="71"/>
  <c r="Y22" i="71"/>
  <c r="Z22" i="71" s="1"/>
  <c r="AB21" i="71"/>
  <c r="X15" i="71"/>
  <c r="X12" i="71"/>
  <c r="AA12" i="71"/>
  <c r="AA25" i="71"/>
  <c r="D38" i="71"/>
  <c r="X25" i="71"/>
  <c r="N68" i="71"/>
  <c r="AA29" i="71"/>
  <c r="F38" i="71"/>
  <c r="F39" i="71" s="1"/>
  <c r="F40" i="71" s="1"/>
  <c r="V40" i="71" s="1"/>
  <c r="AB39" i="71"/>
  <c r="X17" i="71"/>
  <c r="U18" i="35"/>
  <c r="C78" i="71"/>
  <c r="D78" i="71" s="1"/>
  <c r="X9" i="71"/>
  <c r="AA15" i="71"/>
  <c r="Y11" i="71"/>
  <c r="Z11" i="71" s="1"/>
  <c r="X13" i="71"/>
  <c r="AA10" i="71"/>
  <c r="V24" i="71"/>
  <c r="AB15" i="71"/>
  <c r="Y12" i="71"/>
  <c r="Z12" i="71" s="1"/>
  <c r="X14" i="71"/>
  <c r="AA13" i="71"/>
  <c r="AB13" i="71"/>
  <c r="AA14" i="71"/>
  <c r="J17" i="34"/>
  <c r="W17" i="34" s="1"/>
  <c r="J46" i="34"/>
  <c r="W46" i="34" s="1"/>
  <c r="W44" i="34"/>
  <c r="B7" i="1"/>
  <c r="E7" i="1" s="1"/>
  <c r="G1" i="84"/>
  <c r="J51" i="84"/>
  <c r="C7" i="86"/>
  <c r="C59" i="86" s="1"/>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C7" i="37"/>
  <c r="C52" i="37" s="1"/>
  <c r="D52" i="37" s="1"/>
  <c r="C7" i="40"/>
  <c r="C63" i="40" s="1"/>
  <c r="C7" i="39"/>
  <c r="C67" i="39" s="1"/>
  <c r="D67" i="39" s="1"/>
  <c r="D69" i="39" s="1"/>
  <c r="F7" i="1"/>
  <c r="G7" i="1" s="1"/>
  <c r="C19" i="39"/>
  <c r="J51" i="15"/>
  <c r="G6" i="1"/>
  <c r="I24" i="43"/>
  <c r="C24" i="43" s="1"/>
  <c r="B73" i="43"/>
  <c r="U21" i="34"/>
  <c r="AC33" i="34"/>
  <c r="W31" i="34"/>
  <c r="W30" i="34"/>
  <c r="AB31" i="34"/>
  <c r="AB44" i="34"/>
  <c r="AA43" i="34"/>
  <c r="AC41" i="34"/>
  <c r="AB41" i="34"/>
  <c r="AA39" i="34"/>
  <c r="G112" i="34"/>
  <c r="H112" i="34" s="1"/>
  <c r="I112" i="34" s="1"/>
  <c r="J112" i="34" s="1"/>
  <c r="K112" i="34" s="1"/>
  <c r="L112" i="34" s="1"/>
  <c r="M112" i="34" s="1"/>
  <c r="J37" i="34"/>
  <c r="AC37" i="34" s="1"/>
  <c r="H37" i="34"/>
  <c r="U37" i="34" s="1"/>
  <c r="AB36" i="34"/>
  <c r="S35" i="34"/>
  <c r="F80" i="34"/>
  <c r="G80" i="34" s="1"/>
  <c r="H17" i="34"/>
  <c r="AB17" i="34" s="1"/>
  <c r="S17" i="34"/>
  <c r="F78" i="34"/>
  <c r="G78" i="34" s="1"/>
  <c r="H15" i="34"/>
  <c r="AB15" i="34" s="1"/>
  <c r="S15" i="34"/>
  <c r="U46" i="34"/>
  <c r="AB46" i="34"/>
  <c r="U47" i="34"/>
  <c r="AB47" i="34"/>
  <c r="W47" i="34"/>
  <c r="F46" i="34"/>
  <c r="AA12" i="34"/>
  <c r="AC13" i="34"/>
  <c r="AB13" i="34"/>
  <c r="AC12" i="34"/>
  <c r="AC36" i="34"/>
  <c r="AC14" i="34"/>
  <c r="U35" i="34"/>
  <c r="AA41" i="34"/>
  <c r="S44" i="34"/>
  <c r="AA14" i="34"/>
  <c r="AA30" i="34"/>
  <c r="S21" i="34"/>
  <c r="AA31" i="34"/>
  <c r="AA29" i="34"/>
  <c r="O7" i="1"/>
  <c r="P7" i="1" s="1"/>
  <c r="B79" i="43"/>
  <c r="B68" i="43"/>
  <c r="B57" i="43"/>
  <c r="M20" i="15"/>
  <c r="M20" i="84"/>
  <c r="F34" i="84"/>
  <c r="F62" i="84" s="1"/>
  <c r="C24" i="12"/>
  <c r="F48" i="9"/>
  <c r="O52" i="9" s="1"/>
  <c r="F32" i="84"/>
  <c r="M18" i="84"/>
  <c r="F28" i="84"/>
  <c r="C28" i="84" s="1"/>
  <c r="C21" i="68"/>
  <c r="C40" i="69"/>
  <c r="F34" i="68"/>
  <c r="C36" i="68" s="1"/>
  <c r="F29" i="6"/>
  <c r="G28" i="6"/>
  <c r="A15" i="62"/>
  <c r="B61" i="72" s="1"/>
  <c r="K56" i="9"/>
  <c r="N56" i="9"/>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E14" i="6"/>
  <c r="E63" i="39" s="1"/>
  <c r="I4" i="6"/>
  <c r="E29" i="6"/>
  <c r="K15" i="1" s="1"/>
  <c r="F30" i="6"/>
  <c r="G30" i="6"/>
  <c r="G31" i="6" s="1"/>
  <c r="E28" i="6"/>
  <c r="L19" i="6"/>
  <c r="L27" i="6" s="1"/>
  <c r="T13" i="1"/>
  <c r="C58" i="21"/>
  <c r="D58" i="21"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T35" i="4"/>
  <c r="A19" i="51" s="1"/>
  <c r="B14" i="72" s="1"/>
  <c r="H52" i="43"/>
  <c r="K5" i="4"/>
  <c r="B47" i="48" s="1"/>
  <c r="Y8" i="71"/>
  <c r="Z8" i="71" s="1"/>
  <c r="X8" i="71"/>
  <c r="AB8" i="71"/>
  <c r="AA8" i="7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F51" i="15"/>
  <c r="F66" i="67"/>
  <c r="L59" i="15"/>
  <c r="N59" i="15"/>
  <c r="L58" i="15"/>
  <c r="M59" i="15"/>
  <c r="F66" i="15"/>
  <c r="Q71" i="67"/>
  <c r="F64" i="15"/>
  <c r="C27" i="67"/>
  <c r="F65" i="15"/>
  <c r="N59" i="67"/>
  <c r="L59" i="67"/>
  <c r="M59" i="67"/>
  <c r="B13" i="70"/>
  <c r="F68" i="67"/>
  <c r="F64" i="67"/>
  <c r="F68" i="15"/>
  <c r="D9" i="69"/>
  <c r="D9" i="68"/>
  <c r="C76" i="84"/>
  <c r="F43" i="67"/>
  <c r="M6" i="84"/>
  <c r="M22" i="84"/>
  <c r="M9" i="84"/>
  <c r="F7" i="84"/>
  <c r="L48" i="84"/>
  <c r="M24" i="84"/>
  <c r="M28" i="84"/>
  <c r="M29" i="67"/>
  <c r="J15" i="84"/>
  <c r="F43" i="15"/>
  <c r="F6" i="84"/>
  <c r="L48" i="67"/>
  <c r="F26" i="15"/>
  <c r="L47" i="84"/>
  <c r="M8" i="84"/>
  <c r="F26" i="84"/>
  <c r="M27" i="84"/>
  <c r="F7" i="15"/>
  <c r="F42" i="84"/>
  <c r="M29" i="84"/>
  <c r="F9" i="84"/>
  <c r="F16" i="84"/>
  <c r="F36" i="84"/>
  <c r="F42" i="15"/>
  <c r="G1" i="73"/>
  <c r="F13" i="84"/>
  <c r="M23" i="84"/>
  <c r="C14" i="84"/>
  <c r="F8" i="84"/>
  <c r="M26" i="84"/>
  <c r="F40" i="84"/>
  <c r="F38" i="84"/>
  <c r="F43" i="84"/>
  <c r="F7" i="67"/>
  <c r="F37" i="84"/>
  <c r="M29" i="15"/>
  <c r="U19" i="34" l="1"/>
  <c r="S19" i="34"/>
  <c r="W15" i="34"/>
  <c r="H16" i="1"/>
  <c r="G5" i="3"/>
  <c r="B3" i="3" s="1"/>
  <c r="E442" i="3" s="1"/>
  <c r="M6" i="1"/>
  <c r="U25" i="34"/>
  <c r="G88" i="34"/>
  <c r="H88" i="34" s="1"/>
  <c r="I88" i="34" s="1"/>
  <c r="J88" i="34" s="1"/>
  <c r="K88" i="34" s="1"/>
  <c r="L88" i="34" s="1"/>
  <c r="M88" i="34" s="1"/>
  <c r="J25" i="34"/>
  <c r="F25" i="34"/>
  <c r="F37" i="34"/>
  <c r="AA37" i="34" s="1"/>
  <c r="W37" i="34"/>
  <c r="M7" i="67"/>
  <c r="J6" i="67" s="1"/>
  <c r="J18" i="67" s="1"/>
  <c r="C6" i="67"/>
  <c r="C32" i="67" s="1"/>
  <c r="F50" i="67"/>
  <c r="C49" i="67" s="1"/>
  <c r="F71" i="67"/>
  <c r="BA5" i="3"/>
  <c r="E27" i="6" s="1"/>
  <c r="K26" i="6" s="1"/>
  <c r="M26" i="6" s="1"/>
  <c r="I26" i="6" s="1"/>
  <c r="S26" i="6" s="1"/>
  <c r="F71" i="15"/>
  <c r="F50" i="15"/>
  <c r="C49" i="15" s="1"/>
  <c r="C6" i="15"/>
  <c r="C32" i="15" s="1"/>
  <c r="I1" i="15"/>
  <c r="M7" i="15"/>
  <c r="J6" i="15" s="1"/>
  <c r="J18" i="15" s="1"/>
  <c r="AP6" i="1"/>
  <c r="C36" i="69" s="1"/>
  <c r="E59" i="40"/>
  <c r="G16" i="1"/>
  <c r="F10" i="39" s="1"/>
  <c r="S10" i="39" s="1"/>
  <c r="U23" i="34"/>
  <c r="AA23" i="34"/>
  <c r="S23" i="34"/>
  <c r="W19" i="34"/>
  <c r="C27" i="15"/>
  <c r="E46" i="3"/>
  <c r="E128" i="3"/>
  <c r="E565" i="3"/>
  <c r="Q6" i="3"/>
  <c r="E480" i="3"/>
  <c r="E562" i="3"/>
  <c r="E585" i="3"/>
  <c r="E441" i="3"/>
  <c r="E538" i="3"/>
  <c r="E586" i="3"/>
  <c r="E407" i="3"/>
  <c r="E336" i="3"/>
  <c r="E419" i="3"/>
  <c r="E568" i="3"/>
  <c r="E228" i="3"/>
  <c r="E560" i="3"/>
  <c r="E587" i="3"/>
  <c r="E106" i="3"/>
  <c r="E315" i="3"/>
  <c r="E368" i="3"/>
  <c r="E204" i="3"/>
  <c r="Z6" i="3"/>
  <c r="E345" i="3"/>
  <c r="E531" i="3"/>
  <c r="E28" i="3"/>
  <c r="E182" i="3"/>
  <c r="E273" i="3"/>
  <c r="E572" i="3"/>
  <c r="E217" i="3"/>
  <c r="E268" i="3"/>
  <c r="AJ6" i="3"/>
  <c r="E579" i="3"/>
  <c r="E247" i="3"/>
  <c r="E311" i="3"/>
  <c r="E570" i="3"/>
  <c r="AB6" i="3"/>
  <c r="E335" i="3"/>
  <c r="E189" i="3"/>
  <c r="E278" i="3"/>
  <c r="E172" i="3"/>
  <c r="E535" i="3"/>
  <c r="E135" i="3"/>
  <c r="E263" i="3"/>
  <c r="AI6" i="3"/>
  <c r="E246" i="3"/>
  <c r="E316" i="3"/>
  <c r="E551" i="3"/>
  <c r="E260" i="3"/>
  <c r="E382" i="3"/>
  <c r="E470" i="3"/>
  <c r="E464" i="3"/>
  <c r="E539" i="3"/>
  <c r="E498" i="3"/>
  <c r="E486" i="3"/>
  <c r="E223"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429" i="3"/>
  <c r="E116" i="3"/>
  <c r="E136" i="3"/>
  <c r="E412" i="3"/>
  <c r="E11" i="71"/>
  <c r="E10" i="71" s="1"/>
  <c r="E9" i="71" s="1"/>
  <c r="E8" i="71" s="1"/>
  <c r="E7" i="71" s="1"/>
  <c r="E6" i="71" s="1"/>
  <c r="E5" i="71" s="1"/>
  <c r="V12" i="71"/>
  <c r="AC39" i="37"/>
  <c r="W39" i="37"/>
  <c r="Q66" i="71"/>
  <c r="Q65" i="71"/>
  <c r="C52" i="71"/>
  <c r="D51" i="71"/>
  <c r="AZ107" i="3"/>
  <c r="AZ80" i="3"/>
  <c r="AZ122" i="3"/>
  <c r="E392" i="3"/>
  <c r="AZ218" i="3"/>
  <c r="AZ251" i="3"/>
  <c r="E491" i="3"/>
  <c r="E467" i="3"/>
  <c r="E479" i="3"/>
  <c r="AZ465" i="3"/>
  <c r="AZ443" i="3"/>
  <c r="AC25" i="37"/>
  <c r="W25" i="37"/>
  <c r="AA39" i="37"/>
  <c r="S39" i="37"/>
  <c r="AC23" i="35"/>
  <c r="W23" i="35"/>
  <c r="B15" i="71"/>
  <c r="B14" i="71" s="1"/>
  <c r="B13" i="71" s="1"/>
  <c r="B12" i="71" s="1"/>
  <c r="S16" i="71"/>
  <c r="E102" i="3"/>
  <c r="T40" i="71"/>
  <c r="D40" i="71"/>
  <c r="U25" i="37"/>
  <c r="AB25" i="37"/>
  <c r="U23" i="35"/>
  <c r="AB23" i="35"/>
  <c r="C18" i="71"/>
  <c r="D19" i="71"/>
  <c r="AC17" i="34"/>
  <c r="P65" i="71"/>
  <c r="P66" i="71"/>
  <c r="AZ92" i="3"/>
  <c r="C36" i="71"/>
  <c r="D35" i="71"/>
  <c r="E90" i="3"/>
  <c r="W31" i="21"/>
  <c r="AC31" i="21"/>
  <c r="W12" i="33"/>
  <c r="AC12" i="33"/>
  <c r="AA11" i="36"/>
  <c r="S11" i="36"/>
  <c r="T28" i="71"/>
  <c r="C27" i="71"/>
  <c r="D28" i="71"/>
  <c r="U28" i="71" s="1"/>
  <c r="AZ105" i="3"/>
  <c r="AZ73" i="3"/>
  <c r="AZ216" i="3"/>
  <c r="AZ441" i="3"/>
  <c r="AC38" i="40"/>
  <c r="W38" i="40"/>
  <c r="AB31" i="21"/>
  <c r="U31" i="21"/>
  <c r="S47" i="34"/>
  <c r="AA47" i="34"/>
  <c r="U12" i="33"/>
  <c r="AB12" i="33"/>
  <c r="C64" i="71"/>
  <c r="D63" i="71"/>
  <c r="E127" i="3"/>
  <c r="AZ215" i="3"/>
  <c r="AZ353" i="3"/>
  <c r="E234" i="3"/>
  <c r="AZ449" i="3"/>
  <c r="S35" i="39"/>
  <c r="AA35" i="39"/>
  <c r="AA14" i="21"/>
  <c r="S14" i="21"/>
  <c r="AC40" i="37"/>
  <c r="W40" i="37"/>
  <c r="C44" i="71"/>
  <c r="D43" i="71"/>
  <c r="AZ102" i="3"/>
  <c r="AZ448" i="3"/>
  <c r="AZ431" i="3"/>
  <c r="W14" i="21"/>
  <c r="AC14" i="21"/>
  <c r="E84" i="3"/>
  <c r="C56" i="71"/>
  <c r="D55" i="71"/>
  <c r="E96" i="3"/>
  <c r="AZ461" i="3"/>
  <c r="BL5" i="3"/>
  <c r="AZ5" i="3"/>
  <c r="E3" i="6" s="1"/>
  <c r="C45" i="86" s="1"/>
  <c r="E76" i="3"/>
  <c r="E138" i="3"/>
  <c r="AZ254" i="3"/>
  <c r="E446" i="3"/>
  <c r="AZ317" i="3"/>
  <c r="AZ460" i="3"/>
  <c r="W35" i="39"/>
  <c r="AC35" i="39"/>
  <c r="AC46" i="21"/>
  <c r="W46" i="21"/>
  <c r="AA25" i="37"/>
  <c r="S25" i="37"/>
  <c r="AB9" i="34"/>
  <c r="U9" i="34"/>
  <c r="U40" i="37"/>
  <c r="AB40" i="37"/>
  <c r="AC46" i="34"/>
  <c r="J57" i="67"/>
  <c r="J55" i="67" s="1"/>
  <c r="J58" i="67" s="1"/>
  <c r="Q50" i="67" s="1"/>
  <c r="I54" i="67"/>
  <c r="L56" i="67"/>
  <c r="J53" i="67"/>
  <c r="F1" i="67" s="1"/>
  <c r="L58" i="67"/>
  <c r="Q60" i="67" s="1"/>
  <c r="C44" i="43"/>
  <c r="K16" i="1"/>
  <c r="Q71" i="84"/>
  <c r="F65" i="84"/>
  <c r="F68" i="84"/>
  <c r="F51" i="84"/>
  <c r="C27" i="84"/>
  <c r="N59" i="84"/>
  <c r="L59" i="84"/>
  <c r="Q74" i="84" s="1"/>
  <c r="M59" i="84"/>
  <c r="C6" i="84"/>
  <c r="C33" i="84" s="1"/>
  <c r="F64" i="84"/>
  <c r="F50" i="84"/>
  <c r="M7" i="84"/>
  <c r="J6" i="84" s="1"/>
  <c r="J19" i="84" s="1"/>
  <c r="F71" i="84"/>
  <c r="F66" i="84"/>
  <c r="C18" i="84"/>
  <c r="C15" i="84"/>
  <c r="L56" i="84"/>
  <c r="J57" i="84"/>
  <c r="J55" i="84" s="1"/>
  <c r="J58" i="84" s="1"/>
  <c r="Q50" i="84" s="1"/>
  <c r="I54" i="84"/>
  <c r="L58" i="84"/>
  <c r="Q73" i="84" s="1"/>
  <c r="J53" i="84"/>
  <c r="F1" i="84" s="1"/>
  <c r="J7" i="36"/>
  <c r="D59" i="86"/>
  <c r="E59" i="86" s="1"/>
  <c r="F59" i="86" s="1"/>
  <c r="G59" i="86" s="1"/>
  <c r="H59" i="86" s="1"/>
  <c r="I59" i="86" s="1"/>
  <c r="J59" i="86" s="1"/>
  <c r="K59" i="86" s="1"/>
  <c r="L59" i="86" s="1"/>
  <c r="M59" i="86" s="1"/>
  <c r="N59" i="86" s="1"/>
  <c r="O59" i="86" s="1"/>
  <c r="P59" i="86" s="1"/>
  <c r="Q59" i="86" s="1"/>
  <c r="R59" i="86" s="1"/>
  <c r="S59" i="86" s="1"/>
  <c r="T59" i="86" s="1"/>
  <c r="U59" i="86" s="1"/>
  <c r="V59" i="86" s="1"/>
  <c r="W59" i="86" s="1"/>
  <c r="X59" i="86" s="1"/>
  <c r="Y59" i="86" s="1"/>
  <c r="Z59" i="86" s="1"/>
  <c r="AA59" i="86" s="1"/>
  <c r="AB59" i="86" s="1"/>
  <c r="AC59" i="86" s="1"/>
  <c r="AD59" i="86" s="1"/>
  <c r="AE59" i="86" s="1"/>
  <c r="AF59" i="86" s="1"/>
  <c r="AG59" i="86" s="1"/>
  <c r="AH59" i="86" s="1"/>
  <c r="AI59" i="86" s="1"/>
  <c r="AJ59" i="86" s="1"/>
  <c r="AK59" i="86" s="1"/>
  <c r="AL59" i="86" s="1"/>
  <c r="AM59" i="86" s="1"/>
  <c r="AN59" i="86" s="1"/>
  <c r="AO59" i="86" s="1"/>
  <c r="H7" i="36"/>
  <c r="J7" i="37"/>
  <c r="AB37" i="34"/>
  <c r="U17" i="34"/>
  <c r="U15" i="34"/>
  <c r="AA46" i="34"/>
  <c r="S46" i="34"/>
  <c r="C19" i="84"/>
  <c r="C20" i="84" s="1"/>
  <c r="F60" i="84"/>
  <c r="F11" i="84"/>
  <c r="M11" i="84"/>
  <c r="J10" i="84" s="1"/>
  <c r="E61" i="43"/>
  <c r="B59" i="43" s="1"/>
  <c r="C28" i="43" s="1"/>
  <c r="E30" i="6"/>
  <c r="E56" i="39"/>
  <c r="AB7" i="34"/>
  <c r="E67" i="39"/>
  <c r="J7" i="34"/>
  <c r="W7" i="34" s="1"/>
  <c r="S7" i="34"/>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F1" i="15"/>
  <c r="Q52" i="15"/>
  <c r="Q60" i="15"/>
  <c r="Q73" i="15"/>
  <c r="Q61" i="67"/>
  <c r="Q74" i="67"/>
  <c r="Q74" i="15"/>
  <c r="Q61" i="15"/>
  <c r="AE11" i="1"/>
  <c r="AE9" i="1"/>
  <c r="F27" i="68"/>
  <c r="AE8" i="1"/>
  <c r="AE12" i="1"/>
  <c r="AE10" i="1"/>
  <c r="AE7" i="1"/>
  <c r="C16" i="15"/>
  <c r="AE6" i="1"/>
  <c r="C16" i="67"/>
  <c r="C17" i="84"/>
  <c r="C16" i="84"/>
  <c r="E239" i="3" l="1"/>
  <c r="E555" i="3"/>
  <c r="E351" i="3"/>
  <c r="E576" i="3"/>
  <c r="E257" i="3"/>
  <c r="E183" i="3"/>
  <c r="E447" i="3"/>
  <c r="E314" i="3"/>
  <c r="E427" i="3"/>
  <c r="E472" i="3"/>
  <c r="S37" i="34"/>
  <c r="E171" i="3"/>
  <c r="E406" i="3"/>
  <c r="E545" i="3"/>
  <c r="E541" i="3"/>
  <c r="E229" i="3"/>
  <c r="E91" i="3"/>
  <c r="E270" i="3"/>
  <c r="E210" i="3"/>
  <c r="E549" i="3"/>
  <c r="E573" i="3"/>
  <c r="E404" i="3"/>
  <c r="E199" i="3"/>
  <c r="O6" i="3"/>
  <c r="E161" i="3"/>
  <c r="E485" i="3"/>
  <c r="E74" i="3"/>
  <c r="E468" i="3"/>
  <c r="E133" i="3"/>
  <c r="E507" i="3"/>
  <c r="E415" i="3"/>
  <c r="E347" i="3"/>
  <c r="E216" i="3"/>
  <c r="E343" i="3"/>
  <c r="E477" i="3"/>
  <c r="E72" i="3"/>
  <c r="E483" i="3"/>
  <c r="E274" i="3"/>
  <c r="E516" i="3"/>
  <c r="E166" i="3"/>
  <c r="E410" i="3"/>
  <c r="E296" i="3"/>
  <c r="E117" i="3"/>
  <c r="E358" i="3"/>
  <c r="E282" i="3"/>
  <c r="E301" i="3"/>
  <c r="E261" i="3"/>
  <c r="AR6" i="3"/>
  <c r="E508" i="3"/>
  <c r="E384" i="3"/>
  <c r="AS6" i="3"/>
  <c r="E271" i="3"/>
  <c r="E150" i="3"/>
  <c r="E527" i="3"/>
  <c r="E105" i="3"/>
  <c r="E295" i="3"/>
  <c r="I6" i="3"/>
  <c r="E156" i="3"/>
  <c r="E395" i="3"/>
  <c r="E506" i="3"/>
  <c r="E306" i="3"/>
  <c r="E114" i="3"/>
  <c r="E290" i="3"/>
  <c r="E436" i="3"/>
  <c r="E294" i="3"/>
  <c r="E569" i="3"/>
  <c r="E124" i="3"/>
  <c r="E503" i="3"/>
  <c r="E380" i="3"/>
  <c r="E337" i="3"/>
  <c r="E175" i="3"/>
  <c r="E162" i="3"/>
  <c r="E478" i="3"/>
  <c r="E31" i="3"/>
  <c r="E450" i="3"/>
  <c r="E193" i="3"/>
  <c r="E408" i="3"/>
  <c r="E443" i="3"/>
  <c r="E55" i="3"/>
  <c r="E518" i="3"/>
  <c r="E402" i="3"/>
  <c r="E546" i="3"/>
  <c r="E256" i="3"/>
  <c r="E377" i="3"/>
  <c r="E279" i="3"/>
  <c r="E453" i="3"/>
  <c r="E149" i="3"/>
  <c r="E334" i="3"/>
  <c r="E581" i="3"/>
  <c r="E252" i="3"/>
  <c r="E203" i="3"/>
  <c r="E262" i="3"/>
  <c r="E41" i="3"/>
  <c r="E435" i="3"/>
  <c r="AA6" i="3"/>
  <c r="E298" i="3"/>
  <c r="E29" i="3"/>
  <c r="E288" i="3"/>
  <c r="AG6" i="3"/>
  <c r="E405" i="3"/>
  <c r="M6" i="3"/>
  <c r="E376" i="3"/>
  <c r="E476" i="3"/>
  <c r="E99" i="3"/>
  <c r="E422" i="3"/>
  <c r="E56" i="3"/>
  <c r="E121" i="3"/>
  <c r="E448" i="3"/>
  <c r="E580" i="3"/>
  <c r="E344" i="3"/>
  <c r="E440" i="3"/>
  <c r="E444" i="3"/>
  <c r="V6" i="3"/>
  <c r="E221" i="3"/>
  <c r="E97" i="3"/>
  <c r="E379" i="3"/>
  <c r="E463" i="3"/>
  <c r="E424" i="3"/>
  <c r="X6" i="3"/>
  <c r="E89" i="3"/>
  <c r="E361" i="3"/>
  <c r="E511" i="3"/>
  <c r="E177" i="3"/>
  <c r="E393" i="3"/>
  <c r="E459" i="3"/>
  <c r="E30" i="3"/>
  <c r="J6" i="3"/>
  <c r="E230" i="3"/>
  <c r="N6" i="3"/>
  <c r="E159" i="3"/>
  <c r="E237" i="3"/>
  <c r="S6" i="3"/>
  <c r="E501" i="3"/>
  <c r="E432" i="3"/>
  <c r="E475" i="3"/>
  <c r="E493" i="3"/>
  <c r="E558" i="3"/>
  <c r="E496" i="3"/>
  <c r="E188" i="3"/>
  <c r="E396" i="3"/>
  <c r="E69" i="3"/>
  <c r="E557" i="3"/>
  <c r="E181" i="3"/>
  <c r="E495" i="3"/>
  <c r="E44" i="3"/>
  <c r="E457" i="3"/>
  <c r="E481" i="3"/>
  <c r="E434" i="3"/>
  <c r="E401" i="3"/>
  <c r="E342" i="3"/>
  <c r="E32" i="3"/>
  <c r="E578" i="3"/>
  <c r="E151" i="3"/>
  <c r="E353" i="3"/>
  <c r="E17" i="3"/>
  <c r="E338" i="3"/>
  <c r="E359" i="3"/>
  <c r="E272" i="3"/>
  <c r="E397" i="3"/>
  <c r="E532" i="3"/>
  <c r="I3" i="6"/>
  <c r="E236" i="3"/>
  <c r="E330" i="3"/>
  <c r="E245" i="3"/>
  <c r="E423" i="3"/>
  <c r="E509" i="3"/>
  <c r="E146" i="3"/>
  <c r="E61" i="3"/>
  <c r="E439" i="3"/>
  <c r="E107" i="3"/>
  <c r="E25" i="3"/>
  <c r="E426" i="3"/>
  <c r="E317" i="3"/>
  <c r="E547" i="3"/>
  <c r="E207" i="3"/>
  <c r="E168" i="3"/>
  <c r="E474" i="3"/>
  <c r="E122" i="3"/>
  <c r="E369" i="3"/>
  <c r="E88" i="3"/>
  <c r="E164" i="3"/>
  <c r="E73" i="3"/>
  <c r="E437" i="3"/>
  <c r="E238" i="3"/>
  <c r="E583" i="3"/>
  <c r="E559" i="3"/>
  <c r="E385" i="3"/>
  <c r="E563" i="3"/>
  <c r="E201" i="3"/>
  <c r="E70" i="3"/>
  <c r="E362" i="3"/>
  <c r="E277" i="3"/>
  <c r="AD6" i="3"/>
  <c r="E125" i="3"/>
  <c r="E185" i="3"/>
  <c r="E305" i="3"/>
  <c r="E414" i="3"/>
  <c r="E433" i="3"/>
  <c r="E253" i="3"/>
  <c r="E53" i="3"/>
  <c r="E92" i="3"/>
  <c r="E411" i="3"/>
  <c r="E14" i="3"/>
  <c r="E537" i="3"/>
  <c r="E224" i="3"/>
  <c r="E490" i="3"/>
  <c r="E131" i="3"/>
  <c r="P6" i="3"/>
  <c r="E394" i="3"/>
  <c r="AE6" i="3"/>
  <c r="E120" i="3"/>
  <c r="E108" i="3"/>
  <c r="E550" i="3"/>
  <c r="E553" i="3"/>
  <c r="E191" i="3"/>
  <c r="E215" i="3"/>
  <c r="E526" i="3"/>
  <c r="AO6" i="3"/>
  <c r="E577" i="3"/>
  <c r="E329" i="3"/>
  <c r="E366" i="3"/>
  <c r="E134" i="3"/>
  <c r="E533" i="3"/>
  <c r="E186" i="3"/>
  <c r="E567" i="3"/>
  <c r="E519" i="3"/>
  <c r="E341" i="3"/>
  <c r="E514" i="3"/>
  <c r="E322" i="3"/>
  <c r="E211" i="3"/>
  <c r="E400" i="3"/>
  <c r="E227" i="3"/>
  <c r="E454" i="3"/>
  <c r="K6" i="3"/>
  <c r="E77" i="3"/>
  <c r="E40" i="3"/>
  <c r="E130" i="3"/>
  <c r="E320" i="3"/>
  <c r="E350" i="3"/>
  <c r="E528" i="3"/>
  <c r="E561" i="3"/>
  <c r="E388" i="3"/>
  <c r="E331" i="3"/>
  <c r="E505" i="3"/>
  <c r="E269" i="3"/>
  <c r="E111" i="3"/>
  <c r="E458" i="3"/>
  <c r="E85" i="3"/>
  <c r="E137" i="3"/>
  <c r="E445" i="3"/>
  <c r="E387" i="3"/>
  <c r="E431" i="3"/>
  <c r="E109" i="3"/>
  <c r="E489" i="3"/>
  <c r="E327" i="3"/>
  <c r="E214" i="3"/>
  <c r="E465" i="3"/>
  <c r="AK6" i="3"/>
  <c r="E564" i="3"/>
  <c r="E497" i="3"/>
  <c r="E293" i="3"/>
  <c r="E399" i="3"/>
  <c r="E180" i="3"/>
  <c r="E231" i="3"/>
  <c r="E143" i="3"/>
  <c r="E530" i="3"/>
  <c r="E27" i="3"/>
  <c r="E515" i="3"/>
  <c r="E318" i="3"/>
  <c r="E571" i="3"/>
  <c r="E45" i="3"/>
  <c r="AH6" i="3"/>
  <c r="E144" i="3"/>
  <c r="E543" i="3"/>
  <c r="E582" i="3"/>
  <c r="E566" i="3"/>
  <c r="E420" i="3"/>
  <c r="E349" i="3"/>
  <c r="E192" i="3"/>
  <c r="E184" i="3"/>
  <c r="E235" i="3"/>
  <c r="E83" i="3"/>
  <c r="E556" i="3"/>
  <c r="E16" i="3"/>
  <c r="R6" i="3"/>
  <c r="E356" i="3"/>
  <c r="E60" i="3"/>
  <c r="E195" i="3"/>
  <c r="E226" i="3"/>
  <c r="E283" i="3"/>
  <c r="E265" i="3"/>
  <c r="E23" i="3"/>
  <c r="E81" i="3"/>
  <c r="E487" i="3"/>
  <c r="E200" i="3"/>
  <c r="E165" i="3"/>
  <c r="E51" i="3"/>
  <c r="E389" i="3"/>
  <c r="E37" i="3"/>
  <c r="E78" i="3"/>
  <c r="E24" i="3"/>
  <c r="E364" i="3"/>
  <c r="E132" i="3"/>
  <c r="E484" i="3"/>
  <c r="E19" i="3"/>
  <c r="E64" i="3"/>
  <c r="E286" i="3"/>
  <c r="E79" i="3"/>
  <c r="E371" i="3"/>
  <c r="E363" i="3"/>
  <c r="E517" i="3"/>
  <c r="E118" i="3"/>
  <c r="E309" i="3"/>
  <c r="E512" i="3"/>
  <c r="E115" i="3"/>
  <c r="E378" i="3"/>
  <c r="E525" i="3"/>
  <c r="E249" i="3"/>
  <c r="E297" i="3"/>
  <c r="E310" i="3"/>
  <c r="E524" i="3"/>
  <c r="E18" i="3"/>
  <c r="E250" i="3"/>
  <c r="E222" i="3"/>
  <c r="E300" i="3"/>
  <c r="E36" i="3"/>
  <c r="E287" i="3"/>
  <c r="E173" i="3"/>
  <c r="E340" i="3"/>
  <c r="E86" i="3"/>
  <c r="E482" i="3"/>
  <c r="E21" i="3"/>
  <c r="E49" i="3"/>
  <c r="E552" i="3"/>
  <c r="E372" i="3"/>
  <c r="E374" i="3"/>
  <c r="E494" i="3"/>
  <c r="E241" i="3"/>
  <c r="E409" i="3"/>
  <c r="E354" i="3"/>
  <c r="E35" i="3"/>
  <c r="E325" i="3"/>
  <c r="E113" i="3"/>
  <c r="E312" i="3"/>
  <c r="E178" i="3"/>
  <c r="E233" i="3"/>
  <c r="E248" i="3"/>
  <c r="E413" i="3"/>
  <c r="E176" i="3"/>
  <c r="E425" i="3"/>
  <c r="E542" i="3"/>
  <c r="E281" i="3"/>
  <c r="E33" i="3"/>
  <c r="E202" i="3"/>
  <c r="E381" i="3"/>
  <c r="E59" i="3"/>
  <c r="E536" i="3"/>
  <c r="E160" i="3"/>
  <c r="E360" i="3"/>
  <c r="E284" i="3"/>
  <c r="E449" i="3"/>
  <c r="E22" i="3"/>
  <c r="E469" i="3"/>
  <c r="E152" i="3"/>
  <c r="E521" i="3"/>
  <c r="E123" i="3"/>
  <c r="E264" i="3"/>
  <c r="AQ6" i="3"/>
  <c r="E544" i="3"/>
  <c r="E63" i="3"/>
  <c r="E522" i="3"/>
  <c r="E155" i="3"/>
  <c r="E386" i="3"/>
  <c r="E141" i="3"/>
  <c r="E100" i="3"/>
  <c r="T6" i="3"/>
  <c r="E266" i="3"/>
  <c r="E26" i="3"/>
  <c r="E355" i="3"/>
  <c r="E346" i="3"/>
  <c r="E82" i="3"/>
  <c r="E98" i="3"/>
  <c r="E455" i="3"/>
  <c r="E391" i="3"/>
  <c r="E540" i="3"/>
  <c r="E95" i="3"/>
  <c r="E140" i="3"/>
  <c r="E326" i="3"/>
  <c r="E67" i="3"/>
  <c r="E65" i="3"/>
  <c r="E292" i="3"/>
  <c r="E398" i="3"/>
  <c r="E370" i="3"/>
  <c r="E58" i="3"/>
  <c r="E421" i="3"/>
  <c r="E289" i="3"/>
  <c r="E220" i="3"/>
  <c r="E332" i="3"/>
  <c r="E430" i="3"/>
  <c r="E154" i="3"/>
  <c r="E492" i="3"/>
  <c r="E15" i="3"/>
  <c r="E139" i="3"/>
  <c r="E575" i="3"/>
  <c r="E20" i="3"/>
  <c r="E383" i="3"/>
  <c r="E42" i="3"/>
  <c r="E452" i="3"/>
  <c r="E194" i="3"/>
  <c r="Y6" i="3"/>
  <c r="E307" i="3"/>
  <c r="E259" i="3"/>
  <c r="E339" i="3"/>
  <c r="E466" i="3"/>
  <c r="E129" i="3"/>
  <c r="E103" i="3"/>
  <c r="E348" i="3"/>
  <c r="E255" i="3"/>
  <c r="E267" i="3"/>
  <c r="E68" i="3"/>
  <c r="E299" i="3"/>
  <c r="E75" i="3"/>
  <c r="E39" i="3"/>
  <c r="E244" i="3"/>
  <c r="E190" i="3"/>
  <c r="E417" i="3"/>
  <c r="E373" i="3"/>
  <c r="E584" i="3"/>
  <c r="E488" i="3"/>
  <c r="E57" i="3"/>
  <c r="E148" i="3"/>
  <c r="E232" i="3"/>
  <c r="E142" i="3"/>
  <c r="E375" i="3"/>
  <c r="E13" i="3"/>
  <c r="E513" i="3"/>
  <c r="E87" i="3"/>
  <c r="E47" i="3"/>
  <c r="E258" i="3"/>
  <c r="E502" i="3"/>
  <c r="E323" i="3"/>
  <c r="E66" i="3"/>
  <c r="E462" i="3"/>
  <c r="E101" i="3"/>
  <c r="E333" i="3"/>
  <c r="AF6" i="3"/>
  <c r="E104" i="3"/>
  <c r="E163" i="3"/>
  <c r="E504" i="3"/>
  <c r="E187" i="3"/>
  <c r="E499" i="3"/>
  <c r="E62" i="3"/>
  <c r="E112" i="3"/>
  <c r="E170" i="3"/>
  <c r="E43" i="3"/>
  <c r="E242" i="3"/>
  <c r="E554" i="3"/>
  <c r="E167" i="3"/>
  <c r="E158" i="3"/>
  <c r="E206" i="3"/>
  <c r="E275" i="3"/>
  <c r="E94" i="3"/>
  <c r="E225" i="3"/>
  <c r="AP6" i="3"/>
  <c r="E510" i="3"/>
  <c r="E500" i="3"/>
  <c r="E197" i="3"/>
  <c r="E50" i="3"/>
  <c r="E52" i="3"/>
  <c r="E38" i="3"/>
  <c r="L6" i="3"/>
  <c r="E119" i="3"/>
  <c r="E451" i="3"/>
  <c r="E205" i="3"/>
  <c r="E80" i="3"/>
  <c r="E34" i="3"/>
  <c r="E174" i="3"/>
  <c r="AL6" i="3"/>
  <c r="E198" i="3"/>
  <c r="E416" i="3"/>
  <c r="E218" i="3"/>
  <c r="E179" i="3"/>
  <c r="E48" i="3"/>
  <c r="E209" i="3"/>
  <c r="E110" i="3"/>
  <c r="E240" i="3"/>
  <c r="E456" i="3"/>
  <c r="E365" i="3"/>
  <c r="E147" i="3"/>
  <c r="E219" i="3"/>
  <c r="E473" i="3"/>
  <c r="E276" i="3"/>
  <c r="E520" i="3"/>
  <c r="E534" i="3"/>
  <c r="E308" i="3"/>
  <c r="E251" i="3"/>
  <c r="E324" i="3"/>
  <c r="E428" i="3"/>
  <c r="E243" i="3"/>
  <c r="E460" i="3"/>
  <c r="E212" i="3"/>
  <c r="AA10" i="39"/>
  <c r="H10" i="39"/>
  <c r="U10" i="39" s="1"/>
  <c r="O6" i="1"/>
  <c r="S25" i="34"/>
  <c r="AA25" i="34"/>
  <c r="AC25" i="34"/>
  <c r="W25" i="34"/>
  <c r="J5" i="15"/>
  <c r="J24" i="15" s="1"/>
  <c r="J5" i="67"/>
  <c r="J24" i="67" s="1"/>
  <c r="J5" i="84"/>
  <c r="J24" i="84" s="1"/>
  <c r="J10" i="40"/>
  <c r="AC10" i="40" s="1"/>
  <c r="H10" i="40"/>
  <c r="AB10" i="40" s="1"/>
  <c r="J10" i="39"/>
  <c r="W10" i="39" s="1"/>
  <c r="F10" i="40"/>
  <c r="S10" i="40" s="1"/>
  <c r="E65" i="39"/>
  <c r="AY6" i="3"/>
  <c r="AY131" i="3" s="1"/>
  <c r="Q73" i="67"/>
  <c r="C45" i="34"/>
  <c r="T56" i="71"/>
  <c r="D56" i="71"/>
  <c r="T44" i="71"/>
  <c r="D44" i="71"/>
  <c r="D27" i="71"/>
  <c r="C26" i="71"/>
  <c r="D26" i="71" s="1"/>
  <c r="C17" i="71"/>
  <c r="D18" i="71"/>
  <c r="B11" i="71"/>
  <c r="B10" i="71" s="1"/>
  <c r="B9" i="71" s="1"/>
  <c r="B8" i="71" s="1"/>
  <c r="B7" i="71" s="1"/>
  <c r="B6" i="71" s="1"/>
  <c r="B5" i="71" s="1"/>
  <c r="S12" i="71"/>
  <c r="D3" i="86"/>
  <c r="C34" i="86"/>
  <c r="C34" i="34"/>
  <c r="D33" i="43"/>
  <c r="D1" i="43" s="1"/>
  <c r="T64" i="71"/>
  <c r="D64" i="71"/>
  <c r="T36" i="71"/>
  <c r="D36" i="71"/>
  <c r="D52" i="71"/>
  <c r="T52" i="71"/>
  <c r="C32" i="84"/>
  <c r="Q52" i="67"/>
  <c r="Q61" i="84"/>
  <c r="Q52" i="84"/>
  <c r="C127" i="86"/>
  <c r="H42" i="43"/>
  <c r="C49" i="84"/>
  <c r="C61" i="84" s="1"/>
  <c r="J18" i="84"/>
  <c r="Q60" i="84"/>
  <c r="J7" i="86"/>
  <c r="H7" i="86"/>
  <c r="F7" i="86"/>
  <c r="C26" i="84"/>
  <c r="L36" i="43"/>
  <c r="P36" i="43" s="1"/>
  <c r="F24" i="84"/>
  <c r="C53" i="84"/>
  <c r="C10" i="84"/>
  <c r="C5" i="84" s="1"/>
  <c r="AC7" i="34"/>
  <c r="U7" i="34"/>
  <c r="AA7" i="34"/>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F39" i="6" s="1"/>
  <c r="K24" i="6"/>
  <c r="K19" i="6"/>
  <c r="S6" i="1" s="1"/>
  <c r="O14" i="1"/>
  <c r="M16" i="1"/>
  <c r="D3" i="21"/>
  <c r="E6" i="6"/>
  <c r="D37" i="11"/>
  <c r="D14" i="12"/>
  <c r="M18" i="9"/>
  <c r="B118" i="9" s="1"/>
  <c r="D3" i="34"/>
  <c r="D19" i="11"/>
  <c r="C19" i="11" s="1"/>
  <c r="L18" i="9"/>
  <c r="K24" i="9"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84"/>
  <c r="F41" i="67"/>
  <c r="W10" i="40" l="1"/>
  <c r="O16" i="1"/>
  <c r="J26" i="84"/>
  <c r="J29" i="84" s="1"/>
  <c r="AY448" i="3"/>
  <c r="AC6" i="3"/>
  <c r="H6" i="3"/>
  <c r="E6" i="3" s="1"/>
  <c r="U10" i="40"/>
  <c r="AY88" i="3"/>
  <c r="AY443" i="3"/>
  <c r="AB10" i="39"/>
  <c r="AY19" i="3"/>
  <c r="AY224" i="3"/>
  <c r="AY398" i="3"/>
  <c r="AY479" i="3"/>
  <c r="AY167" i="3"/>
  <c r="AY528" i="3"/>
  <c r="AY419" i="3"/>
  <c r="AA10" i="40"/>
  <c r="AY240" i="3"/>
  <c r="AY216" i="3"/>
  <c r="AY14" i="3"/>
  <c r="AY259" i="3"/>
  <c r="F69" i="67"/>
  <c r="AY500" i="3"/>
  <c r="AY113" i="3"/>
  <c r="AY530" i="3"/>
  <c r="AY558" i="3"/>
  <c r="AY453" i="3"/>
  <c r="AY525" i="3"/>
  <c r="AY544" i="3"/>
  <c r="BT6" i="3"/>
  <c r="AY359" i="3"/>
  <c r="AY413" i="3"/>
  <c r="AY205" i="3"/>
  <c r="AY362" i="3"/>
  <c r="AY364" i="3"/>
  <c r="BS6" i="3"/>
  <c r="AY300" i="3"/>
  <c r="AY54" i="3"/>
  <c r="AY522" i="3"/>
  <c r="AY288" i="3"/>
  <c r="AY492" i="3"/>
  <c r="AY27" i="3"/>
  <c r="AY578" i="3"/>
  <c r="AY137" i="3"/>
  <c r="AY100" i="3"/>
  <c r="BO6" i="3"/>
  <c r="AY374" i="3"/>
  <c r="AY289" i="3"/>
  <c r="AY519" i="3"/>
  <c r="AY147" i="3"/>
  <c r="AY75" i="3"/>
  <c r="AY154" i="3"/>
  <c r="AY87"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83" i="3"/>
  <c r="AY59" i="3"/>
  <c r="AY297" i="3"/>
  <c r="AY103" i="3"/>
  <c r="AY284" i="3"/>
  <c r="AY441" i="3"/>
  <c r="AY217" i="3"/>
  <c r="AY401" i="3"/>
  <c r="AY97" i="3"/>
  <c r="AY33" i="3"/>
  <c r="AY125" i="3"/>
  <c r="AY230" i="3"/>
  <c r="BH6" i="3"/>
  <c r="AY145" i="3"/>
  <c r="AY353" i="3"/>
  <c r="AY472" i="3"/>
  <c r="AY585" i="3"/>
  <c r="AY501" i="3"/>
  <c r="AY486" i="3"/>
  <c r="AY404" i="3"/>
  <c r="AY36" i="3"/>
  <c r="AY239" i="3"/>
  <c r="AY150" i="3"/>
  <c r="AY467" i="3"/>
  <c r="AY518" i="3"/>
  <c r="AY191" i="3"/>
  <c r="AY497" i="3"/>
  <c r="AY417" i="3"/>
  <c r="AY193" i="3"/>
  <c r="AY227" i="3"/>
  <c r="AY161" i="3"/>
  <c r="AY438" i="3"/>
  <c r="AY536" i="3"/>
  <c r="AY494" i="3"/>
  <c r="AY65" i="3"/>
  <c r="AY189" i="3"/>
  <c r="AY287" i="3"/>
  <c r="AY380" i="3"/>
  <c r="AY313" i="3"/>
  <c r="AY471" i="3"/>
  <c r="AY426" i="3"/>
  <c r="AY579" i="3"/>
  <c r="AY524" i="3"/>
  <c r="AY570" i="3"/>
  <c r="AY94" i="3"/>
  <c r="AY192" i="3"/>
  <c r="AY285" i="3"/>
  <c r="AY221" i="3"/>
  <c r="AY346" i="3"/>
  <c r="AY437" i="3"/>
  <c r="AY512" i="3"/>
  <c r="AY55" i="3"/>
  <c r="AY148" i="3"/>
  <c r="AY273" i="3"/>
  <c r="AY391" i="3"/>
  <c r="AY490" i="3"/>
  <c r="AY550" i="3"/>
  <c r="AY586" i="3"/>
  <c r="AY298" i="3"/>
  <c r="AY321" i="3"/>
  <c r="AY450" i="3"/>
  <c r="AY575" i="3"/>
  <c r="AY110" i="3"/>
  <c r="AY120" i="3"/>
  <c r="AY347" i="3"/>
  <c r="AY421" i="3"/>
  <c r="AY102" i="3"/>
  <c r="AY175" i="3"/>
  <c r="AY208" i="3"/>
  <c r="AY474" i="3"/>
  <c r="AY583" i="3"/>
  <c r="AY174" i="3"/>
  <c r="AY250" i="3"/>
  <c r="AY305" i="3"/>
  <c r="AY445" i="3"/>
  <c r="AY505" i="3"/>
  <c r="AY551" i="3"/>
  <c r="AY79" i="3"/>
  <c r="AY151" i="3"/>
  <c r="AY394" i="3"/>
  <c r="AY451" i="3"/>
  <c r="AY568" i="3"/>
  <c r="AY200" i="3"/>
  <c r="AY257" i="3"/>
  <c r="AY307" i="3"/>
  <c r="AY23" i="3"/>
  <c r="AY188" i="3"/>
  <c r="AY268" i="3"/>
  <c r="AY160" i="3"/>
  <c r="AY209" i="3"/>
  <c r="AY529" i="3"/>
  <c r="AY327" i="3"/>
  <c r="AY549" i="3"/>
  <c r="AY92" i="3"/>
  <c r="AY185" i="3"/>
  <c r="AY283" i="3"/>
  <c r="AY219" i="3"/>
  <c r="AY73" i="3"/>
  <c r="AY295" i="3"/>
  <c r="AY333" i="3"/>
  <c r="AY430" i="3"/>
  <c r="AY534" i="3"/>
  <c r="AY18" i="3"/>
  <c r="AY199" i="3"/>
  <c r="AY562" i="3"/>
  <c r="AY182" i="3"/>
  <c r="AY389" i="3"/>
  <c r="AY279" i="3"/>
  <c r="AY454" i="3"/>
  <c r="AY556" i="3"/>
  <c r="AY31" i="3"/>
  <c r="AY116" i="3"/>
  <c r="AY539" i="3"/>
  <c r="AY173" i="3"/>
  <c r="AY373" i="3"/>
  <c r="AY215" i="3"/>
  <c r="AY406" i="3"/>
  <c r="AY520" i="3"/>
  <c r="AY582" i="3"/>
  <c r="AY80" i="3"/>
  <c r="AY158" i="3"/>
  <c r="AY251" i="3"/>
  <c r="AY369" i="3"/>
  <c r="AY344" i="3"/>
  <c r="AY468" i="3"/>
  <c r="AY410" i="3"/>
  <c r="AY506" i="3"/>
  <c r="AY565" i="3"/>
  <c r="AY531" i="3"/>
  <c r="AY63" i="3"/>
  <c r="AY156" i="3"/>
  <c r="AY280" i="3"/>
  <c r="AY378" i="3"/>
  <c r="AY469" i="3"/>
  <c r="AY405" i="3"/>
  <c r="BL6" i="3"/>
  <c r="AY38" i="3"/>
  <c r="AY159" i="3"/>
  <c r="AY241" i="3"/>
  <c r="AY354" i="3"/>
  <c r="AY459" i="3"/>
  <c r="BD6" i="3"/>
  <c r="AY32" i="3"/>
  <c r="AY235" i="3"/>
  <c r="AY336" i="3"/>
  <c r="AY431" i="3"/>
  <c r="AY537" i="3"/>
  <c r="AY47" i="3"/>
  <c r="AY233" i="3"/>
  <c r="AY330" i="3"/>
  <c r="AY13" i="3"/>
  <c r="AY39" i="3"/>
  <c r="AY136" i="3"/>
  <c r="AY375" i="3"/>
  <c r="AY432" i="3"/>
  <c r="AY567" i="3"/>
  <c r="AY153" i="3"/>
  <c r="AY396" i="3"/>
  <c r="AY320" i="3"/>
  <c r="AY434" i="3"/>
  <c r="AY538" i="3"/>
  <c r="AY545" i="3"/>
  <c r="AY62" i="3"/>
  <c r="AY301" i="3"/>
  <c r="AC10" i="39"/>
  <c r="AY566" i="3"/>
  <c r="AY477" i="3"/>
  <c r="AY293" i="3"/>
  <c r="AY71" i="3"/>
  <c r="AY408" i="3"/>
  <c r="AY248" i="3"/>
  <c r="AY493" i="3"/>
  <c r="AY415" i="3"/>
  <c r="AY337" i="3"/>
  <c r="AY21" i="3"/>
  <c r="AY322" i="3"/>
  <c r="AY195" i="3"/>
  <c r="AY440" i="3"/>
  <c r="AY140" i="3"/>
  <c r="AY17" i="3"/>
  <c r="AY352" i="3"/>
  <c r="AY504" i="3"/>
  <c r="AY338" i="3"/>
  <c r="AY277" i="3"/>
  <c r="AY86" i="3"/>
  <c r="AY456" i="3"/>
  <c r="AY232" i="3"/>
  <c r="AY35" i="3"/>
  <c r="AY542" i="3"/>
  <c r="AY407" i="3"/>
  <c r="AY487" i="3"/>
  <c r="AY234" i="3"/>
  <c r="AY194" i="3"/>
  <c r="AY584" i="3"/>
  <c r="AY324" i="3"/>
  <c r="AY270" i="3"/>
  <c r="AY478" i="3"/>
  <c r="AY112" i="3"/>
  <c r="AY340" i="3"/>
  <c r="AY302" i="3"/>
  <c r="AY355" i="3"/>
  <c r="BG6" i="3"/>
  <c r="AY475" i="3"/>
  <c r="AY202" i="3"/>
  <c r="AY262" i="3"/>
  <c r="AY44" i="3"/>
  <c r="AY463" i="3"/>
  <c r="AY460" i="3"/>
  <c r="AY335" i="3"/>
  <c r="AY155" i="3"/>
  <c r="AY521" i="3"/>
  <c r="AY351" i="3"/>
  <c r="AY143" i="3"/>
  <c r="AY107" i="3"/>
  <c r="AY485" i="3"/>
  <c r="AY265" i="3"/>
  <c r="BP6" i="3"/>
  <c r="AY402" i="3"/>
  <c r="AY361" i="3"/>
  <c r="AY64" i="3"/>
  <c r="AY339" i="3"/>
  <c r="AY22" i="3"/>
  <c r="AY482" i="3"/>
  <c r="AY203" i="3"/>
  <c r="AY399" i="3"/>
  <c r="AY218" i="3"/>
  <c r="AY511" i="3"/>
  <c r="AY323" i="3"/>
  <c r="AY128" i="3"/>
  <c r="AY91" i="3"/>
  <c r="AY466" i="3"/>
  <c r="AY249" i="3"/>
  <c r="AY46" i="3"/>
  <c r="AY509" i="3"/>
  <c r="AY439" i="3"/>
  <c r="AY312" i="3"/>
  <c r="AY266" i="3"/>
  <c r="AY48" i="3"/>
  <c r="AY543" i="3"/>
  <c r="AY341" i="3"/>
  <c r="AY134" i="3"/>
  <c r="AY343" i="3"/>
  <c r="AY577" i="3"/>
  <c r="AY226" i="3"/>
  <c r="AY126" i="3"/>
  <c r="AY244" i="3"/>
  <c r="AY571" i="3"/>
  <c r="AY316" i="3"/>
  <c r="AY56" i="3"/>
  <c r="AY278" i="3"/>
  <c r="AY76" i="3"/>
  <c r="AY310" i="3"/>
  <c r="AY319" i="3"/>
  <c r="AY371" i="3"/>
  <c r="AY176" i="3"/>
  <c r="AY400" i="3"/>
  <c r="AY386" i="3"/>
  <c r="AY164" i="3"/>
  <c r="AY547" i="3"/>
  <c r="AY315" i="3"/>
  <c r="AY172" i="3"/>
  <c r="AY515" i="3"/>
  <c r="AY476" i="3"/>
  <c r="AY267" i="3"/>
  <c r="AY15" i="3"/>
  <c r="AY272" i="3"/>
  <c r="AY576" i="3"/>
  <c r="AY383" i="3"/>
  <c r="AY563" i="3"/>
  <c r="AY461" i="3"/>
  <c r="AY142" i="3"/>
  <c r="AY429" i="3"/>
  <c r="AY213" i="3"/>
  <c r="AY184" i="3"/>
  <c r="AY560" i="3"/>
  <c r="AY331" i="3"/>
  <c r="AY135" i="3"/>
  <c r="AY99" i="3"/>
  <c r="D3" i="6"/>
  <c r="D25" i="6" s="1"/>
  <c r="AY458" i="3"/>
  <c r="AY329" i="3"/>
  <c r="AY129" i="3"/>
  <c r="AY101" i="3"/>
  <c r="AY572" i="3"/>
  <c r="AY29" i="3"/>
  <c r="AY84" i="3"/>
  <c r="AY455" i="3"/>
  <c r="BN6" i="3"/>
  <c r="AY93" i="3"/>
  <c r="AY53" i="3"/>
  <c r="AY387" i="3"/>
  <c r="AY411" i="3"/>
  <c r="AY388" i="3"/>
  <c r="AY360" i="3"/>
  <c r="AY165" i="3"/>
  <c r="BE6" i="3"/>
  <c r="AY260" i="3"/>
  <c r="AY183" i="3"/>
  <c r="AY58" i="3"/>
  <c r="H45" i="86"/>
  <c r="U45" i="86" s="1"/>
  <c r="J45" i="86"/>
  <c r="W45" i="86" s="1"/>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J45" i="34"/>
  <c r="W45" i="34" s="1"/>
  <c r="H45" i="34"/>
  <c r="U45" i="34" s="1"/>
  <c r="F45" i="34"/>
  <c r="S45" i="34" s="1"/>
  <c r="C16" i="71"/>
  <c r="D17" i="71"/>
  <c r="J34" i="34"/>
  <c r="H34" i="34"/>
  <c r="F34" i="34"/>
  <c r="J34" i="86"/>
  <c r="F34" i="86"/>
  <c r="H34" i="86"/>
  <c r="AC45" i="86"/>
  <c r="C48" i="84"/>
  <c r="C66" i="84" s="1"/>
  <c r="F45" i="86"/>
  <c r="AA7" i="86"/>
  <c r="S7" i="86"/>
  <c r="AB7" i="86"/>
  <c r="U7" i="86"/>
  <c r="W7" i="86"/>
  <c r="AC7" i="86"/>
  <c r="B14" i="74"/>
  <c r="B1" i="74" s="1"/>
  <c r="F69" i="84"/>
  <c r="L37" i="43"/>
  <c r="M37" i="43" s="1"/>
  <c r="O36" i="43"/>
  <c r="Q36" i="43"/>
  <c r="N36" i="43"/>
  <c r="M36" i="43"/>
  <c r="C38" i="84"/>
  <c r="C24" i="84"/>
  <c r="C23" i="84"/>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D29" i="6" l="1"/>
  <c r="E61" i="40"/>
  <c r="D26" i="6"/>
  <c r="D28" i="6"/>
  <c r="D30" i="6" s="1"/>
  <c r="M19" i="9"/>
  <c r="C118" i="9" s="1"/>
  <c r="B2" i="74" s="1"/>
  <c r="D19" i="6"/>
  <c r="D12" i="6"/>
  <c r="D9" i="6"/>
  <c r="D21" i="6"/>
  <c r="D5" i="6"/>
  <c r="D6" i="6"/>
  <c r="D22" i="6"/>
  <c r="AB45" i="86"/>
  <c r="D13" i="6"/>
  <c r="D23" i="6"/>
  <c r="D15" i="6"/>
  <c r="L19" i="9"/>
  <c r="D14" i="6"/>
  <c r="D20" i="6"/>
  <c r="H26" i="6"/>
  <c r="D11" i="6"/>
  <c r="C18" i="4"/>
  <c r="D10" i="6"/>
  <c r="D8" i="6"/>
  <c r="D24" i="6"/>
  <c r="AB45" i="34"/>
  <c r="H25" i="6"/>
  <c r="AC45" i="34"/>
  <c r="H24" i="6"/>
  <c r="AA45" i="34"/>
  <c r="S34" i="86"/>
  <c r="AA34" i="86"/>
  <c r="AC34" i="86"/>
  <c r="V49" i="86" s="1"/>
  <c r="I49" i="86" s="1"/>
  <c r="I53" i="86" s="1"/>
  <c r="J53" i="86" s="1"/>
  <c r="W34" i="86"/>
  <c r="AA34" i="34"/>
  <c r="S34" i="34"/>
  <c r="AB34" i="86"/>
  <c r="T49" i="86" s="1"/>
  <c r="G49" i="86" s="1"/>
  <c r="U34" i="86"/>
  <c r="C25" i="11"/>
  <c r="C22" i="11" s="1"/>
  <c r="C31" i="11" s="1"/>
  <c r="H22" i="6"/>
  <c r="AB34" i="34"/>
  <c r="U34" i="34"/>
  <c r="AC34" i="34"/>
  <c r="V49" i="34" s="1"/>
  <c r="I49" i="34" s="1"/>
  <c r="I53" i="34" s="1"/>
  <c r="J53" i="34" s="1"/>
  <c r="W34" i="34"/>
  <c r="C15" i="71"/>
  <c r="T16" i="71"/>
  <c r="D16" i="71"/>
  <c r="C60" i="84"/>
  <c r="AA45" i="86"/>
  <c r="S45" i="86"/>
  <c r="H21" i="6"/>
  <c r="R21" i="6" s="1"/>
  <c r="R8" i="1" s="1"/>
  <c r="P37" i="43"/>
  <c r="N37" i="43"/>
  <c r="Q37" i="43"/>
  <c r="O37" i="43"/>
  <c r="C29" i="84"/>
  <c r="C57" i="84" s="1"/>
  <c r="C64" i="84"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R22" i="6"/>
  <c r="R9" i="1" s="1"/>
  <c r="C15" i="12"/>
  <c r="C12" i="12"/>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35" i="84"/>
  <c r="M21" i="84"/>
  <c r="C14" i="15"/>
  <c r="R49" i="34" l="1"/>
  <c r="T49" i="34"/>
  <c r="G49" i="34" s="1"/>
  <c r="G53" i="34" s="1"/>
  <c r="H53" i="34" s="1"/>
  <c r="D27" i="6"/>
  <c r="D31" i="6"/>
  <c r="R23" i="6"/>
  <c r="R10" i="1" s="1"/>
  <c r="D16" i="6"/>
  <c r="R49" i="86"/>
  <c r="E49" i="86" s="1"/>
  <c r="G54" i="86"/>
  <c r="H54" i="86" s="1"/>
  <c r="R50" i="34"/>
  <c r="C49" i="34" s="1"/>
  <c r="E49" i="34"/>
  <c r="E54" i="34" s="1"/>
  <c r="F54" i="34" s="1"/>
  <c r="M23" i="43"/>
  <c r="U16" i="71"/>
  <c r="C14" i="71"/>
  <c r="D15" i="71"/>
  <c r="G53" i="86"/>
  <c r="H53" i="86" s="1"/>
  <c r="J59" i="84"/>
  <c r="J60" i="84" s="1"/>
  <c r="Q48" i="84" s="1"/>
  <c r="J14" i="84"/>
  <c r="J22" i="84" s="1"/>
  <c r="C36" i="84"/>
  <c r="C13" i="84"/>
  <c r="C37" i="84" s="1"/>
  <c r="C18" i="12"/>
  <c r="Q49" i="84"/>
  <c r="J20" i="84"/>
  <c r="J17" i="84" s="1"/>
  <c r="C34" i="84"/>
  <c r="C31" i="84" s="1"/>
  <c r="F63" i="84"/>
  <c r="C62" i="84" s="1"/>
  <c r="C59" i="84"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G54" i="34" l="1"/>
  <c r="H54" i="34" s="1"/>
  <c r="R50" i="86"/>
  <c r="C50" i="86" s="1"/>
  <c r="I54" i="86"/>
  <c r="J54" i="86" s="1"/>
  <c r="E53" i="86"/>
  <c r="F53" i="86" s="1"/>
  <c r="E54" i="86"/>
  <c r="F54" i="86" s="1"/>
  <c r="I54" i="34"/>
  <c r="J54" i="34" s="1"/>
  <c r="E53" i="34"/>
  <c r="F53" i="34" s="1"/>
  <c r="C50" i="34"/>
  <c r="D14" i="71"/>
  <c r="C13" i="71"/>
  <c r="L43" i="86"/>
  <c r="B3" i="86"/>
  <c r="B2" i="86"/>
  <c r="J26" i="43"/>
  <c r="N94" i="46"/>
  <c r="H26" i="43"/>
  <c r="F26" i="43"/>
  <c r="Z7" i="43"/>
  <c r="N370" i="46"/>
  <c r="E26" i="43"/>
  <c r="G26" i="43"/>
  <c r="B116" i="43"/>
  <c r="J13" i="84"/>
  <c r="J23" i="84" s="1"/>
  <c r="J16" i="84" s="1"/>
  <c r="J25" i="84" s="1"/>
  <c r="Q70" i="84"/>
  <c r="C75" i="84"/>
  <c r="C56" i="84"/>
  <c r="C65" i="84" s="1"/>
  <c r="C58" i="84" s="1"/>
  <c r="C67" i="84" s="1"/>
  <c r="C68" i="84" s="1"/>
  <c r="C71" i="84" s="1"/>
  <c r="C21" i="12"/>
  <c r="C22" i="12" s="1"/>
  <c r="C30" i="84"/>
  <c r="C39" i="84" s="1"/>
  <c r="H39" i="84"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49" i="86" l="1"/>
  <c r="C12" i="71"/>
  <c r="D13" i="71"/>
  <c r="W7" i="21"/>
  <c r="AA7" i="21"/>
  <c r="R48" i="21" s="1"/>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C27" i="12"/>
  <c r="C25" i="12" s="1"/>
  <c r="C80" i="84"/>
  <c r="C79" i="84" s="1"/>
  <c r="C30" i="12"/>
  <c r="C28" i="12" s="1"/>
  <c r="Q69" i="84"/>
  <c r="Q68" i="84" s="1"/>
  <c r="C40" i="84"/>
  <c r="Q47" i="84" s="1"/>
  <c r="Q53" i="84" s="1"/>
  <c r="L57" i="84"/>
  <c r="L60" i="84" s="1"/>
  <c r="L46" i="84"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L51" i="84"/>
  <c r="M21" i="15"/>
  <c r="F35" i="15"/>
  <c r="F35" i="67"/>
  <c r="M21" i="67"/>
  <c r="Q67" i="84" l="1"/>
  <c r="D116" i="43"/>
  <c r="C11" i="71"/>
  <c r="T12" i="71"/>
  <c r="D12" i="71"/>
  <c r="U12" i="71" s="1"/>
  <c r="C32" i="12"/>
  <c r="B2" i="12" s="1"/>
  <c r="B3" i="12" s="1"/>
  <c r="C33" i="43"/>
  <c r="AC7" i="35"/>
  <c r="V38" i="35" s="1"/>
  <c r="I38" i="35" s="1"/>
  <c r="C83" i="84"/>
  <c r="C82" i="84" s="1"/>
  <c r="Q56" i="84"/>
  <c r="Q65" i="84"/>
  <c r="C46" i="84"/>
  <c r="B2" i="84"/>
  <c r="B3" i="84" s="1"/>
  <c r="C43" i="84"/>
  <c r="Q66" i="84"/>
  <c r="Q57" i="84"/>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4" l="1"/>
  <c r="D11" i="71"/>
  <c r="C10" i="71"/>
  <c r="E33" i="43"/>
  <c r="C30" i="43" s="1"/>
  <c r="C34" i="43"/>
  <c r="E34" i="43" s="1"/>
  <c r="C31" i="43" s="1"/>
  <c r="Q62" i="84"/>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E6" i="76"/>
  <c r="D2" i="21"/>
  <c r="D10" i="71" l="1"/>
  <c r="C9" i="71"/>
  <c r="E2" i="76"/>
  <c r="B2" i="43"/>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D2" i="33"/>
  <c r="L51" i="67"/>
  <c r="C8" i="71" l="1"/>
  <c r="D9" i="71"/>
  <c r="B2" i="76"/>
  <c r="B3" i="76" s="1"/>
  <c r="B3" i="43"/>
  <c r="C6" i="68"/>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D8" i="71" l="1"/>
  <c r="C7" i="71"/>
  <c r="C7" i="68"/>
  <c r="C5" i="68"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AO7" i="1"/>
  <c r="AO9" i="1"/>
  <c r="C19" i="9"/>
  <c r="AO10" i="1"/>
  <c r="AO8" i="1"/>
  <c r="C6" i="71" l="1"/>
  <c r="D7" i="71"/>
  <c r="C23" i="68"/>
  <c r="C20" i="68"/>
  <c r="C102" i="9"/>
  <c r="C21" i="9"/>
  <c r="B3" i="34"/>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6" i="71" l="1"/>
  <c r="C5" i="71"/>
  <c r="D5" i="71" s="1"/>
  <c r="M24" i="43" s="1"/>
  <c r="C28" i="68"/>
  <c r="C27" i="68" s="1"/>
  <c r="C25" i="68"/>
  <c r="C22" i="68" s="1"/>
  <c r="C103" i="9"/>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68" l="1"/>
  <c r="C52" i="68" s="1"/>
  <c r="C57" i="68" s="1"/>
  <c r="C56" i="68" s="1"/>
  <c r="B3" i="70"/>
  <c r="C42" i="40"/>
  <c r="C43" i="40"/>
  <c r="E47" i="40"/>
  <c r="F47" i="40" s="1"/>
  <c r="E46" i="40"/>
  <c r="F46" i="40" s="1"/>
  <c r="I47" i="40"/>
  <c r="J47" i="40" s="1"/>
  <c r="B2" i="68" l="1"/>
  <c r="B58" i="40"/>
  <c r="F58" i="40" s="1"/>
  <c r="B54" i="40"/>
  <c r="F54" i="40" s="1"/>
  <c r="B53" i="40"/>
  <c r="F53" i="40" s="1"/>
  <c r="B59" i="40"/>
  <c r="F59" i="40" s="1"/>
  <c r="B52" i="40"/>
  <c r="F52" i="40" s="1"/>
  <c r="B56" i="40"/>
  <c r="F56" i="40" s="1"/>
  <c r="B60" i="40"/>
  <c r="F60" i="40" s="1"/>
  <c r="B57" i="40"/>
  <c r="F57" i="40" s="1"/>
  <c r="B51" i="40"/>
  <c r="F51" i="40" s="1"/>
  <c r="F61" i="40"/>
  <c r="B2" i="40" s="1"/>
  <c r="B3" i="40" s="1"/>
  <c r="D19" i="9"/>
  <c r="G19" i="9" l="1"/>
  <c r="D22" i="9"/>
  <c r="D21" i="9"/>
  <c r="D102" i="9"/>
  <c r="B3" i="68"/>
  <c r="D20" i="9"/>
  <c r="G20" i="9" l="1"/>
  <c r="C32" i="9" s="1"/>
  <c r="D103" i="9"/>
  <c r="K35" i="6"/>
  <c r="F35" i="6"/>
  <c r="F37" i="6" s="1"/>
  <c r="J37" i="6" s="1"/>
  <c r="G21" i="9"/>
  <c r="D35" i="9"/>
  <c r="C35" i="9" l="1"/>
  <c r="C34" i="9" s="1"/>
  <c r="H118" i="9"/>
  <c r="I118" i="9" s="1"/>
  <c r="D34" i="9"/>
  <c r="F118" i="9" l="1"/>
  <c r="G118" i="9" s="1"/>
  <c r="G4" i="52" s="1"/>
  <c r="B52" i="72" s="1"/>
  <c r="H101" i="9"/>
  <c r="H109" i="9" s="1"/>
  <c r="D124" i="9" s="1"/>
  <c r="D14" i="74"/>
  <c r="G14" i="74" s="1"/>
  <c r="B6" i="74" s="1"/>
  <c r="D6" i="74" s="1"/>
  <c r="H119" i="9"/>
  <c r="H5" i="52" s="1"/>
  <c r="H4" i="52"/>
  <c r="C104" i="9"/>
  <c r="D118" i="9"/>
  <c r="F119" i="9"/>
  <c r="F5" i="52" s="1"/>
  <c r="B53" i="72" s="1"/>
  <c r="H107" i="9"/>
  <c r="C105" i="9"/>
  <c r="I4" i="52"/>
  <c r="H102" i="9"/>
  <c r="D5" i="53" l="1"/>
  <c r="M48" i="9"/>
  <c r="E118" i="9"/>
  <c r="E4" i="52" s="1"/>
  <c r="B48" i="72" s="1"/>
  <c r="D16" i="53"/>
  <c r="D17" i="53" s="1"/>
  <c r="B36" i="72" s="1"/>
  <c r="B5" i="74"/>
  <c r="D5" i="74" s="1"/>
  <c r="D45" i="9"/>
  <c r="D52" i="9" s="1"/>
  <c r="H110" i="9"/>
  <c r="D18" i="53" s="1"/>
  <c r="B35" i="72" s="1"/>
  <c r="F4" i="52"/>
  <c r="B51" i="72" s="1"/>
  <c r="F14" i="74"/>
  <c r="E14" i="74"/>
  <c r="D4" i="52"/>
  <c r="B47" i="72" s="1"/>
  <c r="D119" i="9"/>
  <c r="D5" i="52" s="1"/>
  <c r="B49" i="72" s="1"/>
  <c r="D125" i="9"/>
  <c r="D11" i="52" s="1"/>
  <c r="D10" i="52"/>
  <c r="D7" i="53"/>
  <c r="B21" i="72" s="1"/>
  <c r="M49" i="9"/>
  <c r="H108" i="9"/>
  <c r="D122" i="9"/>
  <c r="D13" i="53"/>
  <c r="D6" i="53"/>
  <c r="B22" i="72" s="1"/>
  <c r="B20" i="72"/>
  <c r="B34" i="72" l="1"/>
  <c r="C7" i="74"/>
  <c r="D55" i="9"/>
  <c r="M53" i="9" s="1"/>
  <c r="C64" i="9"/>
  <c r="C63" i="9" s="1"/>
  <c r="C67" i="9" s="1"/>
  <c r="C68" i="9" s="1"/>
  <c r="D54" i="9" s="1"/>
  <c r="D48" i="9" s="1"/>
  <c r="M52" i="9" s="1"/>
  <c r="C85" i="9"/>
  <c r="C72" i="9"/>
  <c r="C78" i="9"/>
  <c r="C73" i="9" s="1"/>
  <c r="D53" i="9"/>
  <c r="C5" i="74"/>
  <c r="C93" i="9"/>
  <c r="C86" i="9" s="1"/>
  <c r="D15" i="53"/>
  <c r="B31" i="72" s="1"/>
  <c r="C6" i="74"/>
  <c r="L66" i="9"/>
  <c r="M66" i="9" s="1"/>
  <c r="L67" i="9"/>
  <c r="M67" i="9" s="1"/>
  <c r="L68" i="9"/>
  <c r="M68" i="9" s="1"/>
  <c r="L63" i="9"/>
  <c r="M63" i="9" s="1"/>
  <c r="L65" i="9"/>
  <c r="M65" i="9" s="1"/>
  <c r="L64" i="9"/>
  <c r="M64" i="9" s="1"/>
  <c r="D14" i="53"/>
  <c r="B32" i="72" s="1"/>
  <c r="B30" i="72"/>
  <c r="D59" i="9"/>
  <c r="M55" i="9" s="1"/>
  <c r="D123" i="9"/>
  <c r="D9" i="52" s="1"/>
  <c r="D8" i="52"/>
  <c r="C95" i="9" l="1"/>
  <c r="C79" i="9"/>
  <c r="C80" i="9" s="1"/>
  <c r="E80" i="9" s="1"/>
  <c r="E81" i="9" s="1"/>
  <c r="M69" i="9"/>
  <c r="N69" i="9" s="1"/>
  <c r="C96" i="9"/>
  <c r="E96" i="9" s="1"/>
  <c r="E97" i="9" s="1"/>
  <c r="C97" i="9" l="1"/>
  <c r="C81" i="9"/>
  <c r="D58" i="9" l="1"/>
  <c r="D56" i="9" s="1"/>
  <c r="M54" i="9" s="1"/>
  <c r="N57" i="9" s="1"/>
  <c r="N58" i="9" s="1"/>
  <c r="N59" i="9" l="1"/>
  <c r="H111" i="9" s="1"/>
  <c r="I14" i="74" s="1"/>
  <c r="B8" i="74" s="1"/>
  <c r="D8" i="74" s="1"/>
  <c r="P57" i="9"/>
  <c r="N61" i="9" l="1"/>
  <c r="H112" i="9" s="1"/>
  <c r="C8" i="74" s="1"/>
  <c r="N60" i="9"/>
  <c r="D126" i="9"/>
  <c r="D19" i="53"/>
  <c r="D21" i="53" l="1"/>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<sst xmlns="http://schemas.openxmlformats.org/spreadsheetml/2006/main" count="11203" uniqueCount="4734">
  <si>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</si>
  <si>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</si>
  <si>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</si>
  <si>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</si>
  <si>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</si>
  <si>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</si>
  <si>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</si>
  <si>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</si>
  <si>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</si>
  <si>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</si>
  <si>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</si>
  <si>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</si>
  <si>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</si>
  <si>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</si>
  <si>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</si>
  <si>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</si>
  <si>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</si>
  <si>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</si>
  <si>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</si>
  <si>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</si>
  <si>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</si>
  <si>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</si>
  <si>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</si>
  <si>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</si>
  <si>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</si>
  <si>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</si>
  <si>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</si>
  <si>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</si>
  <si>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</si>
  <si>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</si>
  <si>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</si>
  <si>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</si>
  <si>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</si>
  <si>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</si>
  <si>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</si>
  <si>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</si>
  <si>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</si>
  <si>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</si>
  <si>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</si>
  <si>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</si>
  <si>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</si>
  <si>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</si>
  <si>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</si>
  <si>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</si>
  <si>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</si>
  <si>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</si>
  <si>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</si>
  <si>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</si>
  <si>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</si>
  <si>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</si>
  <si>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</si>
  <si>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</si>
  <si>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</si>
  <si>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</si>
  <si>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</si>
  <si>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</si>
  <si>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</si>
  <si>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</si>
  <si>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</si>
  <si>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</si>
  <si>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</si>
  <si>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</si>
  <si>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</si>
  <si>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</si>
  <si>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</si>
  <si>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</si>
  <si>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</si>
  <si>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</si>
  <si>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</si>
  <si>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</si>
  <si>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</si>
  <si>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</si>
  <si>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</si>
  <si>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</si>
  <si>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</si>
  <si>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</si>
  <si>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</si>
  <si>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</si>
  <si>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</si>
  <si>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</si>
  <si>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</si>
  <si>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</si>
  <si>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</si>
  <si>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</si>
  <si>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</si>
  <si>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</si>
  <si>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</si>
  <si>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</si>
  <si>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</si>
  <si>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</si>
  <si>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</si>
  <si>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</si>
  <si>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</si>
  <si>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</si>
  <si>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</si>
  <si>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</si>
  <si>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</si>
  <si>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</si>
  <si>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</si>
  <si>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</si>
  <si>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</si>
  <si>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</si>
  <si>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</si>
  <si>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</si>
  <si>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</si>
  <si>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</si>
  <si>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</si>
  <si>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</si>
  <si>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</si>
  <si>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</si>
  <si>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</si>
  <si>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</si>
  <si>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</si>
  <si>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</si>
  <si>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</si>
  <si>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</si>
  <si>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</si>
  <si>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</si>
  <si>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</si>
  <si>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</si>
  <si>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</si>
  <si>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</si>
  <si>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</si>
  <si>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</si>
  <si>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</si>
  <si>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</si>
  <si>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</si>
  <si>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</si>
  <si>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</si>
  <si>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</si>
  <si>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</si>
  <si>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</si>
  <si>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</si>
  <si>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</si>
  <si>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</si>
  <si>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</si>
  <si>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</si>
  <si>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</si>
  <si>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</si>
  <si>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</si>
  <si>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</si>
  <si>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</si>
  <si>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</si>
  <si>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</si>
  <si>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</si>
  <si>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</si>
  <si>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</si>
  <si>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</si>
  <si>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</si>
  <si>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</si>
  <si>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</si>
  <si>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</si>
  <si>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</si>
  <si>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</si>
  <si>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</si>
  <si>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</si>
  <si>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</si>
  <si>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</si>
  <si>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</si>
  <si>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</si>
  <si>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</si>
  <si>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</si>
  <si>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</si>
  <si>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</si>
  <si>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</si>
  <si>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</si>
  <si>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</si>
  <si>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</si>
  <si>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</si>
  <si>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</si>
  <si>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</si>
  <si>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</si>
  <si>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</si>
  <si>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</si>
  <si>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</si>
  <si>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</si>
  <si>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</si>
  <si>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</si>
  <si>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</si>
  <si>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</si>
  <si>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</si>
  <si>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</si>
  <si>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</si>
  <si>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</si>
  <si>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</si>
  <si>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</si>
  <si>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</si>
  <si>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</si>
  <si>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</si>
  <si>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</si>
  <si>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</si>
  <si>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</si>
  <si>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</si>
  <si>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</si>
  <si>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</si>
  <si>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</si>
  <si>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</si>
  <si>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</si>
  <si>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</si>
  <si>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</si>
  <si>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</si>
  <si>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</si>
  <si>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</si>
  <si>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</si>
  <si>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</si>
  <si>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</si>
  <si>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</si>
  <si>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</si>
  <si>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</si>
  <si>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</si>
  <si>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</si>
  <si>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</si>
  <si>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</si>
  <si>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</si>
  <si>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</si>
  <si>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</si>
  <si>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</si>
  <si>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</si>
  <si>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</si>
  <si>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</si>
  <si>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</si>
  <si>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</si>
  <si>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</si>
  <si>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</si>
  <si>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</si>
  <si>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</si>
  <si>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</si>
  <si>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</si>
  <si>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</si>
  <si>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</si>
  <si>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</si>
  <si>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</si>
  <si>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</si>
  <si>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</si>
  <si>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</si>
  <si>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</si>
  <si>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</si>
  <si>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</si>
  <si>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</si>
  <si>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</si>
  <si>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</si>
  <si>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</si>
  <si>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</si>
  <si>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</si>
  <si>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</si>
  <si>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</si>
  <si>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</si>
  <si>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</si>
  <si>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</si>
  <si>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</si>
  <si>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</si>
  <si>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</si>
  <si>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</si>
  <si>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</si>
  <si>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</si>
  <si>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</si>
  <si>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</si>
  <si>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</si>
  <si>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</si>
  <si>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</si>
  <si>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</si>
  <si>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</si>
  <si>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</si>
  <si>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</si>
  <si>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</si>
  <si>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</si>
  <si>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</si>
  <si>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</si>
  <si>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</si>
  <si>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</si>
  <si>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</si>
  <si>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</si>
  <si>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</si>
  <si>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</si>
  <si>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</si>
  <si>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</si>
  <si>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</si>
  <si>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</si>
  <si>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</si>
  <si>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</si>
  <si>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</si>
  <si>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</si>
  <si>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</si>
  <si>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</si>
  <si>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</si>
  <si>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</si>
  <si>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</si>
  <si>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</si>
  <si>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</si>
  <si>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</si>
  <si>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</si>
  <si>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</si>
  <si>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</si>
  <si>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</si>
  <si>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</si>
  <si>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</si>
  <si>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</si>
  <si>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</si>
  <si>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</si>
  <si>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</si>
  <si>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</si>
  <si>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</si>
  <si>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</si>
  <si>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</si>
  <si>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</si>
  <si>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</si>
  <si>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</si>
  <si>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</si>
  <si>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</si>
  <si>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</si>
  <si>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</si>
  <si>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</si>
  <si>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</si>
  <si>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</si>
  <si>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</si>
  <si>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</si>
  <si>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</si>
  <si>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</si>
  <si>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</si>
  <si>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</si>
  <si>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</si>
  <si>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</si>
  <si>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</si>
  <si>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</si>
  <si>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</si>
  <si>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</si>
  <si>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</si>
  <si>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</si>
  <si>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</si>
  <si>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</si>
  <si>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</si>
  <si>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</si>
  <si>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</si>
  <si>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</si>
  <si>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</si>
  <si>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</si>
  <si>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</si>
  <si>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</si>
  <si>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</si>
  <si>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</si>
  <si>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</si>
  <si>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</si>
  <si>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</si>
  <si>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</si>
  <si>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</si>
  <si>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</si>
  <si>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</si>
  <si>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</si>
  <si>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</si>
  <si>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</si>
  <si>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</si>
  <si>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</si>
  <si>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</si>
  <si>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</si>
  <si>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</si>
  <si>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</si>
  <si>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</si>
  <si>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</si>
  <si>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</si>
  <si>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</si>
  <si>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</si>
  <si>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</si>
  <si>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</si>
  <si>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</si>
  <si>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</si>
  <si>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</si>
  <si>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</si>
  <si>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</si>
  <si>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</si>
  <si>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</si>
  <si>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</si>
  <si>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</si>
  <si>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</si>
  <si>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</si>
  <si>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</si>
  <si>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</si>
  <si>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</si>
  <si>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</si>
  <si>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</si>
  <si>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</si>
  <si>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</si>
  <si>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</si>
  <si>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</si>
  <si>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</si>
  <si>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</si>
  <si>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</si>
  <si>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</si>
  <si>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</si>
  <si>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</si>
  <si>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</si>
  <si>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</si>
  <si>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</si>
  <si>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</si>
  <si>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</si>
  <si>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</si>
  <si>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</si>
  <si>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</si>
  <si>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</si>
  <si>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</si>
  <si>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</si>
  <si>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</si>
  <si>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</si>
  <si>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</si>
  <si>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</si>
  <si>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</si>
  <si>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</si>
  <si>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</si>
  <si>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</si>
  <si>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</si>
  <si>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</si>
  <si>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</si>
  <si>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</si>
  <si>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</si>
  <si>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</si>
  <si>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</si>
  <si>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</si>
  <si>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</si>
  <si>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</si>
  <si>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</si>
  <si>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</si>
  <si>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</si>
  <si>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</si>
  <si>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</si>
  <si>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</si>
  <si>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</si>
  <si>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</si>
  <si>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</si>
  <si>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</si>
  <si>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</si>
  <si>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</si>
  <si>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</si>
  <si>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</si>
  <si>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</si>
  <si>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</si>
  <si>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</si>
  <si>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</si>
  <si>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</si>
  <si>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</si>
  <si>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</si>
  <si>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</si>
  <si>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</si>
  <si>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</si>
  <si>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</si>
  <si>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</si>
  <si>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</si>
  <si>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</si>
  <si>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</si>
  <si>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</si>
  <si>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</si>
  <si>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</si>
  <si>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</si>
  <si>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</si>
  <si>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</si>
  <si>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</si>
  <si>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</si>
  <si>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</si>
  <si>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</si>
  <si>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</si>
  <si>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</si>
  <si>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</si>
  <si>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</si>
  <si>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</si>
  <si>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</si>
  <si>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</si>
  <si>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</si>
  <si>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</si>
  <si>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</si>
  <si>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</si>
  <si>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</si>
  <si>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</si>
  <si>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</si>
  <si>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</si>
  <si>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</si>
  <si>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</si>
  <si>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</si>
  <si>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</si>
  <si>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</si>
  <si>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</si>
  <si>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</si>
  <si>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</si>
  <si>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</si>
  <si>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</si>
  <si>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</si>
  <si>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</si>
  <si>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</si>
  <si>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</si>
  <si>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</si>
  <si>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</si>
  <si>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</si>
  <si>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</si>
  <si>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</si>
  <si>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</si>
  <si>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</si>
  <si>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</si>
  <si>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</si>
  <si>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</si>
  <si>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</si>
  <si>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</si>
  <si>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</si>
  <si>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</si>
  <si>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</si>
  <si>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</si>
  <si>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</si>
  <si>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</si>
  <si>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</si>
  <si>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</si>
  <si>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</si>
  <si>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</si>
  <si>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</si>
  <si>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</si>
  <si>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</si>
  <si>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</si>
  <si>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</si>
  <si>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</si>
  <si>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</si>
  <si>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</si>
  <si>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</si>
  <si>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</si>
  <si>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</si>
  <si>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</si>
  <si>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</si>
  <si>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</si>
  <si>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</si>
  <si>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</si>
  <si>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</si>
  <si>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</si>
  <si>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</si>
  <si>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</si>
  <si>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</si>
  <si>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</si>
  <si>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</si>
  <si>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</si>
  <si>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</si>
  <si>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</si>
  <si>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</si>
  <si>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</si>
  <si>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</si>
  <si>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</si>
  <si>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</si>
  <si>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</si>
  <si>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</si>
  <si>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</si>
  <si>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</si>
  <si>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</si>
  <si>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</si>
  <si>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</si>
  <si>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</si>
  <si>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</si>
  <si>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</si>
  <si>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</si>
  <si>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</si>
  <si>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</si>
  <si>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</si>
  <si>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</si>
  <si>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</si>
  <si>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</si>
  <si>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</si>
  <si>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</si>
  <si>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</si>
  <si>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</si>
  <si>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</si>
  <si>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</si>
  <si>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</si>
  <si>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</si>
  <si>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</si>
  <si>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</si>
  <si>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</si>
  <si>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</si>
  <si>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</si>
  <si>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</si>
  <si>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</si>
  <si>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</si>
  <si>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</si>
  <si>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</si>
  <si>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</si>
  <si>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</si>
  <si>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</si>
  <si>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</si>
  <si>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</si>
  <si>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</si>
  <si>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</si>
  <si>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</si>
  <si>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</si>
  <si>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</si>
  <si>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</si>
  <si>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</si>
  <si>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</si>
  <si>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</si>
  <si>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</si>
  <si>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</si>
  <si>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</si>
  <si>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</si>
  <si>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</si>
  <si>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</si>
  <si>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</si>
  <si>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</si>
  <si>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</si>
  <si>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</si>
  <si>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</si>
  <si>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</si>
  <si>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</si>
  <si>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</si>
  <si>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5" type="noConversion"/>
  </si>
  <si>
    <t>开发期</t>
    <phoneticPr fontId="135" type="noConversion"/>
  </si>
  <si>
    <t>贷款利率</t>
    <phoneticPr fontId="5" type="noConversion"/>
  </si>
  <si>
    <t>贷款利率</t>
    <phoneticPr fontId="135" type="noConversion"/>
  </si>
  <si>
    <t>存款利率</t>
    <phoneticPr fontId="13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</si>
  <si>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</si>
  <si>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</si>
  <si>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</si>
  <si>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</si>
  <si>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</si>
  <si>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</si>
  <si>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</si>
  <si>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</si>
  <si>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</si>
  <si>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</si>
  <si>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</si>
  <si>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</si>
  <si>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</si>
  <si>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</si>
  <si>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</si>
  <si>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</si>
  <si>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</si>
  <si>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</si>
  <si>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</si>
  <si>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</si>
  <si>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</si>
  <si>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</si>
  <si>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</si>
  <si>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</si>
  <si>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</si>
  <si>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</si>
  <si>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</si>
  <si>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</si>
  <si>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</si>
  <si>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</si>
  <si>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</si>
  <si>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</si>
  <si>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</si>
  <si>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</si>
  <si>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</si>
  <si>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</si>
  <si>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</si>
  <si>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</si>
  <si>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</si>
  <si>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</si>
  <si>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</si>
  <si>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</si>
  <si>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</si>
  <si>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</si>
  <si>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</si>
  <si>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</si>
  <si>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</si>
  <si>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</si>
  <si>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</si>
  <si>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</si>
  <si>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</si>
  <si>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</si>
  <si>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</si>
  <si>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</si>
  <si>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</si>
  <si>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</si>
  <si>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</si>
  <si>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</si>
  <si>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</si>
  <si>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</si>
  <si>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</si>
  <si>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</si>
  <si>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</si>
  <si>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</si>
  <si>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</si>
  <si>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</si>
  <si>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</si>
  <si>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</si>
  <si>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</si>
  <si>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</si>
  <si>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</si>
  <si>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</si>
  <si>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</si>
  <si>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</si>
  <si>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</si>
  <si>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</si>
  <si>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</si>
  <si>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</si>
  <si>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</si>
  <si>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</si>
  <si>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</si>
  <si>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</si>
  <si>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</si>
  <si>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</si>
  <si>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</si>
  <si>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</si>
  <si>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</si>
  <si>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</si>
  <si>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</si>
  <si>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</si>
  <si>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</si>
  <si>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</si>
  <si>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</si>
  <si>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</si>
  <si>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</si>
  <si>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</si>
  <si>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</si>
  <si>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</si>
  <si>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</si>
  <si>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</si>
  <si>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</si>
  <si>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</si>
  <si>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</si>
  <si>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</si>
  <si>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</si>
  <si>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</si>
  <si>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</si>
  <si>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</si>
  <si>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</si>
  <si>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</si>
  <si>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</si>
  <si>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</si>
  <si>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</si>
  <si>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</si>
  <si>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</si>
  <si>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</si>
  <si>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</si>
  <si>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</si>
  <si>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</si>
  <si>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</si>
  <si>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</si>
  <si>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</si>
  <si>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</si>
  <si>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</si>
  <si>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</si>
  <si>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</si>
  <si>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</si>
  <si>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</si>
  <si>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</si>
  <si>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</si>
  <si>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</si>
  <si>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</si>
  <si>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</si>
  <si>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</si>
  <si>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</si>
  <si>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</si>
  <si>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</si>
  <si>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</si>
  <si>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</si>
  <si>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</si>
  <si>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</si>
  <si>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</si>
  <si>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</si>
  <si>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</si>
  <si>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</si>
  <si>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</si>
  <si>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</si>
  <si>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</si>
  <si>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</si>
  <si>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</si>
  <si>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</si>
  <si>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</si>
  <si>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</si>
  <si>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</si>
  <si>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</si>
  <si>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</si>
  <si>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</si>
  <si>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</si>
  <si>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</si>
  <si>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</si>
  <si>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</si>
  <si>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</si>
  <si>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</si>
  <si>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</si>
  <si>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</si>
  <si>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</si>
  <si>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</si>
  <si>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</si>
  <si>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</si>
  <si>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</si>
  <si>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</si>
  <si>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</si>
  <si>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</si>
  <si>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</si>
  <si>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</si>
  <si>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</si>
  <si>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</si>
  <si>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</si>
  <si>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</si>
  <si>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</si>
  <si>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</si>
  <si>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</si>
  <si>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</si>
  <si>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</si>
  <si>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</si>
  <si>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</si>
  <si>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</si>
  <si>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</si>
  <si>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</si>
  <si>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</si>
  <si>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</si>
  <si>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</si>
  <si>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</si>
  <si>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</si>
  <si>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</si>
  <si>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</si>
  <si>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</si>
  <si>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</si>
  <si>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</si>
  <si>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</si>
  <si>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</si>
  <si>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</si>
  <si>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</si>
  <si>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</si>
  <si>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</si>
  <si>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</si>
  <si>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</si>
  <si>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</si>
  <si>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</si>
  <si>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</si>
  <si>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</si>
  <si>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</si>
  <si>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</si>
  <si>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</si>
  <si>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</si>
  <si>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</si>
  <si>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</si>
  <si>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</si>
  <si>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</si>
  <si>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</si>
  <si>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</si>
  <si>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</si>
  <si>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</si>
  <si>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</si>
  <si>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</si>
  <si>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</si>
  <si>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</si>
  <si>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</si>
  <si>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</si>
  <si>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</si>
  <si>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</si>
  <si>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</si>
  <si>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</si>
  <si>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</si>
  <si>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</si>
  <si>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</si>
  <si>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</si>
  <si>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</si>
  <si>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</si>
  <si>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</si>
  <si>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</si>
  <si>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</si>
  <si>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</si>
  <si>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</si>
  <si>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</si>
  <si>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</si>
  <si>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</si>
  <si>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</si>
  <si>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</si>
  <si>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</si>
  <si>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</si>
  <si>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</si>
  <si>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</si>
  <si>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</si>
  <si>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</si>
  <si>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</si>
  <si>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</si>
  <si>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</si>
  <si>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</si>
  <si>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</si>
  <si>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</si>
  <si>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</si>
  <si>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</si>
  <si>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</si>
  <si>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</si>
  <si>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</si>
  <si>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</si>
  <si>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</si>
  <si>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</si>
  <si>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</si>
  <si>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</si>
  <si>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</si>
  <si>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</si>
  <si>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</si>
  <si>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</si>
  <si>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</si>
  <si>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</si>
  <si>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</si>
  <si>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</si>
  <si>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</si>
  <si>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</si>
  <si>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</si>
  <si>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</si>
  <si>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</si>
  <si>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</si>
  <si>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</si>
  <si>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</si>
  <si>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</si>
  <si>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</si>
  <si>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</si>
  <si>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</si>
  <si>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</si>
  <si>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</si>
  <si>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</si>
  <si>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</si>
  <si>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</si>
  <si>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</si>
  <si>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</si>
  <si>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</si>
  <si>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</si>
  <si>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</si>
  <si>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</si>
  <si>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</si>
  <si>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</si>
  <si>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</si>
  <si>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</si>
  <si>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</si>
  <si>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</si>
  <si>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</si>
  <si>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</si>
  <si>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</si>
  <si>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</si>
  <si>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</si>
  <si>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</si>
  <si>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</si>
  <si>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</si>
  <si>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</si>
  <si>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</si>
  <si>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</si>
  <si>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</si>
  <si>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</si>
  <si>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</si>
  <si>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</si>
  <si>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</si>
  <si>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</si>
  <si>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</si>
  <si>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</si>
  <si>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</si>
  <si>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</si>
  <si>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</si>
  <si>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</si>
  <si>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</si>
  <si>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</si>
  <si>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</si>
  <si>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</si>
  <si>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</si>
  <si>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</si>
  <si>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</si>
  <si>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</si>
  <si>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</si>
  <si>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</si>
  <si>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</si>
  <si>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</si>
  <si>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</si>
  <si>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</si>
  <si>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</si>
  <si>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</si>
  <si>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</si>
  <si>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</si>
  <si>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</si>
  <si>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</si>
  <si>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</si>
  <si>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</si>
  <si>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</si>
  <si>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</si>
  <si>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</si>
  <si>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</si>
  <si>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</si>
  <si>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</si>
  <si>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</si>
  <si>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</si>
  <si>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</si>
  <si>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</si>
  <si>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</si>
  <si>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</si>
  <si>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</si>
  <si>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</si>
  <si>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</si>
  <si>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</si>
  <si>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</si>
  <si>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</si>
  <si>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</si>
  <si>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</si>
  <si>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</si>
  <si>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</si>
  <si>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</si>
  <si>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</si>
  <si>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</si>
  <si>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</si>
  <si>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</si>
  <si>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</si>
  <si>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</si>
  <si>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</si>
  <si>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</si>
  <si>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</si>
  <si>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</si>
  <si>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</si>
  <si>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</si>
  <si>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</si>
  <si>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</si>
  <si>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</si>
  <si>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</si>
  <si>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</si>
  <si>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</si>
  <si>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</si>
  <si>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</si>
  <si>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</si>
  <si>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</si>
  <si>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</si>
  <si>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</si>
  <si>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</si>
  <si>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</si>
  <si>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</si>
  <si>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</si>
  <si>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</si>
  <si>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</si>
  <si>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</si>
  <si>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</si>
  <si>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</si>
  <si>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</si>
  <si>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</si>
  <si>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</si>
  <si>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</si>
  <si>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</si>
  <si>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</si>
  <si>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</si>
  <si>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</si>
  <si>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</si>
  <si>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</si>
  <si>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</si>
  <si>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</si>
  <si>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</si>
  <si>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</si>
  <si>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</si>
  <si>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</si>
  <si>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</si>
  <si>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</si>
  <si>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</si>
  <si>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</si>
  <si>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</si>
  <si>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</si>
  <si>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</si>
  <si>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</si>
  <si>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</si>
  <si>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</si>
  <si>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</si>
  <si>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</si>
  <si>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</si>
  <si>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</si>
  <si>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</si>
  <si>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</si>
  <si>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</si>
  <si>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</si>
  <si>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</si>
  <si>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</si>
  <si>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</si>
  <si>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</si>
  <si>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</si>
  <si>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</si>
  <si>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</si>
  <si>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</si>
  <si>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</si>
  <si>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</si>
  <si>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</si>
  <si>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</si>
  <si>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</si>
  <si>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</si>
  <si>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</si>
  <si>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</si>
  <si>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</si>
  <si>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</si>
  <si>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</si>
  <si>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</si>
  <si>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</si>
  <si>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</si>
  <si>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</si>
  <si>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</si>
  <si>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</si>
  <si>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</si>
  <si>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</si>
  <si>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</si>
  <si>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</si>
  <si>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</si>
  <si>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</si>
  <si>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</si>
  <si>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</si>
  <si>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</si>
  <si>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</si>
  <si>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</si>
  <si>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</si>
  <si>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</si>
  <si>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</si>
  <si>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</si>
  <si>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</si>
  <si>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</si>
  <si>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</si>
  <si>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</si>
  <si>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</si>
  <si>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</si>
  <si>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</si>
  <si>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</si>
  <si>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</si>
  <si>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</si>
  <si>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</si>
  <si>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</si>
  <si>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</si>
  <si>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</si>
  <si>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</si>
  <si>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</si>
  <si>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</si>
  <si>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</si>
  <si>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</si>
  <si>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</si>
  <si>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</si>
  <si>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</si>
  <si>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</si>
  <si>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</si>
  <si>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</si>
  <si>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</si>
  <si>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</si>
  <si>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</si>
  <si>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</si>
  <si>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</si>
  <si>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</si>
  <si>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</si>
  <si>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</si>
  <si>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</si>
  <si>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</si>
  <si>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</si>
  <si>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</si>
  <si>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</si>
  <si>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</si>
  <si>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</si>
  <si>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</si>
  <si>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</si>
  <si>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</si>
  <si>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</si>
  <si>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</si>
  <si>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</si>
  <si>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</si>
  <si>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</si>
  <si>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</si>
  <si>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</si>
  <si>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</si>
  <si>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</si>
  <si>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</si>
  <si>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</si>
  <si>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</si>
  <si>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</si>
  <si>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</si>
  <si>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</si>
  <si>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</si>
  <si>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</si>
  <si>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</si>
  <si>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</si>
  <si>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</si>
  <si>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</si>
  <si>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</si>
  <si>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</si>
  <si>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</si>
  <si>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</si>
  <si>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</si>
  <si>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</si>
  <si>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</si>
  <si>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</si>
  <si>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</si>
  <si>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</si>
  <si>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</si>
  <si>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</si>
  <si>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</si>
  <si>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</si>
  <si>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</si>
  <si>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</si>
  <si>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</si>
  <si>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</si>
  <si>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</si>
  <si>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</si>
  <si>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</si>
  <si>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</si>
  <si>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</si>
  <si>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</si>
  <si>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</si>
  <si>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</si>
  <si>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</si>
  <si>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</si>
  <si>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</si>
  <si>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</si>
  <si>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</si>
  <si>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</si>
  <si>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</si>
  <si>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</si>
  <si>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</si>
  <si>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</si>
  <si>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</si>
  <si>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</si>
  <si>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</si>
  <si>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</si>
  <si>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</si>
  <si>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</si>
  <si>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</si>
  <si>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</si>
  <si>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</si>
  <si>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</si>
  <si>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</si>
  <si>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</si>
  <si>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</si>
  <si>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</si>
  <si>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</si>
  <si>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</si>
  <si>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</si>
  <si>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</si>
  <si>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</si>
  <si>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</si>
  <si>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</si>
  <si>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</si>
  <si>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</si>
  <si>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</si>
  <si>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</si>
  <si>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</si>
  <si>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</si>
  <si>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</si>
  <si>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</si>
  <si>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</si>
  <si>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</si>
  <si>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</si>
  <si>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</si>
  <si>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</si>
  <si>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</si>
  <si>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</si>
  <si>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</si>
  <si>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</si>
  <si>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</si>
  <si>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</si>
  <si>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</si>
  <si>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</si>
  <si>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</si>
  <si>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</si>
  <si>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</si>
  <si>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</si>
  <si>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</si>
  <si>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</si>
  <si>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</si>
  <si>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</si>
  <si>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</si>
  <si>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</si>
  <si>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</si>
  <si>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</si>
  <si>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</si>
  <si>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</si>
  <si>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</si>
  <si>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</si>
  <si>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</si>
  <si>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</si>
  <si>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</si>
  <si>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</si>
  <si>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</si>
  <si>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</si>
  <si>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</si>
  <si>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</si>
  <si>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</si>
  <si>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</si>
  <si>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</si>
  <si>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</si>
  <si>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</si>
  <si>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</si>
  <si>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</si>
  <si>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</si>
  <si>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</si>
  <si>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</si>
  <si>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</si>
  <si>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</si>
  <si>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</si>
  <si>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</si>
  <si>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</si>
  <si>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</si>
  <si>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</si>
  <si>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</si>
  <si>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</si>
  <si>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</si>
  <si>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</si>
  <si>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</si>
  <si>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</si>
  <si>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</si>
  <si>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</si>
  <si>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</si>
  <si>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</si>
  <si>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</si>
  <si>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</si>
  <si>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</si>
  <si>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</si>
  <si>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</si>
  <si>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</si>
  <si>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</si>
  <si>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</si>
  <si>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</si>
  <si>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</si>
  <si>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</si>
  <si>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</si>
  <si>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</si>
  <si>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</si>
  <si>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</si>
  <si>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</si>
  <si>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</si>
  <si>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</si>
  <si>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</si>
  <si>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</si>
  <si>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</si>
  <si>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</si>
  <si>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</si>
  <si>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</si>
  <si>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</si>
  <si>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</si>
  <si>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</si>
  <si>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</si>
  <si>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</si>
  <si>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</si>
  <si>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</si>
  <si>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</si>
  <si>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</si>
  <si>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</si>
  <si>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</si>
  <si>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</si>
  <si>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</si>
  <si>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</si>
  <si>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</si>
  <si>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</si>
  <si>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</si>
  <si>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</si>
  <si>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</si>
  <si>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</si>
  <si>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</si>
  <si>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</si>
  <si>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</si>
  <si>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</si>
  <si>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</si>
  <si>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</si>
  <si>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</si>
  <si>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</si>
  <si>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</si>
  <si>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</si>
  <si>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</si>
  <si>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</si>
  <si>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</si>
  <si>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</si>
  <si>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</si>
  <si>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sz val="10"/>
        <color indexed="8"/>
        <rFont val="宋体"/>
        <family val="3"/>
        <charset val="134"/>
      </rPr>
      <t>个体工商户购买的住宅</t>
    </r>
    <phoneticPr fontId="10" type="noConversion"/>
  </si>
  <si>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</si>
  <si>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</si>
  <si>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</si>
  <si>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</si>
  <si>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</si>
  <si>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</si>
  <si>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</si>
  <si>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</si>
  <si>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</si>
  <si>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</si>
  <si>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</si>
  <si>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</si>
  <si>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</si>
  <si>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t>4.</t>
    </r>
    <r>
      <rPr>
        <sz val="10"/>
        <color indexed="8"/>
        <rFont val="宋体"/>
        <family val="3"/>
        <charset val="134"/>
      </rPr>
      <t>个人所得税</t>
    </r>
    <phoneticPr fontId="10" type="noConversion"/>
  </si>
  <si>
    <r>
      <rPr>
        <b/>
        <sz val="10"/>
        <color indexed="8"/>
        <rFont val="宋体"/>
        <family val="3"/>
        <charset val="134"/>
      </rPr>
      <t>销售不动产增值税及附加计算</t>
    </r>
    <phoneticPr fontId="35"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</si>
  <si>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</si>
  <si>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</si>
  <si>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</si>
  <si>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</si>
  <si>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</si>
  <si>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</si>
  <si>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</si>
  <si>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</si>
  <si>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</si>
  <si>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</si>
  <si>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</si>
  <si>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</si>
  <si>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</si>
  <si>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</si>
  <si>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</si>
  <si>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</si>
  <si>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</si>
  <si>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</si>
  <si>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</si>
  <si>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</si>
  <si>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</si>
  <si>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</si>
  <si>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</si>
  <si>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</si>
  <si>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</si>
  <si>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</si>
  <si>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</si>
  <si>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</si>
  <si>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</si>
  <si>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</si>
  <si>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</si>
  <si>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</si>
  <si>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</si>
  <si>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</si>
  <si>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</si>
  <si>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</si>
  <si>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</si>
  <si>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</si>
  <si>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</si>
  <si>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</si>
  <si>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</si>
  <si>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</si>
  <si>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</si>
  <si>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</si>
  <si>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</si>
  <si>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</si>
  <si>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</si>
  <si>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</si>
  <si>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</si>
  <si>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</si>
  <si>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</si>
  <si>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</si>
  <si>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</si>
  <si>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</si>
  <si>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</si>
  <si>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</si>
  <si>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</si>
  <si>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</si>
  <si>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</si>
  <si>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</si>
  <si>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</si>
  <si>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</si>
  <si>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</si>
  <si>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</si>
  <si>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</si>
  <si>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</si>
  <si>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</si>
  <si>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</si>
  <si>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</si>
  <si>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</si>
  <si>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</si>
  <si>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</si>
  <si>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</si>
  <si>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</si>
  <si>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</si>
  <si>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</si>
  <si>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</si>
  <si>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</si>
  <si>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</si>
  <si>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</si>
  <si>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</si>
  <si>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</si>
  <si>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</si>
  <si>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</si>
  <si>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</si>
  <si>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</si>
  <si>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</si>
  <si>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</si>
  <si>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</si>
  <si>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</si>
  <si>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</si>
  <si>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</si>
  <si>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</si>
  <si>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</si>
  <si>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</si>
  <si>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</si>
  <si>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</si>
  <si>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</si>
  <si>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</si>
  <si>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</si>
  <si>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</si>
  <si>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</si>
  <si>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</si>
  <si>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</si>
  <si>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</si>
  <si>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</si>
  <si>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</si>
  <si>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</si>
  <si>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</si>
  <si>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</si>
  <si>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</si>
  <si>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</si>
  <si>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</si>
  <si>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</si>
  <si>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</si>
  <si>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</si>
  <si>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</si>
  <si>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</si>
  <si>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</si>
  <si>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</si>
  <si>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</si>
  <si>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</si>
  <si>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</si>
  <si>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</si>
  <si>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</si>
  <si>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</si>
  <si>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</si>
  <si>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</si>
  <si>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</si>
  <si>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</si>
  <si>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</si>
  <si>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</si>
  <si>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</si>
  <si>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</si>
  <si>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</si>
  <si>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</si>
  <si>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</si>
  <si>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</si>
  <si>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</si>
  <si>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</si>
  <si>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</si>
  <si>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</si>
  <si>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</si>
  <si>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</si>
  <si>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</si>
  <si>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</si>
  <si>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</si>
  <si>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</si>
  <si>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</si>
  <si>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</si>
  <si>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</si>
  <si>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</si>
  <si>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</si>
  <si>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</si>
  <si>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</si>
  <si>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</si>
  <si>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</si>
  <si>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</si>
  <si>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</si>
  <si>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</si>
  <si>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</si>
  <si>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</si>
  <si>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</si>
  <si>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</si>
  <si>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</si>
  <si>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</si>
  <si>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</si>
  <si>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</si>
  <si>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</si>
  <si>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</si>
  <si>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</si>
  <si>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</si>
  <si>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</si>
  <si>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</si>
  <si>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</si>
  <si>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</si>
  <si>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</si>
  <si>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</si>
  <si>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</si>
  <si>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</si>
  <si>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</si>
  <si>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</si>
  <si>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</si>
  <si>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</si>
  <si>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</si>
  <si>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</si>
  <si>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</si>
  <si>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</si>
  <si>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</si>
  <si>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</si>
  <si>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</si>
  <si>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</si>
  <si>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</si>
  <si>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</si>
  <si>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</si>
  <si>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</si>
  <si>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</si>
  <si>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</si>
  <si>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</si>
  <si>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</si>
  <si>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</si>
  <si>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</si>
  <si>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</si>
  <si>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</si>
  <si>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</si>
  <si>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</si>
  <si>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</si>
  <si>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</si>
  <si>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</si>
  <si>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</si>
  <si>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</si>
  <si>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</si>
  <si>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</si>
  <si>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</si>
  <si>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</si>
  <si>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</si>
  <si>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</si>
  <si>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</si>
  <si>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</si>
  <si>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</si>
  <si>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</si>
  <si>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</si>
  <si>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</si>
  <si>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</si>
  <si>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</si>
  <si>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</si>
  <si>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</si>
  <si>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</si>
  <si>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</si>
  <si>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</si>
  <si>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</si>
  <si>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</si>
  <si>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</si>
  <si>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</si>
  <si>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</si>
  <si>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</si>
  <si>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</si>
  <si>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</si>
  <si>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</si>
  <si>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</si>
  <si>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</si>
  <si>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</si>
  <si>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</si>
  <si>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</si>
  <si>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</si>
  <si>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</si>
  <si>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</si>
  <si>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</si>
  <si>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</si>
  <si>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</si>
  <si>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</si>
  <si>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</si>
  <si>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</si>
  <si>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</si>
  <si>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</si>
  <si>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</si>
  <si>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</si>
  <si>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</si>
  <si>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</si>
  <si>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</si>
  <si>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</si>
  <si>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</si>
  <si>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</si>
  <si>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</si>
  <si>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</si>
  <si>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</si>
  <si>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</si>
  <si>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</si>
  <si>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</si>
  <si>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</si>
  <si>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</si>
  <si>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</si>
  <si>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</si>
  <si>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</si>
  <si>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</si>
  <si>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</si>
  <si>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</si>
  <si>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</si>
  <si>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</si>
  <si>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</si>
  <si>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</si>
  <si>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</si>
  <si>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</si>
  <si>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</si>
  <si>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</si>
  <si>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</si>
  <si>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</si>
  <si>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</si>
  <si>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</si>
  <si>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</si>
  <si>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</si>
  <si>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</si>
  <si>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</si>
  <si>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</si>
  <si>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</si>
  <si>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</si>
  <si>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</si>
  <si>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</si>
  <si>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</si>
  <si>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</si>
  <si>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</si>
  <si>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</si>
  <si>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</si>
  <si>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</si>
  <si>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</si>
  <si>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</si>
  <si>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</si>
  <si>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</si>
  <si>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</si>
  <si>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</si>
  <si>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</si>
  <si>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</si>
  <si>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</si>
  <si>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</si>
  <si>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</si>
  <si>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</si>
  <si>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</si>
  <si>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</si>
  <si>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</si>
  <si>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</si>
  <si>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</si>
  <si>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</si>
  <si>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</si>
  <si>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</si>
  <si>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</si>
  <si>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</si>
  <si>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</si>
  <si>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</si>
  <si>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</si>
  <si>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</si>
  <si>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</si>
  <si>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</si>
  <si>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</si>
  <si>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</si>
  <si>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</si>
  <si>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</si>
  <si>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</si>
  <si>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</si>
  <si>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</si>
  <si>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</si>
  <si>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</si>
  <si>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</si>
  <si>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</si>
  <si>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</si>
  <si>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</si>
  <si>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</si>
  <si>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</si>
  <si>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</si>
  <si>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</si>
  <si>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</si>
  <si>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</si>
  <si>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</si>
  <si>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</si>
  <si>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</si>
  <si>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</si>
  <si>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</si>
  <si>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</si>
  <si>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</si>
  <si>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</si>
  <si>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</si>
  <si>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</si>
  <si>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</si>
  <si>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</si>
  <si>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</si>
  <si>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</si>
  <si>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</si>
  <si>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</si>
  <si>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</si>
  <si>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</si>
  <si>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</si>
  <si>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</si>
  <si>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</si>
  <si>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</si>
  <si>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</si>
  <si>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</si>
  <si>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</si>
  <si>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</si>
  <si>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</si>
  <si>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</si>
  <si>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</si>
  <si>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</si>
  <si>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</si>
  <si>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</si>
  <si>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</si>
  <si>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</si>
  <si>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</si>
  <si>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</si>
  <si>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</si>
  <si>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</si>
  <si>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</si>
  <si>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</si>
  <si>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</si>
  <si>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</si>
  <si>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</si>
  <si>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</si>
  <si>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</si>
  <si>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</si>
  <si>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</si>
  <si>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</si>
  <si>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</si>
  <si>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</si>
  <si>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</si>
  <si>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</si>
  <si>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</si>
  <si>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</si>
  <si>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</si>
  <si>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</si>
  <si>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</si>
  <si>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</si>
  <si>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</si>
  <si>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</si>
  <si>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</si>
  <si>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</si>
  <si>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</si>
  <si>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</si>
  <si>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</si>
  <si>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</si>
  <si>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</si>
  <si>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</si>
  <si>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</si>
  <si>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</si>
  <si>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</si>
  <si>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</si>
  <si>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</si>
  <si>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</si>
  <si>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</si>
  <si>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</si>
  <si>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</si>
  <si>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</si>
  <si>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</si>
  <si>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</si>
  <si>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</si>
  <si>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</si>
  <si>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</si>
  <si>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</si>
  <si>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</si>
  <si>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</si>
  <si>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</si>
  <si>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</si>
  <si>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</si>
  <si>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</si>
  <si>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</si>
  <si>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</si>
  <si>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</si>
  <si>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</si>
  <si>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</si>
  <si>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</si>
  <si>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</si>
  <si>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</si>
  <si>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</si>
  <si>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</si>
  <si>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</si>
  <si>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</si>
  <si>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</si>
  <si>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</si>
  <si>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</si>
  <si>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</si>
  <si>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</si>
  <si>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</si>
  <si>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</si>
  <si>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</si>
  <si>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</si>
  <si>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</si>
  <si>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</si>
  <si>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</si>
  <si>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</si>
  <si>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</si>
  <si>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</si>
  <si>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</si>
  <si>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</si>
  <si>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</si>
  <si>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</si>
  <si>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</si>
  <si>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</si>
  <si>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</si>
  <si>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</si>
  <si>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</si>
  <si>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</si>
  <si>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</si>
  <si>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</si>
  <si>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</si>
  <si>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</si>
  <si>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</si>
  <si>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</si>
  <si>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</si>
  <si>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</si>
  <si>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</si>
  <si>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</si>
  <si>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</si>
  <si>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</si>
  <si>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</si>
  <si>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</si>
  <si>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</si>
  <si>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</si>
  <si>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</si>
  <si>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</si>
  <si>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</si>
  <si>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</si>
  <si>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</si>
  <si>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</si>
  <si>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</si>
  <si>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</si>
  <si>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</si>
  <si>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</si>
  <si>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</si>
  <si>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</si>
  <si>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</si>
  <si>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</si>
  <si>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</si>
  <si>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</si>
  <si>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</si>
  <si>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</si>
  <si>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</si>
  <si>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</si>
  <si>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</si>
  <si>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</si>
  <si>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</si>
  <si>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</si>
  <si>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</si>
  <si>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</si>
  <si>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</si>
  <si>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</si>
  <si>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</si>
  <si>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</si>
  <si>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</si>
  <si>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</si>
  <si>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</si>
  <si>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</si>
  <si>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</si>
  <si>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</si>
  <si>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</si>
  <si>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</si>
  <si>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</si>
  <si>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</si>
  <si>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</si>
  <si>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</si>
  <si>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</si>
  <si>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</si>
  <si>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</si>
  <si>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</si>
  <si>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</si>
  <si>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</si>
  <si>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</si>
  <si>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</si>
  <si>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</si>
  <si>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</si>
  <si>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</si>
  <si>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</si>
  <si>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</si>
  <si>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</si>
  <si>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</si>
  <si>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</si>
  <si>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</si>
  <si>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</si>
  <si>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</si>
  <si>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</si>
  <si>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</si>
  <si>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</si>
  <si>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</si>
  <si>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</si>
  <si>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</si>
  <si>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</si>
  <si>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</si>
  <si>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</si>
  <si>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</si>
  <si>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</si>
  <si>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</si>
  <si>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</si>
  <si>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</si>
  <si>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</si>
  <si>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</si>
  <si>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</si>
  <si>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</si>
  <si>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</si>
  <si>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</si>
  <si>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</si>
  <si>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</si>
  <si>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</si>
  <si>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</si>
  <si>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</si>
  <si>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</si>
  <si>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</si>
  <si>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</si>
  <si>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</si>
  <si>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</si>
  <si>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</si>
  <si>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</si>
  <si>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</si>
  <si>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</si>
  <si>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</si>
  <si>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</si>
  <si>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</si>
  <si>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</si>
  <si>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</si>
  <si>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</si>
  <si>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</si>
  <si>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</si>
  <si>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</si>
  <si>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</si>
  <si>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</si>
  <si>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</si>
  <si>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</si>
  <si>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</si>
  <si>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</si>
  <si>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</si>
  <si>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</si>
  <si>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</si>
  <si>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</si>
  <si>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</si>
  <si>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</si>
  <si>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</si>
  <si>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</si>
  <si>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</si>
  <si>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</si>
  <si>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</si>
  <si>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</si>
  <si>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</si>
  <si>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</si>
  <si>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</si>
  <si>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</si>
  <si>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</si>
  <si>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</si>
  <si>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</si>
  <si>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</si>
  <si>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</si>
  <si>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</si>
  <si>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</si>
  <si>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</si>
  <si>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</si>
  <si>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</si>
  <si>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</si>
  <si>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</si>
  <si>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</si>
  <si>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</si>
  <si>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</si>
  <si>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</si>
  <si>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</si>
  <si>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</si>
  <si>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</si>
  <si>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</si>
  <si>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</si>
  <si>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</si>
  <si>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</si>
  <si>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</si>
  <si>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</si>
  <si>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</si>
  <si>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</si>
  <si>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</si>
  <si>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</si>
  <si>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</si>
  <si>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</si>
  <si>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</si>
  <si>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</si>
  <si>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</si>
  <si>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</si>
  <si>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</si>
  <si>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</si>
  <si>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</si>
  <si>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</si>
  <si>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</si>
  <si>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</si>
  <si>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</si>
  <si>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</si>
  <si>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</si>
  <si>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</si>
  <si>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</si>
  <si>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</si>
  <si>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</si>
  <si>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</si>
  <si>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</si>
  <si>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</si>
  <si>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</si>
  <si>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</si>
  <si>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</si>
  <si>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</si>
  <si>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</si>
  <si>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</si>
  <si>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</si>
  <si>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</si>
  <si>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</si>
  <si>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</si>
  <si>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</si>
  <si>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</si>
  <si>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</si>
  <si>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</si>
  <si>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</si>
  <si>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</si>
  <si>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</si>
  <si>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</si>
  <si>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</si>
  <si>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</si>
  <si>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</si>
  <si>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</si>
  <si>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</si>
  <si>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</si>
  <si>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</si>
  <si>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</si>
  <si>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</si>
  <si>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</si>
  <si>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</si>
  <si>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</si>
  <si>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</si>
  <si>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</si>
  <si>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</si>
  <si>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</si>
  <si>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</si>
  <si>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</si>
  <si>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</si>
  <si>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</si>
  <si>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</si>
  <si>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</si>
  <si>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</si>
  <si>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</si>
  <si>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</si>
  <si>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</si>
  <si>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</si>
  <si>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</si>
  <si>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</si>
  <si>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</si>
  <si>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</si>
  <si>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</si>
  <si>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</si>
  <si>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</si>
  <si>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</si>
  <si>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</si>
  <si>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</si>
  <si>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</si>
  <si>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</si>
  <si>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</si>
  <si>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</si>
  <si>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</si>
  <si>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</si>
  <si>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</si>
  <si>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</si>
  <si>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</si>
  <si>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</si>
  <si>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</si>
  <si>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</si>
  <si>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</si>
  <si>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</si>
  <si>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</si>
  <si>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</si>
  <si>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</si>
  <si>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</si>
  <si>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</si>
  <si>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</si>
  <si>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</si>
  <si>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</si>
  <si>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</si>
  <si>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</si>
  <si>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</si>
  <si>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</si>
  <si>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</si>
  <si>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</si>
  <si>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</si>
  <si>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</si>
  <si>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</si>
  <si>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</si>
  <si>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</si>
  <si>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</si>
  <si>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</si>
  <si>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</si>
  <si>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</si>
  <si>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</si>
  <si>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</si>
  <si>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</si>
  <si>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</si>
  <si>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</si>
  <si>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</si>
  <si>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</si>
  <si>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</si>
  <si>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</si>
  <si>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</si>
  <si>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</si>
  <si>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</si>
  <si>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</si>
  <si>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</si>
  <si>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</si>
  <si>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</si>
  <si>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</si>
  <si>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</si>
  <si>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</si>
  <si>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</si>
  <si>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</si>
  <si>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</si>
  <si>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</si>
  <si>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</si>
  <si>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</si>
  <si>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</si>
  <si>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</si>
  <si>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</si>
  <si>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</si>
  <si>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</si>
  <si>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</si>
  <si>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</si>
  <si>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</si>
  <si>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</si>
  <si>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</si>
  <si>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</si>
  <si>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</si>
  <si>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</si>
  <si>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</si>
  <si>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</si>
  <si>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</si>
  <si>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</si>
  <si>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</si>
  <si>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</si>
  <si>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</si>
  <si>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</si>
  <si>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</si>
  <si>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</si>
  <si>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</si>
  <si>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</si>
  <si>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</si>
  <si>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</si>
  <si>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</si>
  <si>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</si>
  <si>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</si>
  <si>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</si>
  <si>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</si>
  <si>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</si>
  <si>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</si>
  <si>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</si>
  <si>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</si>
  <si>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</si>
  <si>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</si>
  <si>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</si>
  <si>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</si>
  <si>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</si>
  <si>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</si>
  <si>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</si>
  <si>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</si>
  <si>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</si>
  <si>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</si>
  <si>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</si>
  <si>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</si>
  <si>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</si>
  <si>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</si>
  <si>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</si>
  <si>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</si>
  <si>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</si>
  <si>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</si>
  <si>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</si>
  <si>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</si>
  <si>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</si>
  <si>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</si>
  <si>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</si>
  <si>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</si>
  <si>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</si>
  <si>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</si>
  <si>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</si>
  <si>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</si>
  <si>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</si>
  <si>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</si>
  <si>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</si>
  <si>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</si>
  <si>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</si>
  <si>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</si>
  <si>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</si>
  <si>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</si>
  <si>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</si>
  <si>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</si>
  <si>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</si>
  <si>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</si>
  <si>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</si>
  <si>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</si>
  <si>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</si>
  <si>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</si>
  <si>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</si>
  <si>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</si>
  <si>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</si>
  <si>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</si>
  <si>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</si>
  <si>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</si>
  <si>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</si>
  <si>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</si>
  <si>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</si>
  <si>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</si>
  <si>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</si>
  <si>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</si>
  <si>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</si>
  <si>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</si>
  <si>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</si>
  <si>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</si>
  <si>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</si>
  <si>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</si>
  <si>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</si>
  <si>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</si>
  <si>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</si>
  <si>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</si>
  <si>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</si>
  <si>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</si>
  <si>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</si>
  <si>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</si>
  <si>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</si>
  <si>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</si>
  <si>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</si>
  <si>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</si>
  <si>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</si>
  <si>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</si>
  <si>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</si>
  <si>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</si>
  <si>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</si>
  <si>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</si>
  <si>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</si>
  <si>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</si>
  <si>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</si>
  <si>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</si>
  <si>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</si>
  <si>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</si>
  <si>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</si>
  <si>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</si>
  <si>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</si>
  <si>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</si>
  <si>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</si>
  <si>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</si>
  <si>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</si>
  <si>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</si>
  <si>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</si>
  <si>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</si>
  <si>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</si>
  <si>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</si>
  <si>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</si>
  <si>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</si>
  <si>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</si>
  <si>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</si>
  <si>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</si>
  <si>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</si>
  <si>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</si>
  <si>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</si>
  <si>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</si>
  <si>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</si>
  <si>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</si>
  <si>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</si>
  <si>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</si>
  <si>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</si>
  <si>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</si>
  <si>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</si>
  <si>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</si>
  <si>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</si>
  <si>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</si>
  <si>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</si>
  <si>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</si>
  <si>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</si>
  <si>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</si>
  <si>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</si>
  <si>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</si>
  <si>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</si>
  <si>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</si>
  <si>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</si>
  <si>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</si>
  <si>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</si>
  <si>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</si>
  <si>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</si>
  <si>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</si>
  <si>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</si>
  <si>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</si>
  <si>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</si>
  <si>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</si>
  <si>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</si>
  <si>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</si>
  <si>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</si>
  <si>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</si>
  <si>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</si>
  <si>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</si>
  <si>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</si>
  <si>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</si>
  <si>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</si>
  <si>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</si>
  <si>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</si>
  <si>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</si>
  <si>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</si>
  <si>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</si>
  <si>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</si>
  <si>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</si>
  <si>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</si>
  <si>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</si>
  <si>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</si>
  <si>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</si>
  <si>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</si>
  <si>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</si>
  <si>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</si>
  <si>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</si>
  <si>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</si>
  <si>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</si>
  <si>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</si>
  <si>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</si>
  <si>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</si>
  <si>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</si>
  <si>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</si>
  <si>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</si>
  <si>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</si>
  <si>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</si>
  <si>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</si>
  <si>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</si>
  <si>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</si>
  <si>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</si>
  <si>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</si>
  <si>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</si>
  <si>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</si>
  <si>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</si>
  <si>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</si>
  <si>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</si>
  <si>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</si>
  <si>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</si>
  <si>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</si>
  <si>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</si>
  <si>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</si>
  <si>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</si>
  <si>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</si>
  <si>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</si>
  <si>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</si>
  <si>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</si>
  <si>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</si>
  <si>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</si>
  <si>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</si>
  <si>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</si>
  <si>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</si>
  <si>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</si>
  <si>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</si>
  <si>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</si>
  <si>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</si>
  <si>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</si>
  <si>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</si>
  <si>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</si>
  <si>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</si>
  <si>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</si>
  <si>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</si>
  <si>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</si>
  <si>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</si>
  <si>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</si>
  <si>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</si>
  <si>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</si>
  <si>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</si>
  <si>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</si>
  <si>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</si>
  <si>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</si>
  <si>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</si>
  <si>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</si>
  <si>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</si>
  <si>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</si>
  <si>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</si>
  <si>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</si>
  <si>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</si>
  <si>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</si>
  <si>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</si>
  <si>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</si>
  <si>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</si>
  <si>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</si>
  <si>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</si>
  <si>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</si>
  <si>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</si>
  <si>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</si>
  <si>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</si>
  <si>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</si>
  <si>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</si>
  <si>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</si>
  <si>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</si>
  <si>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</si>
  <si>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</si>
  <si>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</si>
  <si>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</si>
  <si>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</si>
  <si>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</si>
  <si>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</si>
  <si>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</si>
  <si>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</si>
  <si>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</si>
  <si>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</si>
  <si>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</si>
  <si>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</si>
  <si>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</si>
  <si>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</si>
  <si>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</si>
  <si>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</si>
  <si>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</si>
  <si>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</si>
  <si>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</si>
  <si>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</si>
  <si>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</si>
  <si>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</si>
  <si>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</si>
  <si>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</si>
  <si>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</si>
  <si>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</si>
  <si>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</si>
  <si>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</si>
  <si>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</si>
  <si>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</si>
  <si>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</si>
  <si>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</si>
  <si>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</si>
  <si>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</si>
  <si>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</si>
  <si>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</si>
  <si>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</si>
  <si>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</si>
  <si>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</si>
  <si>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</si>
  <si>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</si>
  <si>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</si>
  <si>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</si>
  <si>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</si>
  <si>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</si>
  <si>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</si>
  <si>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</si>
  <si>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</si>
  <si>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</si>
  <si>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</si>
  <si>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</si>
  <si>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</si>
  <si>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</si>
  <si>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</si>
  <si>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</si>
  <si>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</si>
  <si>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</si>
  <si>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</si>
  <si>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</si>
  <si>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</si>
  <si>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</si>
  <si>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</si>
  <si>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</si>
  <si>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</si>
  <si>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</si>
  <si>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</si>
  <si>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</si>
  <si>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</si>
  <si>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</si>
  <si>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</si>
  <si>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</si>
  <si>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</si>
  <si>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</si>
  <si>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</si>
  <si>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</si>
  <si>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</si>
  <si>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</si>
  <si>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</si>
  <si>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</si>
  <si>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</si>
  <si>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</si>
  <si>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</si>
  <si>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</si>
  <si>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</si>
  <si>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</si>
  <si>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</si>
  <si>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</si>
  <si>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</si>
  <si>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</si>
  <si>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</si>
  <si>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</si>
  <si>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</si>
  <si>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</si>
  <si>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</si>
  <si>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</si>
  <si>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</si>
  <si>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</si>
  <si>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</si>
  <si>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</si>
  <si>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</si>
  <si>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</si>
  <si>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</si>
  <si>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</si>
  <si>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</si>
  <si>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</si>
  <si>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</si>
  <si>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</si>
  <si>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</si>
  <si>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</si>
  <si>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</si>
  <si>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</si>
  <si>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</si>
  <si>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</si>
  <si>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</si>
  <si>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</si>
  <si>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</si>
  <si>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</si>
  <si>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</si>
  <si>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</si>
  <si>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</si>
  <si>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</si>
  <si>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</si>
  <si>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</si>
  <si>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</si>
  <si>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</si>
  <si>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</si>
  <si>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</si>
  <si>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</si>
  <si>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</si>
  <si>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</si>
  <si>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</si>
  <si>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</si>
  <si>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</si>
  <si>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</si>
  <si>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</si>
  <si>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</si>
  <si>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</si>
  <si>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</si>
  <si>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</si>
  <si>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</si>
  <si>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</si>
  <si>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</si>
  <si>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</si>
  <si>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</si>
  <si>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</si>
  <si>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</si>
  <si>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</si>
  <si>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</si>
  <si>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</si>
  <si>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</si>
  <si>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</si>
  <si>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</si>
  <si>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</si>
  <si>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</si>
  <si>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</si>
  <si>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</si>
  <si>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</si>
  <si>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</si>
  <si>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</si>
  <si>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</si>
  <si>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</si>
  <si>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</si>
  <si>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</si>
  <si>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</si>
  <si>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</si>
  <si>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</si>
  <si>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</si>
  <si>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</si>
  <si>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</si>
  <si>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</si>
  <si>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</si>
  <si>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</si>
  <si>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</si>
  <si>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</si>
  <si>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</si>
  <si>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</si>
  <si>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</si>
  <si>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</si>
  <si>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</si>
  <si>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</si>
  <si>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</si>
  <si>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</si>
  <si>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</si>
  <si>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</si>
  <si>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</si>
  <si>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</si>
  <si>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</si>
  <si>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</si>
  <si>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</si>
  <si>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</si>
  <si>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</si>
  <si>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</si>
  <si>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</si>
  <si>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</si>
  <si>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</si>
  <si>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</si>
  <si>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</si>
  <si>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</si>
  <si>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</si>
  <si>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</si>
  <si>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</si>
  <si>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</si>
  <si>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</si>
  <si>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</si>
  <si>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</si>
  <si>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</si>
  <si>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</si>
  <si>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</si>
  <si>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</si>
  <si>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</si>
  <si>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</si>
  <si>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</si>
  <si>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</si>
  <si>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</si>
  <si>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</si>
  <si>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</si>
  <si>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</si>
  <si>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</si>
  <si>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</si>
  <si>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</si>
  <si>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</si>
  <si>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</si>
  <si>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</si>
  <si>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</si>
  <si>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</si>
  <si>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</si>
  <si>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</si>
  <si>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</si>
  <si>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</si>
  <si>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</si>
  <si>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</si>
  <si>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</si>
  <si>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</si>
  <si>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</si>
  <si>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</si>
  <si>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</si>
  <si>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</si>
  <si>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</si>
  <si>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</si>
  <si>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</si>
  <si>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</si>
  <si>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</si>
  <si>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</si>
  <si>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</si>
  <si>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</si>
  <si>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</si>
  <si>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</si>
  <si>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</si>
  <si>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</si>
  <si>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</si>
  <si>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</si>
  <si>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</si>
  <si>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</si>
  <si>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</si>
  <si>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</si>
  <si>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</si>
  <si>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</si>
  <si>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</si>
  <si>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</si>
  <si>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</si>
  <si>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</si>
  <si>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</si>
  <si>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</si>
  <si>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</si>
  <si>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</si>
  <si>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</si>
  <si>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</si>
  <si>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</si>
  <si>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</si>
  <si>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</si>
  <si>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</si>
  <si>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</si>
  <si>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</si>
  <si>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</si>
  <si>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</si>
  <si>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</si>
  <si>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</si>
  <si>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</si>
  <si>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</si>
  <si>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</si>
  <si>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</si>
  <si>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</si>
  <si>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</si>
  <si>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</si>
  <si>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</si>
  <si>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</si>
  <si>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</si>
  <si>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</si>
  <si>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</si>
  <si>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</si>
  <si>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</si>
  <si>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</si>
  <si>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</si>
  <si>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</si>
  <si>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</si>
  <si>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</si>
  <si>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</si>
  <si>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</si>
  <si>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</si>
  <si>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</si>
  <si>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</si>
  <si>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</si>
  <si>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</si>
  <si>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</si>
  <si>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</si>
  <si>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</si>
  <si>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</si>
  <si>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</si>
  <si>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</si>
  <si>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</si>
  <si>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</si>
  <si>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</si>
  <si>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</si>
  <si>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</si>
  <si>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</si>
  <si>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</si>
  <si>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</si>
  <si>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</si>
  <si>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</si>
  <si>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</si>
  <si>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</si>
  <si>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</si>
  <si>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</si>
  <si>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</si>
  <si>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</si>
  <si>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</si>
  <si>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</si>
  <si>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</si>
  <si>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</si>
  <si>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</si>
  <si>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</si>
  <si>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</si>
  <si>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</si>
  <si>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</si>
  <si>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</si>
  <si>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</si>
  <si>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</si>
  <si>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</si>
  <si>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</si>
  <si>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</si>
  <si>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</si>
  <si>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</si>
  <si>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</si>
  <si>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</si>
  <si>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</si>
  <si>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</si>
  <si>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</si>
  <si>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</si>
  <si>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</si>
  <si>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</si>
  <si>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</si>
  <si>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</si>
  <si>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</si>
  <si>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</si>
  <si>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</si>
  <si>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</si>
  <si>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</si>
  <si>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</si>
  <si>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</si>
  <si>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</si>
  <si>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</si>
  <si>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</si>
  <si>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</si>
  <si>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</si>
  <si>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</si>
  <si>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</si>
  <si>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</si>
  <si>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</si>
  <si>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</si>
  <si>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</si>
  <si>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</si>
  <si>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</si>
  <si>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</si>
  <si>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</si>
  <si>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</si>
  <si>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</si>
  <si>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5" type="noConversion"/>
  </si>
  <si>
    <t>住宅</t>
    <phoneticPr fontId="5" type="noConversion"/>
  </si>
  <si>
    <t>工业</t>
    <phoneticPr fontId="135" type="noConversion"/>
  </si>
  <si>
    <t>工业</t>
    <phoneticPr fontId="135" type="noConversion"/>
  </si>
  <si>
    <t>住宅</t>
    <phoneticPr fontId="5" type="noConversion"/>
  </si>
  <si>
    <t>工业</t>
    <phoneticPr fontId="135" type="noConversion"/>
  </si>
  <si>
    <t>住宅</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</si>
  <si>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</si>
  <si>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</si>
  <si>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</si>
  <si>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</si>
  <si>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</si>
  <si>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</si>
  <si>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</si>
  <si>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</si>
  <si>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</si>
  <si>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</si>
  <si>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5" type="noConversion"/>
  </si>
  <si>
    <t>商业</t>
    <phoneticPr fontId="5" type="noConversion"/>
  </si>
  <si>
    <t>办公</t>
    <phoneticPr fontId="135" type="noConversion"/>
  </si>
  <si>
    <t>住宅</t>
    <phoneticPr fontId="5" type="noConversion"/>
  </si>
  <si>
    <t>公共服务</t>
    <phoneticPr fontId="5" type="noConversion"/>
  </si>
  <si>
    <t>本行不参与计算</t>
    <phoneticPr fontId="135"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</si>
  <si>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</si>
  <si>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</si>
  <si>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</si>
  <si>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</si>
  <si>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</si>
  <si>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</si>
  <si>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</si>
  <si>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</si>
  <si>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</si>
  <si>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</si>
  <si>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</si>
  <si>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</si>
  <si>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</si>
  <si>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</si>
  <si>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</si>
  <si>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</si>
  <si>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</si>
  <si>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</si>
  <si>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</si>
  <si>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</si>
  <si>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</si>
  <si>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</si>
  <si>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</si>
  <si>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</si>
  <si>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</si>
  <si>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</si>
  <si>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</si>
  <si>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</si>
  <si>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</si>
  <si>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</si>
  <si>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</si>
  <si>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</si>
  <si>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</si>
  <si>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</si>
  <si>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</si>
  <si>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</si>
  <si>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</si>
  <si>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</si>
  <si>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</si>
  <si>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</si>
  <si>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</si>
  <si>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</si>
  <si>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</si>
  <si>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</si>
  <si>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</si>
  <si>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</si>
  <si>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</si>
  <si>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</si>
  <si>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</si>
  <si>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</si>
  <si>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</si>
  <si>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</si>
  <si>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</si>
  <si>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</si>
  <si>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</si>
  <si>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</si>
  <si>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</si>
  <si>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</si>
  <si>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</si>
  <si>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</si>
  <si>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</si>
  <si>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</si>
  <si>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</si>
  <si>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</si>
  <si>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</si>
  <si>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</si>
  <si>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</si>
  <si>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</si>
  <si>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</si>
  <si>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</si>
  <si>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</si>
  <si>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</si>
  <si>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</si>
  <si>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</si>
  <si>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</si>
  <si>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</si>
  <si>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</si>
  <si>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</si>
  <si>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</si>
  <si>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</si>
  <si>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</si>
  <si>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</si>
  <si>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</si>
  <si>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</si>
  <si>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</si>
  <si>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</si>
  <si>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</si>
  <si>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</si>
  <si>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</si>
  <si>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</si>
  <si>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</si>
  <si>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</si>
  <si>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</si>
  <si>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</si>
  <si>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</si>
  <si>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</si>
  <si>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</si>
  <si>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</si>
  <si>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</si>
  <si>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</si>
  <si>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</si>
  <si>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</si>
  <si>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</si>
  <si>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</si>
  <si>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</si>
  <si>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</si>
  <si>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</si>
  <si>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</si>
  <si>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</si>
  <si>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</si>
  <si>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</si>
  <si>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</si>
  <si>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</si>
  <si>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</si>
  <si>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</si>
  <si>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</si>
  <si>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</si>
  <si>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</si>
  <si>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</si>
  <si>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</si>
  <si>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</si>
  <si>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</si>
  <si>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</si>
  <si>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</si>
  <si>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</si>
  <si>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</si>
  <si>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</si>
  <si>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</si>
  <si>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</si>
  <si>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</si>
  <si>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</si>
  <si>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</si>
  <si>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</si>
  <si>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</si>
  <si>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</si>
  <si>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</si>
  <si>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</si>
  <si>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</si>
  <si>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</si>
  <si>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</si>
  <si>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</si>
  <si>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</si>
  <si>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</si>
  <si>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</si>
  <si>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</si>
  <si>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</si>
  <si>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</si>
  <si>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</si>
  <si>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</si>
  <si>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</si>
  <si>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</si>
  <si>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</si>
  <si>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</si>
  <si>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</si>
  <si>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</si>
  <si>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</si>
  <si>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</si>
  <si>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</si>
  <si>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</si>
  <si>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</si>
  <si>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</si>
  <si>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</si>
  <si>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</si>
  <si>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</si>
  <si>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</si>
  <si>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</si>
  <si>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</si>
  <si>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</si>
  <si>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</si>
  <si>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</si>
  <si>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</si>
  <si>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</si>
  <si>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</si>
  <si>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</si>
  <si>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</si>
  <si>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</si>
  <si>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</si>
  <si>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</si>
  <si>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</si>
  <si>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</si>
  <si>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</si>
  <si>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</si>
  <si>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</si>
  <si>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</si>
  <si>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</si>
  <si>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</si>
  <si>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</si>
  <si>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</si>
  <si>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</si>
  <si>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</si>
  <si>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</si>
  <si>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</si>
  <si>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</si>
  <si>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</si>
  <si>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</si>
  <si>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</si>
  <si>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</si>
  <si>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</si>
  <si>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</si>
  <si>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</si>
  <si>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</si>
  <si>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</si>
  <si>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</si>
  <si>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</si>
  <si>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</si>
  <si>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</si>
  <si>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</si>
  <si>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</si>
  <si>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</si>
  <si>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</si>
  <si>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</si>
  <si>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</si>
  <si>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</si>
  <si>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</si>
  <si>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</si>
  <si>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</si>
  <si>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</si>
  <si>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</si>
  <si>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</si>
  <si>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</si>
  <si>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</si>
  <si>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</si>
  <si>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</si>
  <si>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</si>
  <si>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</si>
  <si>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</si>
  <si>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</si>
  <si>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</si>
  <si>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</si>
  <si>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</si>
  <si>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</si>
  <si>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</si>
  <si>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</si>
  <si>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</si>
  <si>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</si>
  <si>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</si>
  <si>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</si>
  <si>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</si>
  <si>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</si>
  <si>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</si>
  <si>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</si>
  <si>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</si>
  <si>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</si>
  <si>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</si>
  <si>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</si>
  <si>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</si>
  <si>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</si>
  <si>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</si>
  <si>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</si>
  <si>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</si>
  <si>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</si>
  <si>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</si>
  <si>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</si>
  <si>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</si>
  <si>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</si>
  <si>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</si>
  <si>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</si>
  <si>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</si>
  <si>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</si>
  <si>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</si>
  <si>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</si>
  <si>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</si>
  <si>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</si>
  <si>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</si>
  <si>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</si>
  <si>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</si>
  <si>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</si>
  <si>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</si>
  <si>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</si>
  <si>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</si>
  <si>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</si>
  <si>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</si>
  <si>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</si>
  <si>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</si>
  <si>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</si>
  <si>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</si>
  <si>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</si>
  <si>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</si>
  <si>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</si>
  <si>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</si>
  <si>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</si>
  <si>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</si>
  <si>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</si>
  <si>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</si>
  <si>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</si>
  <si>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</si>
  <si>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</si>
  <si>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</si>
  <si>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</si>
  <si>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</si>
  <si>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</si>
  <si>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</si>
  <si>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</si>
  <si>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</si>
  <si>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</si>
  <si>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</si>
  <si>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</si>
  <si>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</si>
  <si>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</si>
  <si>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</si>
  <si>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</si>
  <si>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</si>
  <si>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</si>
  <si>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</si>
  <si>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</si>
  <si>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</si>
  <si>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</si>
  <si>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</si>
  <si>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</si>
  <si>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</si>
  <si>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</si>
  <si>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</si>
  <si>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</si>
  <si>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</si>
  <si>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</si>
  <si>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</si>
  <si>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</si>
  <si>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</si>
  <si>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</si>
  <si>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</si>
  <si>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</si>
  <si>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</si>
  <si>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</si>
  <si>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</si>
  <si>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</si>
  <si>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</si>
  <si>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</si>
  <si>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</si>
  <si>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</si>
  <si>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</si>
  <si>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</si>
  <si>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</si>
  <si>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</si>
  <si>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</si>
  <si>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</si>
  <si>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</si>
  <si>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</si>
  <si>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</si>
  <si>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</si>
  <si>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</si>
  <si>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</si>
  <si>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</si>
  <si>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</si>
  <si>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</si>
  <si>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</si>
  <si>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</si>
  <si>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</si>
  <si>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</si>
  <si>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</si>
  <si>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</si>
  <si>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</si>
  <si>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</si>
  <si>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</si>
  <si>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</si>
  <si>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</si>
  <si>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</si>
  <si>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</si>
  <si>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</si>
  <si>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</si>
  <si>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</si>
  <si>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</si>
  <si>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</si>
  <si>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</si>
  <si>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</si>
  <si>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</si>
  <si>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</si>
  <si>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</si>
  <si>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</si>
  <si>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</si>
  <si>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</si>
  <si>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</si>
  <si>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</si>
  <si>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</si>
  <si>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</si>
  <si>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</si>
  <si>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</si>
  <si>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</si>
  <si>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</si>
  <si>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</si>
  <si>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</si>
  <si>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</si>
  <si>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</si>
  <si>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</si>
  <si>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</si>
  <si>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</si>
  <si>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</si>
  <si>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</si>
  <si>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</si>
  <si>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</si>
  <si>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</si>
  <si>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</si>
  <si>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</si>
  <si>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</si>
  <si>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</si>
  <si>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</si>
  <si>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</si>
  <si>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</si>
  <si>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</si>
  <si>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</si>
  <si>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</si>
  <si>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</si>
  <si>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</si>
  <si>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</si>
  <si>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</si>
  <si>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</si>
  <si>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</si>
  <si>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</si>
  <si>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</si>
  <si>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</si>
  <si>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</si>
  <si>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</si>
  <si>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</si>
  <si>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</si>
  <si>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</si>
  <si>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</si>
  <si>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</si>
  <si>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</si>
  <si>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</si>
  <si>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</si>
  <si>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</si>
  <si>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</si>
  <si>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</si>
  <si>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</si>
  <si>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</si>
  <si>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</si>
  <si>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</si>
  <si>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</si>
  <si>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</si>
  <si>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</si>
  <si>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</si>
  <si>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</si>
  <si>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</si>
  <si>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</si>
  <si>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</si>
  <si>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</si>
  <si>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</si>
  <si>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</si>
  <si>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</si>
  <si>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</si>
  <si>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</si>
  <si>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</si>
  <si>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</si>
  <si>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</si>
  <si>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</si>
  <si>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</si>
  <si>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</si>
  <si>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</si>
  <si>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</si>
  <si>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</si>
  <si>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</si>
  <si>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</si>
  <si>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</si>
  <si>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</si>
  <si>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</si>
  <si>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</si>
  <si>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</si>
  <si>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</si>
  <si>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</si>
  <si>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</si>
  <si>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</si>
  <si>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</si>
  <si>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</si>
  <si>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</si>
  <si>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</si>
  <si>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</si>
  <si>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</si>
  <si>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</si>
  <si>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</si>
  <si>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</si>
  <si>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</si>
  <si>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</si>
  <si>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</si>
  <si>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</si>
  <si>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</si>
  <si>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</si>
  <si>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</si>
  <si>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</si>
  <si>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</si>
  <si>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</si>
  <si>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</si>
  <si>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</si>
  <si>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</si>
  <si>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</si>
  <si>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</si>
  <si>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</si>
  <si>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</si>
  <si>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</si>
  <si>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</si>
  <si>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</si>
  <si>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</si>
  <si>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</si>
  <si>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</si>
  <si>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</si>
  <si>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</si>
  <si>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</si>
  <si>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</si>
  <si>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</si>
  <si>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</si>
  <si>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</si>
  <si>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</si>
  <si>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</si>
  <si>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</si>
  <si>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</si>
  <si>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</si>
  <si>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</si>
  <si>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</si>
  <si>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</si>
  <si>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</si>
  <si>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</si>
  <si>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</si>
  <si>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</si>
  <si>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</si>
  <si>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</si>
  <si>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</si>
  <si>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</si>
  <si>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</si>
  <si>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</si>
  <si>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</si>
  <si>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8" type="noConversion"/>
  </si>
  <si>
    <t>元/平方米</t>
  </si>
  <si>
    <t>2022-2</t>
    <phoneticPr fontId="5"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</si>
  <si>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</si>
  <si>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</si>
  <si>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</si>
  <si>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</si>
  <si>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</si>
  <si>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</si>
  <si>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</si>
  <si>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</si>
  <si>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</si>
  <si>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</si>
  <si>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</si>
  <si>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</si>
  <si>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5" type="noConversion"/>
  </si>
  <si>
    <t>2023-1</t>
    <phoneticPr fontId="5" type="noConversion"/>
  </si>
  <si>
    <t>2023-2</t>
    <phoneticPr fontId="5" type="noConversion"/>
  </si>
  <si>
    <t>公示增长率-国家级样点（中心城区）</t>
    <phoneticPr fontId="143" type="noConversion"/>
  </si>
  <si>
    <t>公示增长率-市级样点（非中心城区）</t>
    <phoneticPr fontId="143"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</si>
  <si>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</si>
  <si>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</si>
  <si>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</si>
  <si>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</si>
  <si>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</si>
  <si>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</si>
  <si>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</si>
  <si>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崔锴</t>
  </si>
  <si>
    <t>郑燚</t>
  </si>
  <si>
    <t>房地产抵押价值</t>
  </si>
  <si>
    <t>北京市</t>
  </si>
  <si>
    <t>企业</t>
  </si>
  <si>
    <t>是</t>
  </si>
  <si>
    <t>复印件</t>
  </si>
  <si>
    <t>办公项目</t>
  </si>
  <si>
    <t>无</t>
  </si>
  <si>
    <t>否</t>
  </si>
  <si>
    <t>现房</t>
  </si>
  <si>
    <t>通路</t>
  </si>
  <si>
    <t>通电</t>
  </si>
  <si>
    <t>通讯</t>
  </si>
  <si>
    <t>通上水</t>
  </si>
  <si>
    <t>通下水</t>
  </si>
  <si>
    <t>通热</t>
  </si>
  <si>
    <t>燃气</t>
  </si>
  <si>
    <t>地上</t>
  </si>
  <si>
    <t>地下</t>
  </si>
  <si>
    <t>综合平均</t>
  </si>
  <si>
    <t>成新度</t>
  </si>
  <si>
    <t>序号</t>
  </si>
  <si>
    <t>备注</t>
  </si>
  <si>
    <t>收益法-车位</t>
    <phoneticPr fontId="18" type="noConversion"/>
  </si>
  <si>
    <t>押一</t>
  </si>
  <si>
    <t>钢混</t>
  </si>
  <si>
    <t>非生产用房</t>
  </si>
  <si>
    <t>车位</t>
  </si>
  <si>
    <t>收益法-办公</t>
  </si>
  <si>
    <t>收益法-办公</t>
    <phoneticPr fontId="18" type="noConversion"/>
  </si>
  <si>
    <t>商务金融用地</t>
  </si>
  <si>
    <t>不临65条商业街</t>
  </si>
  <si>
    <t>平整</t>
  </si>
  <si>
    <t>与级别开发程度一致</t>
  </si>
  <si>
    <t>较好</t>
  </si>
  <si>
    <t>较好</t>
    <phoneticPr fontId="42" type="noConversion"/>
  </si>
  <si>
    <t>较好</t>
    <phoneticPr fontId="26" type="noConversion"/>
  </si>
  <si>
    <t>较好</t>
    <phoneticPr fontId="42" type="noConversion"/>
  </si>
  <si>
    <t>七通</t>
  </si>
  <si>
    <t>七通</t>
    <phoneticPr fontId="26" type="noConversion"/>
  </si>
  <si>
    <t>好</t>
  </si>
  <si>
    <t>未包含在土地购买价格中</t>
  </si>
  <si>
    <t>已包含在土地取得成本中</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</si>
  <si>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</si>
  <si>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</si>
  <si>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</si>
  <si>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</si>
  <si>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</si>
  <si>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</si>
  <si>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</si>
  <si>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</si>
  <si>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</si>
  <si>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</si>
  <si>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</si>
  <si>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</si>
  <si>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</si>
  <si>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</si>
  <si>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总面积楼面单价</t>
    <phoneticPr fontId="135" type="noConversion"/>
  </si>
  <si>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</si>
  <si>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</si>
  <si>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</si>
  <si>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</si>
  <si>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</si>
  <si>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</si>
  <si>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</si>
  <si>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</si>
  <si>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</si>
  <si>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</si>
  <si>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</si>
  <si>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</si>
  <si>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</si>
  <si>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</si>
  <si>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</si>
  <si>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</si>
  <si>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</si>
  <si>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</si>
  <si>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</si>
  <si>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</si>
  <si>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</si>
  <si>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</si>
  <si>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</si>
  <si>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</si>
  <si>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</si>
  <si>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</si>
  <si>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</si>
  <si>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</si>
  <si>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</si>
  <si>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</si>
  <si>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</si>
  <si>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</si>
  <si>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</si>
  <si>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</si>
  <si>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</si>
  <si>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</si>
  <si>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</si>
  <si>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</si>
  <si>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</si>
  <si>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t>ACR 安狮资产</t>
  </si>
  <si>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</si>
  <si>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</si>
  <si>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</si>
  <si>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</si>
  <si>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</si>
  <si>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</si>
  <si>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</si>
  <si>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</si>
  <si>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</si>
  <si>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</si>
  <si>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</si>
  <si>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</si>
  <si>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</si>
  <si>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</si>
  <si>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phoneticPr fontId="135" type="noConversion"/>
  </si>
  <si>
    <r>
      <rPr>
        <sz val="8"/>
        <color rgb="FF252525"/>
        <rFont val="KaiTi"/>
        <family val="3"/>
      </rPr>
      <t>北京逸瑞商贸有限公司</t>
    </r>
  </si>
  <si>
    <t>2021年5月</t>
  </si>
  <si>
    <t>IC Park 2号楼</t>
    <phoneticPr fontId="135" type="noConversion"/>
  </si>
  <si>
    <t>中关村集成电路设计发展</t>
  </si>
  <si>
    <t>声讯控股</t>
  </si>
  <si>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</si>
  <si>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</si>
  <si>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</si>
  <si>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</si>
  <si>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</si>
  <si>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</si>
  <si>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</si>
  <si>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</si>
  <si>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</si>
  <si>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</si>
  <si>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</si>
  <si>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</si>
  <si>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t>平安人寿</t>
  </si>
  <si>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</si>
  <si>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</si>
  <si>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</si>
  <si>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</si>
  <si>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</si>
  <si>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</si>
  <si>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</si>
  <si>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</si>
  <si>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</si>
  <si>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</si>
  <si>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</si>
  <si>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</si>
  <si>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</si>
  <si>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</si>
  <si>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</si>
  <si>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</si>
  <si>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</si>
  <si>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</si>
  <si>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</si>
  <si>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</si>
  <si>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</si>
  <si>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</si>
  <si>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</si>
  <si>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</si>
  <si>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</si>
  <si>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</si>
  <si>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</si>
  <si>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</si>
  <si>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</si>
  <si>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</si>
  <si>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</si>
  <si>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</si>
  <si>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</si>
  <si>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</si>
  <si>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</si>
  <si>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</si>
  <si>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</si>
  <si>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</si>
  <si>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phoneticPr fontId="135" type="noConversion"/>
  </si>
  <si>
    <t>西城区</t>
  </si>
  <si>
    <t>金融街控股</t>
  </si>
  <si>
    <t>凯龙瑞</t>
    <phoneticPr fontId="135" type="noConversion"/>
  </si>
  <si>
    <t>办公</t>
    <phoneticPr fontId="135" type="noConversion"/>
  </si>
  <si>
    <t>博瑞大厦</t>
    <phoneticPr fontId="135" type="noConversion"/>
  </si>
  <si>
    <t>朝阳区</t>
    <phoneticPr fontId="135" type="noConversion"/>
  </si>
  <si>
    <t>拍卖</t>
    <phoneticPr fontId="135" type="noConversion"/>
  </si>
  <si>
    <t>北京特尔特物业发展有限公司</t>
    <phoneticPr fontId="135" type="noConversion"/>
  </si>
  <si>
    <t>凯德中国</t>
    <phoneticPr fontId="135" type="noConversion"/>
  </si>
  <si>
    <t>远洋锐中心</t>
    <phoneticPr fontId="135" type="noConversion"/>
  </si>
  <si>
    <t>丰台区</t>
    <phoneticPr fontId="135" type="noConversion"/>
  </si>
  <si>
    <t>境内股权</t>
    <phoneticPr fontId="135" type="noConversion"/>
  </si>
  <si>
    <t>远洋集团</t>
    <phoneticPr fontId="135" type="noConversion"/>
  </si>
  <si>
    <t>中国平安人寿</t>
    <phoneticPr fontId="135" type="noConversion"/>
  </si>
  <si>
    <r>
      <t>地上4</t>
    </r>
    <r>
      <rPr>
        <sz val="10"/>
        <color theme="1"/>
        <rFont val="宋体"/>
        <family val="3"/>
        <charset val="134"/>
        <scheme val="minor"/>
      </rPr>
      <t>2层地下5层</t>
    </r>
    <phoneticPr fontId="135" type="noConversion"/>
  </si>
  <si>
    <t>正常</t>
  </si>
  <si>
    <t>单一产权</t>
  </si>
  <si>
    <t>办公、商业、公寓</t>
  </si>
  <si>
    <t>写字楼</t>
  </si>
  <si>
    <t>精装修</t>
  </si>
  <si>
    <t>专业</t>
  </si>
  <si>
    <t>标准</t>
  </si>
  <si>
    <t>主办公</t>
  </si>
  <si>
    <t>一般</t>
  </si>
  <si>
    <t>新世界燕京大厦</t>
    <phoneticPr fontId="135" type="noConversion"/>
  </si>
  <si>
    <t>非单一产权</t>
  </si>
  <si>
    <t>普通装修</t>
  </si>
  <si>
    <t>简单装修</t>
  </si>
  <si>
    <t>毛坯</t>
  </si>
  <si>
    <t>建成年代</t>
  </si>
  <si>
    <t>40-50</t>
    <phoneticPr fontId="33" type="noConversion"/>
  </si>
  <si>
    <t>30-40</t>
    <phoneticPr fontId="33" type="noConversion"/>
  </si>
  <si>
    <t>20-30</t>
    <phoneticPr fontId="33" type="noConversion"/>
  </si>
  <si>
    <t>10-20</t>
    <phoneticPr fontId="33" type="noConversion"/>
  </si>
  <si>
    <t>项目模式</t>
  </si>
  <si>
    <t>售价</t>
  </si>
  <si>
    <t>比较法-办公</t>
  </si>
  <si>
    <t>单价</t>
    <phoneticPr fontId="9" type="noConversion"/>
  </si>
  <si>
    <t>总价</t>
  </si>
  <si>
    <t>总价</t>
    <phoneticPr fontId="9" type="noConversion"/>
  </si>
  <si>
    <t>自定义</t>
  </si>
  <si>
    <r>
      <rPr>
        <b/>
        <sz val="11"/>
        <rFont val="宋体"/>
        <family val="3"/>
        <charset val="134"/>
        <scheme val="minor"/>
      </rPr>
      <t>2022年上海大宗交易</t>
    </r>
  </si>
  <si>
    <t>序号</t>
    <phoneticPr fontId="5" type="noConversion"/>
  </si>
  <si>
    <t>项目</t>
    <phoneticPr fontId="5" type="noConversion"/>
  </si>
  <si>
    <t>城市</t>
    <phoneticPr fontId="5" type="noConversion"/>
  </si>
  <si>
    <t>行政区</t>
    <phoneticPr fontId="5" type="noConversion"/>
  </si>
  <si>
    <t>物业类型</t>
    <phoneticPr fontId="5" type="noConversion"/>
  </si>
  <si>
    <t>计价面积（平方米）</t>
    <phoneticPr fontId="5" type="noConversion"/>
  </si>
  <si>
    <t>季度</t>
    <phoneticPr fontId="5" type="noConversion"/>
  </si>
  <si>
    <t>年份</t>
    <phoneticPr fontId="5" type="noConversion"/>
  </si>
  <si>
    <t>卖方</t>
    <phoneticPr fontId="5" type="noConversion"/>
  </si>
  <si>
    <t>买房</t>
    <phoneticPr fontId="5" type="noConversion"/>
  </si>
  <si>
    <t>总价（百万元）</t>
    <phoneticPr fontId="5" type="noConversion"/>
  </si>
  <si>
    <t>单价（元/平方米）</t>
    <phoneticPr fontId="5" type="noConversion"/>
  </si>
  <si>
    <t>交易方式</t>
    <phoneticPr fontId="5" type="noConversion"/>
  </si>
  <si>
    <t>西康路608</t>
  </si>
  <si>
    <t>上海</t>
  </si>
  <si>
    <t>静安区</t>
  </si>
  <si>
    <t>Q1</t>
  </si>
  <si>
    <t>MSREF</t>
  </si>
  <si>
    <t>建业实业</t>
  </si>
  <si>
    <t>国浩长风城6号楼B座</t>
  </si>
  <si>
    <t>普陀区</t>
  </si>
  <si>
    <t>国浩</t>
  </si>
  <si>
    <t>罗普特科技集团</t>
  </si>
  <si>
    <t>黄浦悦樘公寓</t>
  </si>
  <si>
    <t>黄浦区</t>
  </si>
  <si>
    <t>景瑞</t>
  </si>
  <si>
    <t>上海某国企</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</si>
  <si>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</si>
  <si>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</si>
  <si>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</si>
  <si>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</si>
  <si>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</si>
  <si>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</si>
  <si>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</si>
  <si>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</si>
  <si>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</si>
  <si>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</si>
  <si>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</si>
  <si>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</si>
  <si>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</si>
  <si>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</si>
  <si>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</si>
  <si>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</si>
  <si>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</si>
  <si>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</si>
  <si>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</si>
  <si>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</si>
  <si>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</si>
  <si>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</si>
  <si>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</si>
  <si>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</si>
  <si>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</si>
  <si>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</si>
  <si>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</si>
  <si>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</si>
  <si>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</si>
  <si>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</si>
  <si>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</si>
  <si>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</si>
  <si>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</si>
  <si>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</si>
  <si>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</si>
  <si>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</si>
  <si>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</si>
  <si>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</si>
  <si>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</si>
  <si>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</si>
  <si>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</si>
  <si>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</si>
  <si>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</si>
  <si>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</si>
  <si>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</si>
  <si>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</si>
  <si>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</si>
  <si>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</si>
  <si>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</si>
  <si>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</si>
  <si>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</si>
  <si>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</si>
  <si>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</si>
  <si>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</si>
  <si>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</si>
  <si>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</si>
  <si>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</si>
  <si>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</si>
  <si>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</si>
  <si>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</si>
  <si>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</si>
  <si>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</si>
  <si>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</si>
  <si>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</si>
  <si>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</si>
  <si>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</si>
  <si>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</si>
  <si>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</si>
  <si>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</si>
  <si>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</si>
  <si>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</si>
  <si>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</si>
  <si>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</si>
  <si>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</si>
  <si>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</si>
  <si>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</si>
  <si>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</si>
  <si>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</si>
  <si>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</si>
  <si>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</si>
  <si>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</si>
  <si>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</si>
  <si>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</si>
  <si>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</si>
  <si>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</si>
  <si>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</si>
  <si>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</si>
  <si>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</si>
  <si>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</si>
  <si>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</si>
  <si>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5"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</si>
  <si>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</si>
  <si>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</si>
  <si>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</si>
  <si>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</si>
  <si>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</si>
  <si>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</si>
  <si>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</si>
  <si>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</si>
  <si>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</si>
  <si>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</si>
  <si>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</si>
  <si>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</si>
  <si>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</si>
  <si>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</si>
  <si>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</si>
  <si>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</si>
  <si>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</si>
  <si>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</si>
  <si>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</si>
  <si>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</si>
  <si>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</si>
  <si>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</si>
  <si>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</si>
  <si>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</si>
  <si>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</si>
  <si>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</si>
  <si>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</si>
  <si>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</si>
  <si>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</si>
  <si>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</si>
  <si>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</si>
  <si>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</si>
  <si>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</si>
  <si>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</si>
  <si>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</si>
  <si>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</si>
  <si>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</si>
  <si>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</si>
  <si>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</si>
  <si>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</si>
  <si>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</si>
  <si>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</si>
  <si>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</si>
  <si>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</si>
  <si>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</si>
  <si>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</si>
  <si>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</si>
  <si>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</si>
  <si>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</si>
  <si>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</si>
  <si>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</si>
  <si>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</si>
  <si>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</si>
  <si>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</si>
  <si>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</si>
  <si>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</si>
  <si>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</si>
  <si>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</si>
  <si>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</si>
  <si>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</si>
  <si>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</si>
  <si>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</si>
  <si>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</si>
  <si>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</si>
  <si>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</si>
  <si>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</si>
  <si>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</si>
  <si>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</si>
  <si>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</si>
  <si>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</si>
  <si>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</si>
  <si>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</si>
  <si>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</si>
  <si>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</si>
  <si>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</si>
  <si>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</si>
  <si>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</si>
  <si>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</si>
  <si>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</si>
  <si>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</si>
  <si>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</si>
  <si>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</si>
  <si>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</si>
  <si>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</si>
  <si>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</si>
  <si>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</si>
  <si>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</si>
  <si>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</si>
  <si>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</si>
  <si>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</si>
  <si>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</si>
  <si>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</si>
  <si>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</si>
  <si>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</si>
  <si>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</si>
  <si>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</si>
  <si>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</si>
  <si>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</si>
  <si>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</si>
  <si>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</si>
  <si>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</si>
  <si>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</si>
  <si>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</si>
  <si>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</si>
  <si>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</si>
  <si>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</si>
  <si>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</si>
  <si>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</si>
  <si>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</si>
  <si>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</si>
  <si>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</si>
  <si>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</si>
  <si>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</si>
  <si>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</si>
  <si>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</si>
  <si>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</si>
  <si>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</si>
  <si>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</si>
  <si>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</si>
  <si>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</si>
  <si>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</si>
  <si>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</si>
  <si>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</si>
  <si>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</si>
  <si>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</si>
  <si>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</si>
  <si>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</si>
  <si>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</si>
  <si>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</si>
  <si>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</si>
  <si>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</si>
  <si>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</si>
  <si>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</si>
  <si>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</si>
  <si>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</si>
  <si>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</si>
  <si>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</si>
  <si>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</si>
  <si>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</si>
  <si>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</si>
  <si>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</si>
  <si>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</si>
  <si>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</si>
  <si>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</si>
  <si>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</si>
  <si>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</si>
  <si>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</si>
  <si>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</si>
  <si>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</si>
  <si>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</si>
  <si>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</si>
  <si>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</si>
  <si>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</si>
  <si>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</si>
  <si>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</si>
  <si>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5"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</si>
  <si>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</si>
  <si>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</si>
  <si>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</si>
  <si>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</si>
  <si>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5"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</si>
  <si>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</si>
  <si>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</si>
  <si>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</si>
  <si>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</si>
  <si>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</si>
  <si>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</si>
  <si>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</si>
  <si>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</si>
  <si>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</si>
  <si>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</si>
  <si>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5"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</si>
  <si>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</si>
  <si>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</si>
  <si>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</si>
  <si>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</si>
  <si>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</si>
  <si>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</si>
  <si>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</si>
  <si>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</si>
  <si>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</si>
  <si>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</si>
  <si>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</si>
  <si>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</si>
  <si>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</si>
  <si>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</si>
  <si>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</si>
  <si>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</si>
  <si>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</si>
  <si>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</si>
  <si>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5"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</si>
  <si>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</si>
  <si>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</si>
  <si>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5"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</si>
  <si>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</si>
  <si>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</si>
  <si>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</si>
  <si>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</si>
  <si>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</si>
  <si>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</si>
  <si>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5"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</si>
  <si>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</si>
  <si>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</si>
  <si>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</si>
  <si>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</si>
  <si>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</si>
  <si>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</si>
  <si>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</si>
  <si>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</si>
  <si>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</si>
  <si>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</si>
  <si>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</si>
  <si>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</si>
  <si>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</si>
  <si>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</si>
  <si>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</si>
  <si>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</si>
  <si>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</si>
  <si>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</si>
  <si>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</si>
  <si>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</si>
  <si>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</si>
  <si>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</si>
  <si>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</si>
  <si>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</si>
  <si>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</si>
  <si>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</si>
  <si>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</si>
  <si>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</si>
  <si>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</si>
  <si>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</si>
  <si>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</si>
  <si>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</si>
  <si>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</si>
  <si>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</si>
  <si>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</si>
  <si>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</si>
  <si>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</si>
  <si>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</si>
  <si>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</si>
  <si>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</si>
  <si>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</si>
  <si>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</si>
  <si>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</si>
  <si>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</si>
  <si>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</si>
  <si>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</si>
  <si>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</si>
  <si>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</si>
  <si>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</si>
  <si>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</si>
  <si>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</si>
  <si>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</si>
  <si>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</si>
  <si>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</si>
  <si>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</si>
  <si>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</si>
  <si>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</si>
  <si>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</si>
  <si>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</si>
  <si>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</si>
  <si>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</si>
  <si>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</si>
  <si>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</si>
  <si>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</si>
  <si>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</si>
  <si>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</si>
  <si>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</si>
  <si>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</si>
  <si>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</si>
  <si>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</si>
  <si>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</si>
  <si>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</si>
  <si>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</si>
  <si>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</si>
  <si>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</si>
  <si>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</si>
  <si>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</si>
  <si>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</si>
  <si>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</si>
  <si>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</si>
  <si>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</si>
  <si>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</si>
  <si>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</si>
  <si>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</si>
  <si>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</si>
  <si>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</si>
  <si>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</si>
  <si>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</si>
  <si>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</si>
  <si>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</si>
  <si>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</si>
  <si>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</si>
  <si>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</si>
  <si>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</si>
  <si>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</si>
  <si>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</si>
  <si>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</si>
  <si>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</si>
  <si>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</si>
  <si>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</si>
  <si>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</si>
  <si>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</si>
  <si>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</si>
  <si>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</si>
  <si>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</si>
  <si>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</si>
  <si>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</si>
  <si>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</si>
  <si>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</si>
  <si>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</si>
  <si>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</si>
  <si>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</si>
  <si>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</si>
  <si>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</si>
  <si>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</si>
  <si>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</si>
  <si>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</si>
  <si>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</si>
  <si>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</si>
  <si>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</si>
  <si>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</si>
  <si>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</si>
  <si>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</si>
  <si>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</si>
  <si>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</si>
  <si>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</si>
  <si>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</si>
  <si>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</si>
  <si>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</si>
  <si>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</si>
  <si>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</si>
  <si>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</si>
  <si>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</si>
  <si>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</si>
  <si>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</si>
  <si>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</si>
  <si>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</si>
  <si>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</si>
  <si>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</si>
  <si>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</si>
  <si>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</si>
  <si>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</si>
  <si>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</si>
  <si>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</si>
  <si>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</si>
  <si>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</si>
  <si>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</si>
  <si>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</si>
  <si>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</si>
  <si>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</si>
  <si>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</si>
  <si>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</si>
  <si>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</si>
  <si>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</si>
  <si>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</si>
  <si>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</si>
  <si>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</si>
  <si>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</si>
  <si>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</si>
  <si>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</si>
  <si>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项目名称</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</si>
  <si>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</si>
  <si>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</si>
  <si>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</si>
  <si>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</si>
  <si>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</si>
  <si>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</si>
  <si>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</si>
  <si>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</si>
  <si>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</si>
  <si>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</si>
  <si>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</si>
  <si>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</si>
  <si>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</si>
  <si>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</si>
  <si>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</si>
  <si>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</si>
  <si>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</si>
  <si>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</si>
  <si>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</si>
  <si>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</si>
  <si>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</si>
  <si>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</si>
  <si>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</si>
  <si>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</si>
  <si>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</si>
  <si>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</si>
  <si>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</si>
  <si>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</si>
  <si>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</si>
  <si>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</si>
  <si>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</si>
  <si>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</si>
  <si>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</si>
  <si>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</si>
  <si>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</si>
  <si>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</si>
  <si>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</si>
  <si>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</si>
  <si>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</si>
  <si>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</si>
  <si>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</si>
  <si>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</si>
  <si>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</si>
  <si>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</si>
  <si>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</si>
  <si>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</si>
  <si>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</si>
  <si>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</si>
  <si>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</si>
  <si>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</si>
  <si>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</si>
  <si>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</si>
  <si>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</si>
  <si>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</si>
  <si>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</si>
  <si>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</si>
  <si>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</si>
  <si>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</si>
  <si>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</si>
  <si>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</si>
  <si>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</si>
  <si>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</si>
  <si>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</si>
  <si>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</si>
  <si>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</si>
  <si>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</si>
  <si>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</si>
  <si>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</si>
  <si>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</si>
  <si>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</si>
  <si>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</si>
  <si>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</si>
  <si>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</si>
  <si>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</si>
  <si>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</si>
  <si>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</si>
  <si>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</si>
  <si>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</si>
  <si>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</si>
  <si>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</si>
  <si>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</si>
  <si>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</si>
  <si>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</si>
  <si>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</si>
  <si>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</si>
  <si>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</si>
  <si>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</si>
  <si>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</si>
  <si>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</si>
  <si>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</si>
  <si>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</si>
  <si>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</si>
  <si>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</si>
  <si>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</si>
  <si>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</si>
  <si>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</si>
  <si>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</si>
  <si>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</si>
  <si>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</si>
  <si>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</si>
  <si>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</si>
  <si>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</si>
  <si>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</si>
  <si>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</si>
  <si>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</si>
  <si>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</si>
  <si>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</si>
  <si>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</si>
  <si>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</si>
  <si>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</si>
  <si>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</si>
  <si>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</si>
  <si>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</si>
  <si>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</si>
  <si>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</si>
  <si>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</si>
  <si>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</si>
  <si>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</si>
  <si>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</si>
  <si>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</si>
  <si>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</si>
  <si>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</si>
  <si>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</si>
  <si>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</si>
  <si>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</si>
  <si>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</si>
  <si>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</si>
  <si>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</si>
  <si>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</si>
  <si>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</si>
  <si>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</si>
  <si>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</si>
  <si>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</si>
  <si>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</si>
  <si>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</si>
  <si>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</si>
  <si>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</si>
  <si>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</si>
  <si>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</si>
  <si>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</si>
  <si>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</si>
  <si>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</si>
  <si>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</si>
  <si>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</si>
  <si>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</si>
  <si>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</si>
  <si>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</si>
  <si>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</si>
  <si>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</si>
  <si>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</si>
  <si>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</si>
  <si>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</si>
  <si>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</si>
  <si>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</si>
  <si>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</si>
  <si>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</si>
  <si>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</si>
  <si>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</si>
  <si>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</si>
  <si>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</si>
  <si>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</si>
  <si>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</si>
  <si>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</si>
  <si>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</si>
  <si>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</si>
  <si>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</si>
  <si>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</si>
  <si>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</si>
  <si>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</si>
  <si>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</si>
  <si>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</si>
  <si>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</si>
  <si>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</si>
  <si>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</si>
  <si>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</si>
  <si>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</si>
  <si>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</si>
  <si>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</si>
  <si>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</si>
  <si>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</si>
  <si>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</si>
  <si>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</si>
  <si>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</si>
  <si>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</si>
  <si>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</si>
  <si>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</si>
  <si>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</si>
  <si>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</si>
  <si>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</si>
  <si>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</si>
  <si>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</si>
  <si>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</si>
  <si>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</si>
  <si>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</si>
  <si>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</si>
  <si>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</si>
  <si>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</si>
  <si>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</si>
  <si>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</si>
  <si>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</si>
  <si>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</si>
  <si>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</si>
  <si>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</si>
  <si>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</si>
  <si>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</si>
  <si>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</si>
  <si>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</si>
  <si>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</si>
  <si>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</si>
  <si>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</si>
  <si>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</si>
  <si>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</si>
  <si>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</si>
  <si>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</si>
  <si>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</si>
  <si>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</si>
  <si>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</si>
  <si>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</si>
  <si>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</si>
  <si>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</si>
  <si>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</si>
  <si>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</si>
  <si>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</si>
  <si>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</si>
  <si>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</si>
  <si>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</si>
  <si>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</si>
  <si>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</si>
  <si>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</si>
  <si>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</si>
  <si>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</si>
  <si>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</si>
  <si>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</si>
  <si>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</si>
  <si>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</si>
  <si>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</si>
  <si>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</si>
  <si>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</si>
  <si>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</si>
  <si>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</si>
  <si>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</si>
  <si>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</si>
  <si>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</si>
  <si>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</si>
  <si>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</si>
  <si>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</si>
  <si>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</si>
  <si>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</si>
  <si>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</si>
  <si>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</si>
  <si>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</si>
  <si>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</si>
  <si>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</si>
  <si>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</si>
  <si>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</si>
  <si>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</si>
  <si>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</si>
  <si>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</si>
  <si>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</si>
  <si>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</si>
  <si>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</si>
  <si>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</si>
  <si>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</si>
  <si>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</si>
  <si>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</si>
  <si>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</si>
  <si>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</si>
  <si>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</si>
  <si>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</si>
  <si>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</si>
  <si>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</si>
  <si>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</si>
  <si>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</si>
  <si>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</si>
  <si>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</si>
  <si>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</si>
  <si>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</si>
  <si>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</si>
  <si>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</si>
  <si>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</si>
  <si>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</si>
  <si>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</si>
  <si>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</si>
  <si>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</si>
  <si>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</si>
  <si>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</si>
  <si>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</si>
  <si>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</si>
  <si>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</si>
  <si>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</si>
  <si>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</si>
  <si>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</si>
  <si>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</si>
  <si>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</si>
  <si>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</si>
  <si>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</si>
  <si>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</si>
  <si>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</si>
  <si>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</si>
  <si>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</si>
  <si>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</si>
  <si>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</si>
  <si>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</si>
  <si>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</si>
  <si>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</si>
  <si>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</si>
  <si>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</si>
  <si>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</si>
  <si>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</si>
  <si>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</si>
  <si>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</si>
  <si>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</si>
  <si>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</si>
  <si>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</si>
  <si>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</si>
  <si>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</si>
  <si>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</si>
  <si>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</si>
  <si>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</si>
  <si>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</si>
  <si>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</si>
  <si>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</si>
  <si>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</si>
  <si>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</si>
  <si>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</si>
  <si>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</si>
  <si>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</si>
  <si>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</si>
  <si>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</si>
  <si>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</si>
  <si>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</si>
  <si>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</si>
  <si>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</si>
  <si>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</si>
  <si>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</si>
  <si>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</si>
  <si>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</si>
  <si>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</si>
  <si>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</si>
  <si>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</si>
  <si>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</si>
  <si>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</si>
  <si>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</si>
  <si>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</si>
  <si>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</si>
  <si>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</si>
  <si>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</si>
  <si>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</si>
  <si>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</si>
  <si>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</si>
  <si>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</si>
  <si>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</si>
  <si>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</si>
  <si>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</si>
  <si>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</si>
  <si>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</si>
  <si>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</si>
  <si>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</si>
  <si>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</si>
  <si>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</si>
  <si>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</si>
  <si>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</si>
  <si>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</si>
  <si>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</si>
  <si>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</si>
  <si>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</si>
  <si>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</si>
  <si>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</si>
  <si>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</si>
  <si>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</si>
  <si>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</si>
  <si>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</si>
  <si>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</si>
  <si>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</si>
  <si>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</si>
  <si>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</si>
  <si>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</si>
  <si>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</si>
  <si>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</si>
  <si>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</si>
  <si>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</si>
  <si>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</si>
  <si>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</si>
  <si>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</si>
  <si>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</si>
  <si>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</si>
  <si>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</si>
  <si>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</si>
  <si>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</si>
  <si>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</si>
  <si>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</si>
  <si>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</si>
  <si>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</si>
  <si>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</si>
  <si>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</si>
  <si>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</si>
  <si>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</si>
  <si>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</si>
  <si>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</si>
  <si>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</si>
  <si>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</si>
  <si>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</si>
  <si>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</si>
  <si>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</si>
  <si>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</si>
  <si>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</si>
  <si>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</si>
  <si>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</si>
  <si>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</si>
  <si>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</si>
  <si>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</si>
  <si>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</si>
  <si>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</si>
  <si>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</si>
  <si>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</si>
  <si>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</si>
  <si>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</si>
  <si>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</si>
  <si>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</si>
  <si>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</si>
  <si>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</si>
  <si>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</si>
  <si>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</si>
  <si>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</si>
  <si>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</si>
  <si>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</si>
  <si>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</si>
  <si>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</si>
  <si>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</si>
  <si>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</si>
  <si>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</si>
  <si>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</si>
  <si>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</si>
  <si>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</si>
  <si>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</si>
  <si>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</si>
  <si>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</si>
  <si>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</si>
  <si>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</si>
  <si>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</si>
  <si>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</si>
  <si>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</si>
  <si>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</si>
  <si>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</si>
  <si>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</si>
  <si>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</si>
  <si>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</si>
  <si>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</si>
  <si>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</si>
  <si>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</si>
  <si>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</si>
  <si>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</si>
  <si>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</si>
  <si>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</si>
  <si>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</si>
  <si>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</si>
  <si>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</si>
  <si>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</si>
  <si>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</si>
  <si>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</si>
  <si>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</si>
  <si>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</si>
  <si>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</si>
  <si>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</si>
  <si>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</si>
  <si>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</si>
  <si>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</si>
  <si>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</si>
  <si>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</si>
  <si>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</si>
  <si>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</si>
  <si>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</si>
  <si>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</si>
  <si>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</si>
  <si>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</si>
  <si>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</si>
  <si>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</si>
  <si>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</si>
  <si>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</si>
  <si>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</si>
  <si>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</si>
  <si>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</si>
  <si>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</si>
  <si>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</si>
  <si>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</si>
  <si>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</si>
  <si>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</si>
  <si>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</si>
  <si>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</si>
  <si>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</si>
  <si>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</si>
  <si>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</si>
  <si>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</si>
  <si>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</si>
  <si>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</si>
  <si>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</si>
  <si>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</si>
  <si>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</si>
  <si>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</si>
  <si>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</si>
  <si>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</si>
  <si>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</si>
  <si>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</si>
  <si>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</si>
  <si>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</si>
  <si>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</si>
  <si>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</si>
  <si>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</si>
  <si>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</si>
  <si>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</si>
  <si>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北京市东直门立交桥西南角、东二环的核心商圈地带，北临东直门内大街，东面东二环路</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</si>
  <si>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</si>
  <si>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</si>
  <si>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</si>
  <si>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</si>
  <si>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</si>
  <si>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</si>
  <si>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</si>
  <si>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</si>
  <si>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</si>
  <si>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</si>
  <si>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</si>
  <si>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</si>
  <si>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</si>
  <si>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</si>
  <si>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</si>
  <si>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</si>
  <si>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</si>
  <si>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</si>
  <si>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</si>
  <si>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</si>
  <si>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2017年开工；另租赁项目建筑面积11.95万平方米（首三年每月租金2280万元）</t>
  </si>
  <si>
    <t>峯汇国际中心1#楼</t>
  </si>
  <si>
    <t>昌平区北清路1号（京藏高速北清路出口辛庄桥西北角）</t>
  </si>
  <si>
    <t>北清路</t>
  </si>
  <si>
    <t>珠江</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</si>
  <si>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</si>
  <si>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</si>
  <si>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</si>
  <si>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</si>
  <si>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</si>
  <si>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</si>
  <si>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</si>
  <si>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</si>
  <si>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</si>
  <si>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</si>
  <si>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</si>
  <si>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</si>
  <si>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</si>
  <si>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</si>
  <si>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</si>
  <si>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</si>
  <si>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</si>
  <si>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</si>
  <si>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</si>
  <si>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</si>
  <si>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</si>
  <si>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聚龙花园</t>
    <phoneticPr fontId="135" type="noConversion"/>
  </si>
  <si>
    <t>北京远洋锐中心34.5%股权</t>
    <phoneticPr fontId="135" type="noConversion"/>
  </si>
  <si>
    <t>40-50</t>
    <phoneticPr fontId="135" type="noConversion"/>
  </si>
  <si>
    <t>大悦时代广场T2楼</t>
    <phoneticPr fontId="135" type="noConversion"/>
  </si>
  <si>
    <t>中国金融出版社中心</t>
    <phoneticPr fontId="135" type="noConversion"/>
  </si>
  <si>
    <t>中关村集成电路设计园2#办公、商业楼2单元3-10层及1-106</t>
    <phoneticPr fontId="288" alignment="center"/>
  </si>
  <si>
    <t>面积</t>
    <phoneticPr fontId="135" type="noConversion"/>
  </si>
  <si>
    <t>金额</t>
    <phoneticPr fontId="135" type="noConversion"/>
  </si>
  <si>
    <t>单价</t>
    <phoneticPr fontId="135" type="noConversion"/>
  </si>
  <si>
    <t>0-5%</t>
    <phoneticPr fontId="135" type="noConversion"/>
  </si>
  <si>
    <t>5-10%</t>
    <phoneticPr fontId="135" type="noConversion"/>
  </si>
  <si>
    <t>10-15%</t>
    <phoneticPr fontId="135" type="noConversion"/>
  </si>
  <si>
    <t>15-20%</t>
    <phoneticPr fontId="135" type="noConversion"/>
  </si>
  <si>
    <t>20-25%</t>
    <phoneticPr fontId="135" type="noConversion"/>
  </si>
  <si>
    <t>情况4</t>
  </si>
  <si>
    <t>转让取得</t>
  </si>
  <si>
    <t>非个人房产</t>
  </si>
  <si>
    <t>买卖合同</t>
  </si>
  <si>
    <t>2016年5月1日前购买</t>
  </si>
  <si>
    <t>地上车位收入</t>
    <phoneticPr fontId="135" type="noConversion"/>
  </si>
  <si>
    <t>30-40</t>
    <phoneticPr fontId="135" type="noConversion"/>
  </si>
  <si>
    <t>30-40</t>
  </si>
  <si>
    <t>北京来福士中心</t>
    <phoneticPr fontId="135" type="noConversion"/>
  </si>
  <si>
    <t>0-5%</t>
  </si>
  <si>
    <t>5-10%</t>
  </si>
  <si>
    <t>10-15%</t>
  </si>
  <si>
    <t>15-20%</t>
  </si>
  <si>
    <t>20-25%</t>
  </si>
  <si>
    <t>25-30%</t>
    <phoneticPr fontId="33" type="noConversion"/>
  </si>
  <si>
    <t>高层</t>
    <phoneticPr fontId="33" type="noConversion"/>
  </si>
  <si>
    <t>2.估价师知悉的除抵押担保权以外的法定优先受偿款</t>
  </si>
  <si>
    <t>已注销</t>
  </si>
  <si>
    <t>预评</t>
    <phoneticPr fontId="10" type="noConversion"/>
  </si>
  <si>
    <r>
      <rPr>
        <b/>
        <sz val="10"/>
        <rFont val="宋体"/>
        <family val="3"/>
        <charset val="134"/>
      </rPr>
      <t>价值时点</t>
    </r>
  </si>
  <si>
    <r>
      <rPr>
        <b/>
        <sz val="10"/>
        <rFont val="宋体"/>
        <family val="3"/>
        <charset val="134"/>
      </rPr>
      <t>评估总值</t>
    </r>
    <phoneticPr fontId="10"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</si>
  <si>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</si>
  <si>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</si>
  <si>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</si>
  <si>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10"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</si>
  <si>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</si>
  <si>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</si>
  <si>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10" type="noConversion"/>
  </si>
  <si>
    <r>
      <rPr>
        <sz val="10"/>
        <rFont val="宋体"/>
        <family val="3"/>
        <charset val="134"/>
      </rPr>
      <t>印花税</t>
    </r>
    <phoneticPr fontId="10" type="noConversion"/>
  </si>
  <si>
    <r>
      <rPr>
        <sz val="10"/>
        <rFont val="宋体"/>
        <family val="3"/>
        <charset val="134"/>
      </rPr>
      <t>土地增值税</t>
    </r>
    <phoneticPr fontId="10" type="noConversion"/>
  </si>
  <si>
    <r>
      <rPr>
        <sz val="10"/>
        <rFont val="宋体"/>
        <family val="3"/>
        <charset val="134"/>
      </rPr>
      <t>合计</t>
    </r>
    <phoneticPr fontId="10" type="noConversion"/>
  </si>
  <si>
    <r>
      <rPr>
        <sz val="10"/>
        <rFont val="宋体"/>
        <family val="3"/>
        <charset val="134"/>
      </rPr>
      <t>小写</t>
    </r>
  </si>
  <si>
    <r>
      <rPr>
        <sz val="10"/>
        <rFont val="宋体"/>
        <family val="3"/>
        <charset val="134"/>
      </rPr>
      <t>大写</t>
    </r>
  </si>
  <si>
    <r>
      <rPr>
        <sz val="10"/>
        <rFont val="宋体"/>
        <family val="3"/>
        <charset val="134"/>
      </rPr>
      <t>抵押净值</t>
    </r>
    <phoneticPr fontId="10" type="noConversion"/>
  </si>
  <si>
    <r>
      <rPr>
        <sz val="10"/>
        <rFont val="宋体"/>
        <family val="3"/>
        <charset val="134"/>
      </rPr>
      <t>抵押净值单价</t>
    </r>
    <phoneticPr fontId="10" type="noConversion"/>
  </si>
  <si>
    <t>都城伟业集团有限公司</t>
    <phoneticPr fontId="8" type="noConversion"/>
  </si>
  <si>
    <t>商业</t>
    <phoneticPr fontId="5" type="noConversion"/>
  </si>
  <si>
    <t>车库</t>
    <phoneticPr fontId="5" type="noConversion"/>
  </si>
  <si>
    <t>朝阳区朝阳门外大街5号院1号楼</t>
    <phoneticPr fontId="8" type="noConversion"/>
  </si>
  <si>
    <t>山水广场</t>
  </si>
  <si>
    <t>山水广场</t>
    <phoneticPr fontId="9" type="noConversion"/>
  </si>
  <si>
    <t>建安取值</t>
    <phoneticPr fontId="135" type="noConversion"/>
  </si>
  <si>
    <t>单方建安</t>
    <phoneticPr fontId="5" type="noConversion"/>
  </si>
  <si>
    <t>合计</t>
    <phoneticPr fontId="5" type="noConversion"/>
  </si>
  <si>
    <t>工程进度</t>
    <phoneticPr fontId="5" type="noConversion"/>
  </si>
  <si>
    <t>主体</t>
    <phoneticPr fontId="5" type="noConversion"/>
  </si>
  <si>
    <t>地上</t>
    <phoneticPr fontId="5" type="noConversion"/>
  </si>
  <si>
    <t>地下</t>
    <phoneticPr fontId="5" type="noConversion"/>
  </si>
  <si>
    <t>地上</t>
    <phoneticPr fontId="135" type="noConversion"/>
  </si>
  <si>
    <t>装修</t>
    <phoneticPr fontId="5" type="noConversion"/>
  </si>
  <si>
    <t>地下</t>
    <phoneticPr fontId="135" type="noConversion"/>
  </si>
  <si>
    <t>设备</t>
    <phoneticPr fontId="5" type="noConversion"/>
  </si>
  <si>
    <t>人防</t>
    <phoneticPr fontId="5" type="noConversion"/>
  </si>
  <si>
    <t>成新度</t>
    <phoneticPr fontId="135" type="noConversion"/>
  </si>
  <si>
    <t>建成年代</t>
    <phoneticPr fontId="5" type="noConversion"/>
  </si>
  <si>
    <t>砖混</t>
    <phoneticPr fontId="5" type="noConversion"/>
  </si>
  <si>
    <t>钢混</t>
    <phoneticPr fontId="5" type="noConversion"/>
  </si>
  <si>
    <t>残值率</t>
    <phoneticPr fontId="5" type="noConversion"/>
  </si>
  <si>
    <t>成新度</t>
    <phoneticPr fontId="5" type="noConversion"/>
  </si>
  <si>
    <t>直线折旧</t>
    <phoneticPr fontId="5" type="noConversion"/>
  </si>
  <si>
    <t>观察成新</t>
    <phoneticPr fontId="5" type="noConversion"/>
  </si>
  <si>
    <t>地上3-12层</t>
    <phoneticPr fontId="135" type="noConversion"/>
  </si>
  <si>
    <t>地上</t>
    <phoneticPr fontId="135" type="noConversion"/>
  </si>
  <si>
    <t>自定义容积率</t>
  </si>
  <si>
    <t>收益比率</t>
  </si>
  <si>
    <t>20-30</t>
  </si>
  <si>
    <t>比较法-办公2</t>
    <phoneticPr fontId="18" type="noConversion"/>
  </si>
  <si>
    <t>40-50</t>
  </si>
  <si>
    <t>通州富力中心</t>
  </si>
  <si>
    <t>高速</t>
    <phoneticPr fontId="33" type="noConversion"/>
  </si>
  <si>
    <t>快速</t>
    <phoneticPr fontId="33" type="noConversion"/>
  </si>
  <si>
    <t>主干道</t>
  </si>
  <si>
    <t>主干道</t>
    <phoneticPr fontId="33" type="noConversion"/>
  </si>
  <si>
    <t>次干道</t>
  </si>
  <si>
    <t>次干道</t>
    <phoneticPr fontId="33" type="noConversion"/>
  </si>
  <si>
    <t>支路</t>
    <phoneticPr fontId="33" type="noConversion"/>
  </si>
  <si>
    <r>
      <rPr>
        <sz val="11"/>
        <color theme="9" tint="-0.249977111117893"/>
        <rFont val="宋体"/>
        <family val="3"/>
        <charset val="134"/>
      </rPr>
      <t>德胜国际中心</t>
    </r>
    <r>
      <rPr>
        <sz val="11"/>
        <color theme="9" tint="-0.249977111117893"/>
        <rFont val="Arial"/>
        <family val="2"/>
      </rPr>
      <t>BE</t>
    </r>
    <r>
      <rPr>
        <sz val="11"/>
        <color theme="9" tint="-0.249977111117893"/>
        <rFont val="宋体"/>
        <family val="3"/>
        <charset val="134"/>
      </rPr>
      <t>座</t>
    </r>
    <phoneticPr fontId="33" type="noConversion"/>
  </si>
  <si>
    <t>地下2层</t>
    <phoneticPr fontId="135" type="noConversion"/>
  </si>
  <si>
    <t>地上1层</t>
  </si>
  <si>
    <t>地上2层</t>
  </si>
  <si>
    <t>地上5层</t>
  </si>
  <si>
    <t>地上4层</t>
  </si>
  <si>
    <t>地上3层</t>
  </si>
  <si>
    <t>地上6层</t>
    <phoneticPr fontId="135" type="noConversion"/>
  </si>
  <si>
    <t>地上11层</t>
  </si>
  <si>
    <t>地上10层</t>
  </si>
  <si>
    <t>地上9层</t>
  </si>
  <si>
    <t>地上8层</t>
  </si>
  <si>
    <t>地上12层</t>
    <phoneticPr fontId="135" type="noConversion"/>
  </si>
  <si>
    <t>地上1-2层</t>
    <phoneticPr fontId="135" type="noConversion"/>
  </si>
  <si>
    <t>地上1-2层</t>
    <phoneticPr fontId="135" type="noConversion"/>
  </si>
  <si>
    <t>地下1层</t>
    <phoneticPr fontId="135" type="noConversion"/>
  </si>
  <si>
    <t>地下2层</t>
    <phoneticPr fontId="135" type="noConversion"/>
  </si>
  <si>
    <t>购房发票</t>
    <phoneticPr fontId="135" type="noConversion"/>
  </si>
  <si>
    <t>00181953</t>
    <phoneticPr fontId="135" type="noConversion"/>
  </si>
  <si>
    <t>00181954</t>
    <phoneticPr fontId="135" type="noConversion"/>
  </si>
  <si>
    <t>00181955</t>
  </si>
  <si>
    <t>00181956</t>
  </si>
  <si>
    <t>00181957</t>
  </si>
  <si>
    <t>00181958</t>
  </si>
  <si>
    <t>00181959</t>
  </si>
  <si>
    <t>00181960</t>
  </si>
  <si>
    <t>00181962</t>
  </si>
  <si>
    <t>00181961</t>
  </si>
  <si>
    <t>00181963</t>
  </si>
  <si>
    <t>00181964</t>
  </si>
  <si>
    <t>00181965</t>
  </si>
  <si>
    <t>00181966</t>
  </si>
  <si>
    <t>00181968</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</si>
</sst>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_ * #,##0.0_ ;_ * \-#,##0.0_ ;_ * &quot;-&quot;??_ ;_ @_ "/>
  </numFmts>
  <fonts count="291">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KaiTi"/>
      <family val="3"/>
    </font>
    <font>
      <b/>
      <sz val="8"/>
      <color rgb="FF006A4D"/>
      <name val="KaiTi"/>
      <family val="3"/>
    </font>
    <font>
      <sz val="8"/>
      <color theme="1"/>
      <name val="KaiTi"/>
      <family val="3"/>
    </font>
    <font>
      <b/>
      <sz val="8"/>
      <color rgb="FF006A4D"/>
      <name val="宋体"/>
      <family val="3"/>
      <charset val="134"/>
    </font>
    <font>
      <sz val="8"/>
      <color rgb="FF000000"/>
      <name val="KaiTi"/>
      <family val="3"/>
    </font>
    <font>
      <sz val="8"/>
      <name val="KaiTi"/>
      <family val="3"/>
    </font>
    <font>
      <sz val="8"/>
      <color rgb="FF252525"/>
      <name val="KaiTi"/>
      <family val="3"/>
    </font>
    <font>
      <sz val="8"/>
      <name val="宋体"/>
      <family val="3"/>
      <charset val="134"/>
    </font>
    <font>
      <sz val="11"/>
      <name val="宋体"/>
      <family val="3"/>
      <charset val="134"/>
      <scheme val="minor"/>
    </font>
    <font>
      <sz val="11"/>
      <color rgb="FFFF0000"/>
      <name val="宋体"/>
      <family val="2"/>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b/>
      <sz val="10"/>
      <color theme="0"/>
      <name val="宋体"/>
      <family val="3"/>
      <charset val="134"/>
    </font>
    <font>
      <sz val="10"/>
      <color theme="0"/>
      <name val="宋体"/>
      <family val="3"/>
      <charset val="134"/>
    </font>
    <font>
      <sz val="6"/>
      <name val="Yu Gothic"/>
      <family val="2"/>
      <charset val="128"/>
    </font>
    <font>
      <sz val="11"/>
      <color theme="1"/>
      <name val="宋体"/>
      <family val="3"/>
      <charset val="134"/>
      <scheme val="minor"/>
    </font>
    <font>
      <sz val="9"/>
      <name val="Palatino Linotype"/>
      <family val="1"/>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2">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0"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6" fillId="0" borderId="0" applyFont="0" applyFill="0" applyBorder="0" applyAlignment="0" applyProtection="0">
      <alignment vertical="center"/>
    </xf>
    <xf numFmtId="192" fontId="97" fillId="0" borderId="0">
      <alignment vertical="center"/>
    </xf>
    <xf numFmtId="0" fontId="280" fillId="0" borderId="0"/>
    <xf numFmtId="43" fontId="280" fillId="0" borderId="0" applyFont="0" applyFill="0" applyBorder="0" applyAlignment="0" applyProtection="0">
      <alignment vertical="center"/>
    </xf>
    <xf numFmtId="0" fontId="2" fillId="0" borderId="0">
      <alignment vertical="center"/>
    </xf>
    <xf numFmtId="43" fontId="289" fillId="0" borderId="0" applyFont="0" applyFill="0" applyBorder="0" applyAlignment="0" applyProtection="0">
      <alignment vertical="center"/>
    </xf>
    <xf numFmtId="9"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91" fontId="38" fillId="0" borderId="0"/>
    <xf numFmtId="191" fontId="38" fillId="0" borderId="0"/>
    <xf numFmtId="191" fontId="290" fillId="0" borderId="0"/>
    <xf numFmtId="191" fontId="97" fillId="0" borderId="0">
      <alignment vertical="center"/>
    </xf>
    <xf numFmtId="191" fontId="97" fillId="0" borderId="0">
      <alignment vertical="center"/>
    </xf>
    <xf numFmtId="191" fontId="97" fillId="0" borderId="0"/>
    <xf numFmtId="191" fontId="55" fillId="0" borderId="0"/>
    <xf numFmtId="9" fontId="160" fillId="0" borderId="0" applyFont="0" applyFill="0" applyBorder="0" applyAlignment="0" applyProtection="0">
      <alignment vertical="center"/>
    </xf>
    <xf numFmtId="0" fontId="97" fillId="0" borderId="0">
      <alignment vertical="center"/>
    </xf>
    <xf numFmtId="0" fontId="1" fillId="0" borderId="0">
      <alignment vertical="center"/>
    </xf>
    <xf numFmtId="0" fontId="222" fillId="0" borderId="0"/>
    <xf numFmtId="191" fontId="97" fillId="0" borderId="0"/>
    <xf numFmtId="191" fontId="97" fillId="0" borderId="0">
      <alignment vertical="center"/>
    </xf>
    <xf numFmtId="0" fontId="160" fillId="0" borderId="0"/>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xf numFmtId="43" fontId="97" fillId="0" borderId="0" applyFont="0" applyFill="0" applyBorder="0" applyAlignment="0" applyProtection="0">
      <alignment vertical="center"/>
    </xf>
  </cellStyleXfs>
  <cellXfs count="3928">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100" fillId="6" borderId="0" xfId="0" applyFont="1" applyFill="1" applyAlignment="1" applyProtection="1">
      <alignment horizontal="center" vertical="center"/>
    </xf>
    <xf numFmtId="0" fontId="100"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2"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2"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0" fillId="6" borderId="9" xfId="0" applyFont="1" applyFill="1" applyBorder="1" applyAlignment="1" applyProtection="1">
      <alignment horizontal="center" vertical="center"/>
    </xf>
    <xf numFmtId="0" fontId="100"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0" fillId="6" borderId="1"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2" fillId="0" borderId="1" xfId="0" applyFont="1" applyFill="1" applyBorder="1" applyAlignment="1" applyProtection="1">
      <alignment horizontal="center" vertical="center"/>
      <protection locked="0"/>
    </xf>
    <xf numFmtId="0" fontId="102"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3"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6"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1"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4" fillId="6" borderId="1" xfId="0" applyFont="1" applyFill="1" applyBorder="1" applyAlignment="1" applyProtection="1">
      <alignment horizontal="left"/>
    </xf>
    <xf numFmtId="0" fontId="104"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3"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0"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0" fillId="6" borderId="0" xfId="0" applyFont="1" applyFill="1" applyAlignment="1" applyProtection="1">
      <alignment vertical="center"/>
    </xf>
    <xf numFmtId="0" fontId="100" fillId="6" borderId="0" xfId="0" applyFont="1" applyFill="1" applyAlignment="1" applyProtection="1">
      <alignment horizontal="left" vertical="center"/>
    </xf>
    <xf numFmtId="0" fontId="100"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7"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1"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5" fillId="6" borderId="24" xfId="0"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80"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0" fontId="101"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1"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5"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pplyProtection="1">
      <alignment horizontal="center" vertical="center"/>
    </xf>
    <xf numFmtId="185" fontId="101" fillId="0" borderId="13" xfId="0" applyNumberFormat="1" applyFont="1" applyFill="1" applyBorder="1" applyAlignment="1" applyProtection="1">
      <alignment horizontal="center"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5"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16" fillId="0" borderId="0" xfId="5" applyFont="1">
      <alignment vertical="center"/>
    </xf>
    <xf numFmtId="0" fontId="97" fillId="0" borderId="0" xfId="5">
      <alignment vertical="center"/>
    </xf>
    <xf numFmtId="0" fontId="116"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3" fontId="49" fillId="0" borderId="1" xfId="0" applyNumberFormat="1" applyFont="1" applyFill="1" applyBorder="1" applyAlignment="1" applyProtection="1">
      <alignment horizontal="center" vertical="center" shrinkToFit="1"/>
      <protection locked="0"/>
    </xf>
    <xf numFmtId="183"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00" fillId="6" borderId="28" xfId="0" applyNumberFormat="1" applyFont="1" applyFill="1" applyBorder="1" applyProtection="1">
      <alignment vertical="center"/>
    </xf>
    <xf numFmtId="0" fontId="100" fillId="6" borderId="5" xfId="0" applyNumberFormat="1" applyFont="1" applyFill="1" applyBorder="1" applyProtection="1">
      <alignment vertical="center"/>
    </xf>
    <xf numFmtId="0" fontId="100"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pplyProtection="1">
      <alignment horizontal="center" vertical="center"/>
    </xf>
    <xf numFmtId="0" fontId="101" fillId="6" borderId="86" xfId="0" applyFont="1" applyFill="1" applyBorder="1" applyAlignment="1" applyProtection="1">
      <alignment horizontal="center" vertical="center"/>
    </xf>
    <xf numFmtId="0" fontId="101" fillId="0" borderId="86" xfId="0" applyFont="1" applyFill="1" applyBorder="1" applyAlignment="1" applyProtection="1">
      <alignment horizontal="center" vertical="center"/>
      <protection locked="0"/>
    </xf>
    <xf numFmtId="0" fontId="101"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8"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2"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6"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89"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1" fillId="6" borderId="1" xfId="8" applyFont="1" applyFill="1" applyBorder="1" applyAlignment="1" applyProtection="1">
      <alignment horizontal="center" vertical="center"/>
    </xf>
    <xf numFmtId="0" fontId="59" fillId="6" borderId="2" xfId="1" applyFont="1" applyFill="1" applyBorder="1" applyAlignment="1" applyProtection="1">
      <alignment vertical="center"/>
    </xf>
    <xf numFmtId="0" fontId="103"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3"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23"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23"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1"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1" fillId="0" borderId="1" xfId="0" applyNumberFormat="1" applyFont="1" applyFill="1" applyBorder="1" applyAlignment="1" applyProtection="1">
      <alignment horizontal="center" vertical="center" wrapText="1"/>
      <protection locked="0"/>
    </xf>
    <xf numFmtId="0" fontId="101" fillId="0" borderId="1" xfId="0" applyNumberFormat="1" applyFont="1" applyFill="1" applyBorder="1" applyAlignment="1" applyProtection="1">
      <alignment horizontal="left" vertical="center" wrapText="1"/>
      <protection locked="0"/>
    </xf>
    <xf numFmtId="0" fontId="101" fillId="0" borderId="5" xfId="0" applyNumberFormat="1" applyFont="1" applyFill="1" applyBorder="1" applyAlignment="1" applyProtection="1">
      <alignment horizontal="center" vertical="center" wrapText="1"/>
      <protection locked="0"/>
    </xf>
    <xf numFmtId="0" fontId="101" fillId="0" borderId="48" xfId="0" applyNumberFormat="1" applyFont="1" applyFill="1" applyBorder="1" applyAlignment="1" applyProtection="1">
      <alignment horizontal="center" vertical="center" wrapText="1"/>
      <protection locked="0"/>
    </xf>
    <xf numFmtId="0" fontId="101" fillId="0" borderId="13" xfId="0" applyNumberFormat="1" applyFont="1" applyFill="1" applyBorder="1" applyAlignment="1" applyProtection="1">
      <alignment horizontal="center" vertical="center" wrapText="1"/>
      <protection locked="0"/>
    </xf>
    <xf numFmtId="0" fontId="101" fillId="0" borderId="46" xfId="0" applyNumberFormat="1" applyFont="1" applyFill="1" applyBorder="1" applyAlignment="1" applyProtection="1">
      <alignment horizontal="center" vertical="center" wrapText="1"/>
      <protection locked="0"/>
    </xf>
    <xf numFmtId="0" fontId="101" fillId="0" borderId="59"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center" vertical="center" wrapText="1"/>
      <protection locked="0"/>
    </xf>
    <xf numFmtId="0" fontId="101" fillId="0" borderId="110" xfId="0" applyNumberFormat="1" applyFont="1" applyFill="1" applyBorder="1" applyAlignment="1" applyProtection="1">
      <alignment horizontal="left" vertical="center" wrapText="1"/>
      <protection locked="0"/>
    </xf>
    <xf numFmtId="0" fontId="101" fillId="0" borderId="111" xfId="0" applyNumberFormat="1" applyFont="1" applyFill="1" applyBorder="1" applyAlignment="1" applyProtection="1">
      <alignment horizontal="center" vertical="center" wrapText="1"/>
      <protection locked="0"/>
    </xf>
    <xf numFmtId="0" fontId="101" fillId="0" borderId="112" xfId="0" applyNumberFormat="1" applyFont="1" applyFill="1" applyBorder="1" applyAlignment="1" applyProtection="1">
      <alignment horizontal="center" vertical="center" wrapText="1"/>
      <protection locked="0"/>
    </xf>
    <xf numFmtId="0" fontId="101" fillId="6" borderId="98"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1" fillId="0" borderId="58" xfId="0" applyFont="1" applyFill="1" applyBorder="1" applyAlignment="1" applyProtection="1">
      <alignment horizontal="center" vertical="center"/>
      <protection locked="0"/>
    </xf>
    <xf numFmtId="0"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wrapText="1"/>
      <protection locked="0"/>
    </xf>
    <xf numFmtId="9" fontId="101" fillId="0" borderId="15" xfId="0" applyNumberFormat="1" applyFont="1" applyFill="1" applyBorder="1" applyAlignment="1" applyProtection="1">
      <alignment horizontal="center" vertical="center" wrapText="1"/>
      <protection locked="0"/>
    </xf>
    <xf numFmtId="0" fontId="101" fillId="0" borderId="15" xfId="0" applyFont="1" applyFill="1" applyBorder="1" applyAlignment="1" applyProtection="1">
      <alignment horizontal="center" vertical="center"/>
      <protection locked="0"/>
    </xf>
    <xf numFmtId="0" fontId="101" fillId="0" borderId="56" xfId="0" applyFont="1" applyFill="1" applyBorder="1" applyAlignment="1" applyProtection="1">
      <alignment horizontal="center" vertical="center"/>
      <protection locked="0"/>
    </xf>
    <xf numFmtId="0" fontId="101" fillId="0" borderId="2" xfId="0" applyNumberFormat="1" applyFont="1" applyFill="1" applyBorder="1" applyAlignment="1" applyProtection="1">
      <alignment horizontal="left" vertical="center" wrapText="1"/>
      <protection locked="0"/>
    </xf>
    <xf numFmtId="0" fontId="101"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100" fillId="6" borderId="9" xfId="0" applyNumberFormat="1" applyFont="1" applyFill="1" applyBorder="1" applyAlignment="1" applyProtection="1">
      <alignment horizontal="center" vertical="center" wrapText="1"/>
    </xf>
    <xf numFmtId="0" fontId="100"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center" vertical="center" wrapText="1"/>
    </xf>
    <xf numFmtId="0" fontId="101"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0"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pplyProtection="1">
      <alignment horizontal="center" vertical="center"/>
    </xf>
    <xf numFmtId="0" fontId="101" fillId="6" borderId="82" xfId="0" applyFont="1" applyFill="1" applyBorder="1" applyAlignment="1" applyProtection="1">
      <alignment vertical="center" wrapText="1"/>
    </xf>
    <xf numFmtId="0" fontId="101" fillId="6" borderId="65" xfId="0" applyFont="1" applyFill="1" applyBorder="1" applyAlignment="1" applyProtection="1">
      <alignment vertical="center"/>
    </xf>
    <xf numFmtId="0" fontId="101"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1" fillId="6" borderId="81" xfId="0" applyFont="1" applyFill="1" applyBorder="1" applyAlignment="1" applyProtection="1">
      <alignment vertical="center" wrapText="1"/>
    </xf>
    <xf numFmtId="0" fontId="101" fillId="6" borderId="43" xfId="0" applyFont="1" applyFill="1" applyBorder="1" applyAlignment="1" applyProtection="1">
      <alignment vertical="center"/>
    </xf>
    <xf numFmtId="0" fontId="101"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1" fillId="6" borderId="81" xfId="0" applyFont="1" applyFill="1" applyBorder="1" applyAlignment="1" applyProtection="1">
      <alignment horizontal="right" vertical="center" wrapText="1"/>
    </xf>
    <xf numFmtId="0" fontId="101"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3"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7" fillId="0" borderId="0" xfId="0" applyFont="1" applyProtection="1">
      <alignment vertical="center"/>
      <protection locked="0"/>
    </xf>
    <xf numFmtId="0" fontId="196" fillId="0" borderId="0" xfId="0" applyFont="1" applyBorder="1" applyAlignment="1">
      <alignment horizontal="center" vertical="center"/>
    </xf>
    <xf numFmtId="0" fontId="100" fillId="0" borderId="0" xfId="0" applyFont="1">
      <alignment vertical="center"/>
    </xf>
    <xf numFmtId="0" fontId="100"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00" fillId="0" borderId="0" xfId="0" applyFont="1" applyProtection="1">
      <alignment vertical="center"/>
      <protection locked="0"/>
    </xf>
    <xf numFmtId="0" fontId="197" fillId="0" borderId="0" xfId="7" applyFont="1" applyProtection="1">
      <alignment vertical="center"/>
    </xf>
    <xf numFmtId="0" fontId="100" fillId="0" borderId="0" xfId="7" applyFont="1" applyProtection="1">
      <alignment vertical="center"/>
    </xf>
    <xf numFmtId="0" fontId="100"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6"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1" fillId="0" borderId="0" xfId="7" applyFont="1" applyProtection="1">
      <alignment vertical="center"/>
    </xf>
    <xf numFmtId="0" fontId="100" fillId="0" borderId="0" xfId="7" applyFont="1" applyProtection="1">
      <alignment vertical="center"/>
      <protection locked="0"/>
    </xf>
    <xf numFmtId="0" fontId="131"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7"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100" fillId="0" borderId="0" xfId="0" applyFont="1" applyAlignment="1" applyProtection="1">
      <alignment vertical="center" wrapText="1"/>
      <protection locked="0"/>
    </xf>
    <xf numFmtId="0" fontId="131" fillId="0" borderId="0" xfId="0" applyFont="1" applyAlignment="1">
      <alignment horizontal="right" vertical="center"/>
    </xf>
    <xf numFmtId="0" fontId="97"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5" fillId="6" borderId="0" xfId="0" applyFont="1" applyFill="1" applyAlignment="1" applyProtection="1">
      <alignment horizontal="left" vertical="center"/>
    </xf>
    <xf numFmtId="0" fontId="103"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5"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5"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0"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2"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2" fillId="0" borderId="6" xfId="0" applyFont="1" applyFill="1" applyBorder="1" applyAlignment="1" applyProtection="1">
      <alignment horizontal="center" vertical="center"/>
      <protection locked="0"/>
    </xf>
    <xf numFmtId="0" fontId="102" fillId="0" borderId="9" xfId="0" applyFont="1" applyFill="1" applyBorder="1" applyAlignment="1" applyProtection="1">
      <alignment horizontal="center" vertical="center"/>
      <protection locked="0"/>
    </xf>
    <xf numFmtId="0" fontId="102"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5"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4" fillId="6" borderId="0" xfId="0" applyFont="1" applyFill="1" applyBorder="1" applyAlignment="1" applyProtection="1">
      <alignment horizontal="left" vertical="center"/>
    </xf>
    <xf numFmtId="0" fontId="100"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7" borderId="0" xfId="0" applyFont="1" applyFill="1" applyProtection="1">
      <alignment vertical="center"/>
      <protection locked="0"/>
    </xf>
    <xf numFmtId="0" fontId="100" fillId="7" borderId="0" xfId="0" applyFont="1" applyFill="1" applyProtection="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6"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3" fillId="6" borderId="51" xfId="0" applyNumberFormat="1" applyFont="1" applyFill="1" applyBorder="1" applyAlignment="1" applyProtection="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pplyAlignment="1" applyProtection="1">
      <alignment vertical="center"/>
    </xf>
    <xf numFmtId="0" fontId="100" fillId="6" borderId="5" xfId="0" applyFont="1" applyFill="1" applyBorder="1">
      <alignment vertical="center"/>
    </xf>
    <xf numFmtId="0" fontId="100"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100" fillId="6" borderId="1"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8"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6" fillId="6" borderId="21" xfId="0" applyNumberFormat="1" applyFont="1" applyFill="1" applyBorder="1" applyAlignment="1" applyProtection="1">
      <alignment horizontal="center" vertical="center" wrapText="1"/>
    </xf>
    <xf numFmtId="188"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8" fontId="53" fillId="6" borderId="48" xfId="0" applyNumberFormat="1" applyFont="1" applyFill="1" applyBorder="1" applyAlignment="1" applyProtection="1">
      <alignment horizontal="center" vertical="center"/>
    </xf>
    <xf numFmtId="188"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0"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2" fillId="0" borderId="0" xfId="0" applyFont="1" applyFill="1" applyAlignment="1" applyProtection="1">
      <alignment horizontal="left" vertical="center"/>
      <protection locked="0"/>
    </xf>
    <xf numFmtId="0" fontId="100"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0"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0" fillId="6" borderId="5" xfId="0" applyFont="1" applyFill="1" applyBorder="1" applyAlignment="1" applyProtection="1">
      <alignment horizontal="center" vertical="center"/>
    </xf>
    <xf numFmtId="0" fontId="100"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pplyProtection="1">
      <alignment horizontal="center" vertical="center"/>
    </xf>
    <xf numFmtId="0" fontId="100" fillId="6" borderId="3" xfId="0" applyFont="1" applyFill="1" applyBorder="1" applyAlignment="1" applyProtection="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0"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3"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pplyProtection="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pplyProtection="1">
      <alignment horizontal="center" vertical="center"/>
    </xf>
    <xf numFmtId="0" fontId="101"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0"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0"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0" fillId="6" borderId="23" xfId="0" applyNumberFormat="1" applyFont="1" applyFill="1" applyBorder="1" applyAlignment="1" applyProtection="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0" fillId="6" borderId="25" xfId="0" applyNumberFormat="1" applyFont="1" applyFill="1" applyBorder="1" applyAlignment="1" applyProtection="1">
      <alignment horizontal="center" vertical="center"/>
    </xf>
    <xf numFmtId="0" fontId="101" fillId="6" borderId="13"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xf>
    <xf numFmtId="0" fontId="101" fillId="6" borderId="2"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6" borderId="0" xfId="0" applyFont="1" applyFill="1" applyBorder="1" applyAlignment="1" applyProtection="1">
      <alignmen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pplyAlignment="1" applyProtection="1">
      <alignment vertical="center"/>
    </xf>
    <xf numFmtId="0" fontId="101"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1"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1"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100"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100"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1"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1" fillId="6" borderId="1" xfId="0" applyNumberFormat="1" applyFont="1" applyFill="1" applyBorder="1" applyAlignment="1" applyProtection="1">
      <alignment horizontal="center" vertical="center" wrapText="1"/>
    </xf>
    <xf numFmtId="0" fontId="101"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1" fillId="6" borderId="37" xfId="0" applyFont="1" applyFill="1" applyBorder="1" applyAlignment="1" applyProtection="1">
      <alignment horizontal="center" vertical="center" wrapText="1"/>
    </xf>
    <xf numFmtId="0" fontId="101" fillId="6" borderId="25" xfId="0" applyFont="1" applyFill="1" applyBorder="1" applyAlignment="1" applyProtection="1">
      <alignment horizontal="center" vertical="center" wrapText="1"/>
    </xf>
    <xf numFmtId="49" fontId="101" fillId="6" borderId="74" xfId="0" applyNumberFormat="1" applyFont="1" applyFill="1" applyBorder="1" applyAlignment="1" applyProtection="1">
      <alignment horizontal="center" vertical="center" wrapText="1"/>
    </xf>
    <xf numFmtId="49"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1" fillId="6" borderId="32" xfId="0" applyNumberFormat="1" applyFont="1" applyFill="1" applyBorder="1" applyAlignment="1" applyProtection="1">
      <alignment horizontal="center" vertical="center" wrapText="1"/>
    </xf>
    <xf numFmtId="0" fontId="55" fillId="0" borderId="0" xfId="0" applyFont="1" applyAlignment="1" applyProtection="1">
      <alignment horizontal="left" vertical="center" wrapText="1"/>
    </xf>
    <xf numFmtId="0" fontId="125" fillId="6" borderId="1" xfId="0" applyFont="1" applyFill="1" applyBorder="1">
      <alignment vertical="center"/>
    </xf>
    <xf numFmtId="0" fontId="100" fillId="6" borderId="1" xfId="0" applyFont="1" applyFill="1" applyBorder="1">
      <alignment vertical="center"/>
    </xf>
    <xf numFmtId="0" fontId="100"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1" fillId="6" borderId="1" xfId="0" applyNumberFormat="1" applyFont="1" applyFill="1" applyBorder="1" applyAlignment="1" applyProtection="1">
      <alignment horizontal="center" vertical="center" wrapText="1"/>
    </xf>
    <xf numFmtId="0" fontId="21" fillId="6" borderId="1" xfId="0" applyFont="1" applyFill="1" applyBorder="1" applyAlignment="1" applyProtection="1">
      <alignment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4" fillId="6" borderId="119" xfId="10" applyFont="1" applyFill="1" applyBorder="1" applyAlignment="1" applyProtection="1">
      <alignment horizontal="left" vertical="center"/>
    </xf>
    <xf numFmtId="0" fontId="104" fillId="0" borderId="120" xfId="9" applyFont="1" applyBorder="1" applyAlignment="1">
      <alignment horizontal="left" vertical="center"/>
    </xf>
    <xf numFmtId="0" fontId="139" fillId="15" borderId="0" xfId="9" applyFont="1" applyFill="1" applyAlignment="1">
      <alignment horizontal="left" vertical="center"/>
    </xf>
    <xf numFmtId="0" fontId="100" fillId="15" borderId="0" xfId="10" applyFont="1" applyFill="1" applyAlignment="1" applyProtection="1">
      <alignment horizontal="left" vertical="center"/>
    </xf>
    <xf numFmtId="0" fontId="24" fillId="15" borderId="0" xfId="10" applyFont="1" applyFill="1" applyAlignment="1" applyProtection="1">
      <alignment horizontal="left" vertical="center"/>
    </xf>
    <xf numFmtId="0" fontId="104" fillId="15" borderId="121" xfId="9" applyFont="1" applyFill="1" applyBorder="1" applyAlignment="1">
      <alignment horizontal="left" vertical="center"/>
    </xf>
    <xf numFmtId="0" fontId="104"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4" fillId="15" borderId="0" xfId="9" applyFont="1" applyFill="1" applyAlignment="1">
      <alignment horizontal="left" vertical="center"/>
    </xf>
    <xf numFmtId="0" fontId="137"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4" fillId="0" borderId="0" xfId="9" applyFont="1" applyFill="1" applyAlignment="1">
      <alignment horizontal="left" vertical="center"/>
    </xf>
    <xf numFmtId="0" fontId="100" fillId="0" borderId="0" xfId="10" applyFont="1" applyFill="1" applyAlignment="1" applyProtection="1">
      <alignment horizontal="left" vertical="center"/>
    </xf>
    <xf numFmtId="0" fontId="24" fillId="0" borderId="0" xfId="10" applyFont="1" applyFill="1" applyAlignment="1" applyProtection="1">
      <alignment horizontal="left" vertical="center"/>
    </xf>
    <xf numFmtId="0" fontId="104" fillId="0" borderId="121" xfId="9" applyFont="1" applyFill="1" applyBorder="1" applyAlignment="1">
      <alignment horizontal="left" vertical="center"/>
    </xf>
    <xf numFmtId="0" fontId="104" fillId="0" borderId="0" xfId="9" applyFont="1" applyFill="1" applyBorder="1" applyAlignment="1">
      <alignment horizontal="left" vertical="center"/>
    </xf>
    <xf numFmtId="0" fontId="104" fillId="0" borderId="0" xfId="9" applyFont="1" applyFill="1" applyBorder="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4"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4"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1"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01" fillId="0" borderId="0" xfId="9" applyFont="1" applyFill="1" applyAlignment="1">
      <alignment horizontal="left" vertical="center"/>
    </xf>
    <xf numFmtId="10" fontId="101"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4" fillId="11" borderId="123" xfId="9" applyNumberFormat="1" applyFont="1" applyFill="1" applyBorder="1" applyAlignment="1" applyProtection="1">
      <alignment horizontal="left" vertical="center" wrapText="1"/>
    </xf>
    <xf numFmtId="185" fontId="104"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1" fillId="0" borderId="0" xfId="9" applyNumberFormat="1" applyFont="1" applyBorder="1" applyAlignment="1">
      <alignment horizontal="left" vertical="center"/>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pplyProtection="1">
      <alignment horizontal="left" vertical="center" wrapText="1"/>
    </xf>
    <xf numFmtId="0" fontId="101"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pplyProtection="1">
      <alignment horizontal="left" vertical="center" wrapText="1"/>
    </xf>
    <xf numFmtId="0" fontId="101" fillId="5" borderId="130" xfId="9" applyFont="1" applyFill="1" applyBorder="1" applyAlignment="1" applyProtection="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1" fillId="5" borderId="0" xfId="9" applyNumberFormat="1" applyFont="1" applyFill="1" applyAlignment="1">
      <alignment horizontal="left" vertical="center"/>
    </xf>
    <xf numFmtId="0" fontId="101" fillId="11" borderId="132" xfId="9" applyFont="1" applyFill="1" applyBorder="1" applyAlignment="1" applyProtection="1">
      <alignment horizontal="left" vertical="center" wrapText="1"/>
    </xf>
    <xf numFmtId="0" fontId="101" fillId="11" borderId="133" xfId="9" applyFont="1" applyFill="1" applyBorder="1" applyAlignment="1" applyProtection="1">
      <alignment horizontal="left" vertical="center" wrapText="1"/>
    </xf>
    <xf numFmtId="14" fontId="101" fillId="0" borderId="0" xfId="9" applyNumberFormat="1" applyFont="1" applyAlignment="1">
      <alignment horizontal="left" vertical="center"/>
    </xf>
    <xf numFmtId="0" fontId="123" fillId="0" borderId="0" xfId="9" applyFont="1" applyAlignment="1">
      <alignment horizontal="left" vertical="center"/>
    </xf>
    <xf numFmtId="0" fontId="101" fillId="0" borderId="0" xfId="9" applyNumberFormat="1"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3"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3" fillId="7" borderId="154" xfId="0" applyFont="1" applyFill="1" applyBorder="1" applyAlignment="1" applyProtection="1">
      <protection locked="0"/>
    </xf>
    <xf numFmtId="0" fontId="103" fillId="7" borderId="154" xfId="0" applyFont="1" applyFill="1" applyBorder="1" applyAlignment="1" applyProtection="1"/>
    <xf numFmtId="0" fontId="103"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 xfId="0"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2" fillId="7" borderId="0" xfId="0" applyFont="1" applyFill="1" applyProtection="1">
      <alignment vertical="center"/>
    </xf>
    <xf numFmtId="0" fontId="101" fillId="6" borderId="1"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0"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0"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6" fillId="6" borderId="24"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106"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6" fillId="6" borderId="33" xfId="0" applyFont="1" applyFill="1" applyBorder="1" applyAlignment="1" applyProtection="1">
      <alignment horizontal="left" vertical="center" wrapText="1"/>
    </xf>
    <xf numFmtId="0" fontId="106"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pplyProtection="1">
      <alignment horizontal="left" vertical="center"/>
    </xf>
    <xf numFmtId="0" fontId="100"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0" fillId="12" borderId="0" xfId="0" applyNumberFormat="1" applyFont="1" applyFill="1" applyAlignment="1" applyProtection="1">
      <alignment horizontal="center" vertical="center"/>
    </xf>
    <xf numFmtId="179" fontId="102"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0"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0" fillId="12" borderId="0" xfId="0" applyFont="1" applyFill="1">
      <alignment vertical="center"/>
    </xf>
    <xf numFmtId="0" fontId="205" fillId="12" borderId="0" xfId="0" applyFont="1" applyFill="1" applyBorder="1">
      <alignment vertical="center"/>
    </xf>
    <xf numFmtId="0" fontId="100" fillId="12" borderId="0" xfId="0" applyFont="1" applyFill="1" applyBorder="1">
      <alignment vertical="center"/>
    </xf>
    <xf numFmtId="0" fontId="100" fillId="12" borderId="47" xfId="0" applyFont="1" applyFill="1" applyBorder="1">
      <alignment vertical="center"/>
    </xf>
    <xf numFmtId="0" fontId="100"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0" fillId="12" borderId="0" xfId="0" applyFont="1" applyFill="1" applyProtection="1">
      <alignment vertical="center"/>
      <protection locked="0"/>
    </xf>
    <xf numFmtId="0" fontId="125"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4" fillId="12" borderId="0" xfId="0" applyFont="1" applyFill="1" applyAlignment="1" applyProtection="1">
      <alignment vertical="center"/>
    </xf>
    <xf numFmtId="0" fontId="102" fillId="12" borderId="0" xfId="0" applyFont="1" applyFill="1" applyAlignment="1" applyProtection="1">
      <alignment vertical="center"/>
    </xf>
    <xf numFmtId="0" fontId="241" fillId="12" borderId="0" xfId="0" applyFont="1" applyFill="1" applyAlignment="1" applyProtection="1">
      <alignment horizontal="left" vertical="center"/>
    </xf>
    <xf numFmtId="0" fontId="102"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4" fillId="6" borderId="1" xfId="0" applyFont="1" applyFill="1" applyBorder="1" applyAlignment="1" applyProtection="1">
      <alignment horizontal="center" vertical="center"/>
    </xf>
    <xf numFmtId="0" fontId="104"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7"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43"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21" fillId="6" borderId="58" xfId="4" applyFont="1" applyFill="1" applyBorder="1" applyAlignment="1" applyProtection="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104"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1"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1"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2"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1" fillId="6" borderId="11" xfId="0" applyFont="1" applyFill="1" applyBorder="1" applyAlignment="1" applyProtection="1">
      <alignment vertical="center"/>
    </xf>
    <xf numFmtId="0" fontId="101" fillId="6" borderId="14" xfId="0" applyFont="1" applyFill="1" applyBorder="1" applyAlignment="1" applyProtection="1">
      <alignment vertical="center"/>
    </xf>
    <xf numFmtId="0" fontId="101" fillId="6" borderId="41" xfId="0" applyFont="1" applyFill="1" applyBorder="1" applyAlignment="1" applyProtection="1">
      <alignment vertical="center"/>
    </xf>
    <xf numFmtId="0" fontId="0" fillId="0" borderId="0" xfId="0" applyNumberFormat="1">
      <alignment vertical="center"/>
    </xf>
    <xf numFmtId="0" fontId="101"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79"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7" fillId="6" borderId="23" xfId="0" applyNumberFormat="1" applyFont="1" applyFill="1" applyBorder="1" applyAlignment="1" applyProtection="1">
      <alignment horizontal="left" vertical="center"/>
    </xf>
    <xf numFmtId="0" fontId="97"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7"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4" fillId="0" borderId="119" xfId="9" applyNumberFormat="1" applyFont="1" applyBorder="1" applyAlignment="1" applyProtection="1">
      <alignment horizontal="left" vertical="center"/>
    </xf>
    <xf numFmtId="0" fontId="104" fillId="6" borderId="120" xfId="9" applyNumberFormat="1" applyFont="1" applyFill="1" applyBorder="1" applyAlignment="1" applyProtection="1">
      <alignment horizontal="left" vertical="center"/>
    </xf>
    <xf numFmtId="0" fontId="104" fillId="6" borderId="119" xfId="9" applyNumberFormat="1" applyFont="1" applyFill="1" applyBorder="1" applyAlignment="1" applyProtection="1">
      <alignment horizontal="left" vertical="center"/>
    </xf>
    <xf numFmtId="0" fontId="99" fillId="6" borderId="119" xfId="10" applyNumberFormat="1" applyFont="1" applyFill="1" applyBorder="1" applyAlignment="1" applyProtection="1">
      <alignment horizontal="left" vertical="center"/>
    </xf>
    <xf numFmtId="0" fontId="24" fillId="6" borderId="119" xfId="10" applyNumberFormat="1" applyFont="1" applyFill="1" applyBorder="1" applyAlignment="1" applyProtection="1">
      <alignment horizontal="left" vertical="center"/>
    </xf>
    <xf numFmtId="0" fontId="104"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4" fillId="0" borderId="0" xfId="9" applyNumberFormat="1" applyFont="1" applyFill="1" applyAlignment="1" applyProtection="1">
      <alignment horizontal="left" vertical="center"/>
    </xf>
    <xf numFmtId="0" fontId="104" fillId="0" borderId="121" xfId="9" applyNumberFormat="1" applyFont="1" applyFill="1" applyBorder="1" applyAlignment="1" applyProtection="1">
      <alignment horizontal="left" vertical="center"/>
    </xf>
    <xf numFmtId="0" fontId="104" fillId="0" borderId="0" xfId="9" applyNumberFormat="1" applyFont="1" applyFill="1" applyBorder="1" applyAlignment="1" applyProtection="1">
      <alignment horizontal="left" vertical="center"/>
    </xf>
    <xf numFmtId="0" fontId="104" fillId="17" borderId="0" xfId="9" applyNumberFormat="1" applyFont="1" applyFill="1" applyAlignment="1" applyProtection="1">
      <alignment horizontal="left" vertical="center"/>
    </xf>
    <xf numFmtId="10" fontId="104" fillId="0" borderId="121" xfId="9" applyNumberFormat="1" applyFont="1" applyFill="1" applyBorder="1" applyAlignment="1" applyProtection="1">
      <alignment horizontal="left" vertical="center"/>
    </xf>
    <xf numFmtId="10" fontId="104" fillId="0" borderId="0" xfId="9" applyNumberFormat="1" applyFont="1" applyFill="1" applyAlignment="1" applyProtection="1">
      <alignment horizontal="left" vertical="center"/>
    </xf>
    <xf numFmtId="0" fontId="101" fillId="0" borderId="0" xfId="9" applyNumberFormat="1" applyFont="1" applyAlignment="1" applyProtection="1">
      <alignment horizontal="left" vertical="center"/>
    </xf>
    <xf numFmtId="0" fontId="101" fillId="0" borderId="163" xfId="9" applyNumberFormat="1" applyFont="1" applyBorder="1" applyAlignment="1" applyProtection="1">
      <alignment horizontal="left" vertical="center"/>
    </xf>
    <xf numFmtId="0" fontId="101" fillId="0" borderId="164" xfId="9" applyNumberFormat="1" applyFont="1" applyBorder="1" applyAlignment="1" applyProtection="1">
      <alignment horizontal="left" vertical="center"/>
    </xf>
    <xf numFmtId="0" fontId="101" fillId="0" borderId="165" xfId="9" applyNumberFormat="1" applyFont="1" applyBorder="1" applyAlignment="1" applyProtection="1">
      <alignment horizontal="left" vertical="center"/>
    </xf>
    <xf numFmtId="10" fontId="101" fillId="0" borderId="0" xfId="9" applyNumberFormat="1" applyFont="1" applyAlignment="1" applyProtection="1">
      <alignment horizontal="left" vertical="center"/>
    </xf>
    <xf numFmtId="10" fontId="101" fillId="0" borderId="163" xfId="9" applyNumberFormat="1" applyFont="1" applyBorder="1" applyAlignment="1" applyProtection="1">
      <alignment horizontal="left" vertical="center"/>
    </xf>
    <xf numFmtId="10" fontId="101" fillId="0" borderId="164" xfId="9" applyNumberFormat="1" applyFont="1" applyBorder="1" applyAlignment="1" applyProtection="1">
      <alignment horizontal="left" vertical="center"/>
    </xf>
    <xf numFmtId="10" fontId="101" fillId="0" borderId="165" xfId="9" applyNumberFormat="1" applyFont="1" applyBorder="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1" fillId="17" borderId="0" xfId="9" applyNumberFormat="1" applyFont="1" applyFill="1" applyAlignment="1" applyProtection="1">
      <alignment horizontal="left" vertical="center"/>
    </xf>
    <xf numFmtId="10" fontId="101" fillId="0" borderId="121" xfId="9" applyNumberFormat="1" applyFont="1" applyBorder="1" applyAlignment="1" applyProtection="1">
      <alignment horizontal="left" vertical="center"/>
    </xf>
    <xf numFmtId="0" fontId="101" fillId="0" borderId="0" xfId="9" applyNumberFormat="1" applyFont="1" applyFill="1" applyAlignment="1" applyProtection="1">
      <alignment horizontal="left" vertical="center"/>
    </xf>
    <xf numFmtId="10" fontId="101"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6"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4" fillId="21" borderId="0" xfId="9" applyNumberFormat="1" applyFont="1" applyFill="1" applyAlignment="1" applyProtection="1">
      <alignment horizontal="left" vertical="center"/>
    </xf>
    <xf numFmtId="10" fontId="104" fillId="21" borderId="121" xfId="9" applyNumberFormat="1" applyFont="1" applyFill="1" applyBorder="1" applyAlignment="1" applyProtection="1">
      <alignment horizontal="left" vertical="center"/>
    </xf>
    <xf numFmtId="10" fontId="104"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5"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1" fillId="17" borderId="171" xfId="9" applyNumberFormat="1" applyFont="1" applyFill="1" applyBorder="1" applyAlignment="1" applyProtection="1">
      <alignment horizontal="left" vertical="center"/>
    </xf>
    <xf numFmtId="10" fontId="101" fillId="18" borderId="172" xfId="9" applyNumberFormat="1" applyFont="1" applyFill="1" applyBorder="1" applyAlignment="1" applyProtection="1">
      <alignment horizontal="left" vertical="center"/>
    </xf>
    <xf numFmtId="10" fontId="101" fillId="18" borderId="171" xfId="9" applyNumberFormat="1" applyFont="1" applyFill="1" applyBorder="1" applyAlignment="1" applyProtection="1">
      <alignment horizontal="left" vertical="center"/>
    </xf>
    <xf numFmtId="0" fontId="101"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7" fillId="0" borderId="0" xfId="0" applyNumberFormat="1" applyFont="1">
      <alignment vertical="center"/>
    </xf>
    <xf numFmtId="0" fontId="104"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4" fillId="0" borderId="0" xfId="9" applyNumberFormat="1" applyFont="1" applyAlignment="1" applyProtection="1">
      <alignment vertical="center"/>
    </xf>
    <xf numFmtId="10" fontId="101" fillId="0" borderId="163" xfId="9" applyNumberFormat="1" applyFont="1" applyFill="1" applyBorder="1" applyAlignment="1" applyProtection="1">
      <alignment horizontal="left" vertical="center"/>
    </xf>
    <xf numFmtId="10" fontId="101" fillId="0" borderId="165" xfId="9" applyNumberFormat="1" applyFont="1" applyFill="1" applyBorder="1" applyAlignment="1" applyProtection="1">
      <alignment horizontal="left" vertical="center"/>
    </xf>
    <xf numFmtId="10" fontId="101" fillId="0" borderId="164" xfId="9" applyNumberFormat="1" applyFont="1" applyFill="1" applyBorder="1" applyAlignment="1" applyProtection="1">
      <alignment horizontal="left" vertical="center"/>
    </xf>
    <xf numFmtId="10" fontId="104" fillId="21" borderId="163" xfId="9" applyNumberFormat="1" applyFont="1" applyFill="1" applyBorder="1" applyAlignment="1" applyProtection="1">
      <alignment horizontal="left" vertical="center"/>
    </xf>
    <xf numFmtId="10" fontId="104" fillId="21" borderId="164" xfId="9" applyNumberFormat="1" applyFont="1" applyFill="1" applyBorder="1" applyAlignment="1" applyProtection="1">
      <alignment horizontal="left" vertical="center"/>
    </xf>
    <xf numFmtId="10" fontId="104" fillId="21" borderId="165" xfId="9" applyNumberFormat="1" applyFont="1" applyFill="1" applyBorder="1" applyAlignment="1" applyProtection="1">
      <alignment horizontal="left" vertical="center"/>
    </xf>
    <xf numFmtId="10" fontId="101" fillId="18" borderId="173" xfId="9" applyNumberFormat="1" applyFont="1" applyFill="1" applyBorder="1" applyAlignment="1" applyProtection="1">
      <alignment horizontal="left" vertical="center"/>
    </xf>
    <xf numFmtId="10" fontId="101" fillId="18" borderId="174" xfId="9" applyNumberFormat="1" applyFont="1" applyFill="1" applyBorder="1" applyAlignment="1" applyProtection="1">
      <alignment horizontal="left" vertical="center"/>
    </xf>
    <xf numFmtId="10" fontId="101"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7"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100" fillId="6" borderId="14" xfId="0" applyNumberFormat="1"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100" fillId="6" borderId="0" xfId="0" applyNumberFormat="1" applyFont="1" applyFill="1" applyBorder="1" applyAlignment="1" applyProtection="1">
      <alignment horizontal="center" vertical="center"/>
    </xf>
    <xf numFmtId="0" fontId="100" fillId="6" borderId="0" xfId="0" applyNumberFormat="1" applyFont="1" applyFill="1" applyBorder="1" applyProtection="1">
      <alignment vertical="center"/>
    </xf>
    <xf numFmtId="10" fontId="55" fillId="6" borderId="0" xfId="0" applyNumberFormat="1" applyFont="1" applyFill="1" applyBorder="1" applyAlignment="1" applyProtection="1">
      <alignment vertical="center" wrapText="1"/>
    </xf>
    <xf numFmtId="49" fontId="55" fillId="6" borderId="12" xfId="0" applyNumberFormat="1" applyFont="1" applyFill="1" applyBorder="1" applyAlignment="1" applyProtection="1">
      <alignment vertical="center" wrapText="1"/>
    </xf>
    <xf numFmtId="49" fontId="82" fillId="6" borderId="26" xfId="0" applyNumberFormat="1" applyFont="1" applyFill="1" applyBorder="1" applyAlignment="1" applyProtection="1">
      <alignment horizontal="center" vertical="center" wrapText="1"/>
    </xf>
    <xf numFmtId="0" fontId="56" fillId="6" borderId="84" xfId="0" applyNumberFormat="1" applyFont="1" applyFill="1" applyBorder="1" applyAlignment="1" applyProtection="1">
      <alignment horizontal="left" vertical="center" wrapText="1"/>
    </xf>
    <xf numFmtId="0" fontId="55" fillId="0" borderId="34" xfId="0" applyNumberFormat="1" applyFont="1" applyFill="1" applyBorder="1" applyAlignment="1" applyProtection="1">
      <alignment horizontal="left" vertical="center" wrapText="1"/>
      <protection locked="0"/>
    </xf>
    <xf numFmtId="0" fontId="55" fillId="6" borderId="34" xfId="0" applyNumberFormat="1" applyFont="1" applyFill="1" applyBorder="1" applyAlignment="1" applyProtection="1">
      <alignment horizontal="left" vertical="center" wrapText="1"/>
    </xf>
    <xf numFmtId="0" fontId="21" fillId="6" borderId="3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protection locked="0"/>
    </xf>
    <xf numFmtId="0" fontId="55" fillId="6" borderId="64" xfId="0" applyNumberFormat="1" applyFont="1" applyFill="1" applyBorder="1" applyAlignment="1" applyProtection="1">
      <alignment horizontal="left" vertical="center" wrapText="1"/>
      <protection locked="0"/>
    </xf>
    <xf numFmtId="0" fontId="55" fillId="6" borderId="65"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protection locked="0"/>
    </xf>
    <xf numFmtId="0" fontId="50" fillId="6" borderId="4"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wrapText="1"/>
    </xf>
    <xf numFmtId="0" fontId="55"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5" fillId="0" borderId="13" xfId="0" applyNumberFormat="1" applyFont="1" applyFill="1" applyBorder="1" applyAlignment="1" applyProtection="1">
      <alignment horizontal="left" vertical="center" wrapText="1"/>
      <protection locked="0"/>
    </xf>
    <xf numFmtId="0" fontId="55" fillId="0" borderId="61" xfId="0" applyNumberFormat="1" applyFont="1" applyFill="1" applyBorder="1" applyAlignment="1" applyProtection="1">
      <alignment horizontal="left" vertical="center" wrapText="1"/>
      <protection locked="0"/>
    </xf>
    <xf numFmtId="0" fontId="101" fillId="6" borderId="15" xfId="0" applyFont="1" applyFill="1" applyBorder="1" applyAlignment="1" applyProtection="1">
      <alignment horizontal="left" vertical="center" wrapText="1"/>
    </xf>
    <xf numFmtId="0" fontId="82" fillId="6" borderId="9" xfId="0" applyNumberFormat="1" applyFont="1" applyFill="1" applyBorder="1" applyAlignment="1" applyProtection="1">
      <alignment horizontal="left" vertical="center" wrapText="1"/>
    </xf>
    <xf numFmtId="0" fontId="21" fillId="6" borderId="9" xfId="0" applyNumberFormat="1" applyFont="1" applyFill="1" applyBorder="1" applyAlignment="1" applyProtection="1">
      <alignment horizontal="left" vertical="center" wrapText="1"/>
      <protection locked="0"/>
    </xf>
    <xf numFmtId="0" fontId="21" fillId="6" borderId="1" xfId="0" applyNumberFormat="1" applyFont="1" applyFill="1" applyBorder="1" applyAlignment="1" applyProtection="1">
      <alignment horizontal="left" vertical="center"/>
    </xf>
    <xf numFmtId="0" fontId="21" fillId="6" borderId="1" xfId="0" applyNumberFormat="1" applyFont="1" applyFill="1" applyBorder="1" applyAlignment="1" applyProtection="1">
      <alignment horizontal="left" vertical="center" wrapText="1"/>
    </xf>
    <xf numFmtId="0" fontId="56" fillId="6" borderId="2" xfId="0"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protection locked="0"/>
    </xf>
    <xf numFmtId="0" fontId="55" fillId="6" borderId="10" xfId="0" applyNumberFormat="1" applyFont="1" applyFill="1" applyBorder="1" applyAlignment="1" applyProtection="1">
      <alignment horizontal="left" vertical="center" wrapText="1"/>
      <protection locked="0"/>
    </xf>
    <xf numFmtId="49" fontId="100" fillId="6" borderId="23" xfId="0" applyNumberFormat="1" applyFont="1" applyFill="1" applyBorder="1" applyAlignment="1" applyProtection="1">
      <alignment vertical="center" wrapText="1"/>
    </xf>
    <xf numFmtId="0" fontId="55" fillId="6" borderId="24" xfId="0" applyNumberFormat="1" applyFont="1" applyFill="1" applyBorder="1" applyAlignment="1" applyProtection="1">
      <alignment horizontal="left" vertical="center" wrapText="1"/>
      <protection locked="0"/>
    </xf>
    <xf numFmtId="49" fontId="100" fillId="6" borderId="25" xfId="0" applyNumberFormat="1" applyFont="1" applyFill="1" applyBorder="1" applyAlignment="1" applyProtection="1">
      <alignment vertical="center" wrapText="1"/>
    </xf>
    <xf numFmtId="0" fontId="101" fillId="6" borderId="32" xfId="0"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left" vertical="center" wrapText="1"/>
      <protection locked="0"/>
    </xf>
    <xf numFmtId="0" fontId="21" fillId="6" borderId="32" xfId="0" applyNumberFormat="1" applyFont="1" applyFill="1" applyBorder="1" applyAlignment="1" applyProtection="1">
      <alignment horizontal="left" vertical="center" wrapText="1"/>
      <protection locked="0"/>
    </xf>
    <xf numFmtId="0" fontId="55" fillId="6" borderId="49" xfId="0" applyNumberFormat="1" applyFont="1" applyFill="1" applyBorder="1" applyAlignment="1" applyProtection="1">
      <alignment horizontal="left" vertical="center" wrapText="1"/>
      <protection locked="0"/>
    </xf>
    <xf numFmtId="0" fontId="55" fillId="6" borderId="28" xfId="0" applyFont="1" applyFill="1" applyBorder="1" applyAlignment="1" applyProtection="1">
      <alignment vertical="center" wrapText="1"/>
    </xf>
    <xf numFmtId="0" fontId="55" fillId="6" borderId="30" xfId="0" applyFont="1" applyFill="1" applyBorder="1" applyAlignment="1" applyProtection="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79" fillId="6" borderId="5" xfId="0" applyFont="1" applyFill="1" applyBorder="1" applyAlignment="1" applyProtection="1">
      <alignment vertical="center"/>
    </xf>
    <xf numFmtId="0" fontId="21" fillId="6" borderId="20" xfId="0" applyFont="1" applyFill="1" applyBorder="1" applyAlignment="1" applyProtection="1">
      <alignment vertical="center"/>
    </xf>
    <xf numFmtId="0" fontId="55" fillId="6" borderId="24"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xf>
    <xf numFmtId="0" fontId="55" fillId="7" borderId="0" xfId="0" applyNumberFormat="1" applyFont="1" applyFill="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5" fillId="6" borderId="23" xfId="0" applyFont="1" applyFill="1" applyBorder="1" applyAlignment="1" applyProtection="1">
      <alignment horizontal="left" vertical="center" wrapText="1"/>
    </xf>
    <xf numFmtId="9" fontId="55" fillId="6" borderId="25" xfId="0" applyNumberFormat="1" applyFont="1" applyFill="1" applyBorder="1" applyAlignment="1" applyProtection="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55" fillId="7" borderId="0" xfId="0" applyNumberFormat="1" applyFont="1" applyFill="1" applyAlignment="1" applyProtection="1">
      <alignment horizontal="left" vertical="center" wrapText="1"/>
      <protection locked="0"/>
    </xf>
    <xf numFmtId="0" fontId="55" fillId="6" borderId="32" xfId="0" applyNumberFormat="1" applyFont="1" applyFill="1" applyBorder="1" applyAlignment="1" applyProtection="1">
      <alignment horizontal="left" vertical="center" wrapText="1"/>
    </xf>
    <xf numFmtId="0" fontId="21" fillId="7" borderId="0" xfId="0" applyNumberFormat="1" applyFont="1" applyFill="1" applyAlignment="1" applyProtection="1">
      <alignment horizontal="left" vertical="center" wrapText="1"/>
      <protection locked="0"/>
    </xf>
    <xf numFmtId="0" fontId="55" fillId="6" borderId="23" xfId="0" applyNumberFormat="1" applyFont="1" applyFill="1" applyBorder="1" applyAlignment="1" applyProtection="1">
      <alignment horizontal="left" vertical="center"/>
    </xf>
    <xf numFmtId="0" fontId="60" fillId="6" borderId="1" xfId="8" applyNumberFormat="1" applyFont="1" applyFill="1" applyBorder="1" applyAlignment="1" applyProtection="1">
      <alignment horizontal="left" vertical="center" wrapText="1"/>
    </xf>
    <xf numFmtId="0" fontId="101"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1" fillId="6" borderId="1" xfId="0" applyNumberFormat="1" applyFont="1" applyFill="1" applyBorder="1" applyAlignment="1" applyProtection="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1" fillId="6" borderId="0" xfId="0" applyNumberFormat="1" applyFont="1" applyFill="1" applyBorder="1" applyAlignment="1" applyProtection="1">
      <alignment horizontal="center" vertical="center" wrapText="1"/>
    </xf>
    <xf numFmtId="0" fontId="101" fillId="5" borderId="0" xfId="0" applyFont="1" applyFill="1" applyBorder="1" applyAlignment="1" applyProtection="1">
      <alignment horizontal="center" vertical="center" wrapText="1"/>
      <protection locked="0"/>
    </xf>
    <xf numFmtId="10" fontId="101" fillId="6" borderId="0" xfId="0" applyNumberFormat="1" applyFont="1" applyFill="1" applyBorder="1" applyAlignment="1" applyProtection="1">
      <alignment horizontal="center" vertical="center" wrapText="1"/>
    </xf>
    <xf numFmtId="10" fontId="100" fillId="0" borderId="0" xfId="0" applyNumberFormat="1" applyFont="1" applyBorder="1" applyAlignment="1" applyProtection="1">
      <alignment horizontal="center" vertical="center"/>
      <protection locked="0"/>
    </xf>
    <xf numFmtId="10" fontId="100" fillId="6" borderId="0" xfId="0" applyNumberFormat="1" applyFont="1" applyFill="1" applyBorder="1" applyAlignment="1" applyProtection="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1" fillId="6" borderId="23" xfId="0" applyNumberFormat="1" applyFont="1" applyFill="1" applyBorder="1" applyAlignment="1" applyProtection="1">
      <alignment horizontal="left" vertical="center" wrapText="1"/>
    </xf>
    <xf numFmtId="0" fontId="101"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5" fillId="6" borderId="61" xfId="0" applyNumberFormat="1" applyFont="1" applyFill="1" applyBorder="1" applyAlignment="1" applyProtection="1">
      <alignment horizontal="left" vertical="center" wrapText="1"/>
    </xf>
    <xf numFmtId="0" fontId="55" fillId="6" borderId="53" xfId="0" applyNumberFormat="1" applyFont="1" applyFill="1" applyBorder="1" applyAlignment="1" applyProtection="1">
      <alignment horizontal="left" vertical="center" wrapText="1"/>
    </xf>
    <xf numFmtId="0" fontId="55"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1"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left" vertical="center"/>
    </xf>
    <xf numFmtId="0" fontId="101" fillId="6" borderId="5" xfId="0" applyNumberFormat="1" applyFont="1" applyFill="1" applyBorder="1" applyAlignment="1" applyProtection="1">
      <alignment horizontal="left" vertical="center"/>
    </xf>
    <xf numFmtId="0" fontId="101" fillId="6" borderId="54" xfId="0" applyNumberFormat="1" applyFont="1" applyFill="1" applyBorder="1" applyAlignment="1" applyProtection="1">
      <alignment horizontal="left" vertical="center"/>
    </xf>
    <xf numFmtId="0" fontId="101" fillId="6" borderId="3" xfId="0" applyNumberFormat="1" applyFont="1" applyFill="1" applyBorder="1" applyAlignment="1" applyProtection="1">
      <alignment horizontal="left" vertical="center"/>
    </xf>
    <xf numFmtId="0" fontId="101" fillId="6" borderId="0" xfId="0" applyNumberFormat="1" applyFont="1" applyFill="1" applyBorder="1" applyAlignment="1" applyProtection="1">
      <alignment horizontal="left" vertical="center"/>
    </xf>
    <xf numFmtId="0" fontId="101"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0" borderId="0" xfId="0" applyNumberFormat="1" applyFont="1" applyAlignment="1" applyProtection="1">
      <alignment horizontal="left" vertical="center" wrapText="1"/>
      <protection locked="0"/>
    </xf>
    <xf numFmtId="0" fontId="55" fillId="6" borderId="15"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5" fillId="6" borderId="16" xfId="0" applyNumberFormat="1" applyFont="1" applyFill="1" applyBorder="1" applyAlignment="1" applyProtection="1">
      <alignment horizontal="left" vertical="center" wrapText="1"/>
    </xf>
    <xf numFmtId="0" fontId="55" fillId="6" borderId="9"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xf>
    <xf numFmtId="0" fontId="55" fillId="6" borderId="2" xfId="3" applyNumberFormat="1" applyFont="1" applyFill="1" applyBorder="1" applyAlignment="1" applyProtection="1">
      <alignment horizontal="left" vertical="center" wrapText="1"/>
    </xf>
    <xf numFmtId="0" fontId="55" fillId="6" borderId="17" xfId="3" applyNumberFormat="1" applyFont="1" applyFill="1" applyBorder="1" applyAlignment="1" applyProtection="1">
      <alignment horizontal="left" vertical="center"/>
    </xf>
    <xf numFmtId="0" fontId="55" fillId="6" borderId="62" xfId="3"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5"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1"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60" fillId="0" borderId="1" xfId="8" applyFont="1" applyFill="1" applyBorder="1" applyAlignment="1" applyProtection="1">
      <alignment horizontal="center" vertical="center" wrapText="1"/>
    </xf>
    <xf numFmtId="0" fontId="21" fillId="5" borderId="1" xfId="0" applyNumberFormat="1"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NumberFormat="1"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pplyProtection="1">
      <alignment horizontal="right" vertical="center"/>
    </xf>
    <xf numFmtId="186" fontId="54" fillId="6" borderId="1" xfId="0" applyNumberFormat="1" applyFont="1" applyFill="1" applyBorder="1" applyAlignment="1" applyProtection="1">
      <alignment horizontal="right" vertical="center"/>
    </xf>
    <xf numFmtId="0" fontId="64" fillId="5" borderId="118" xfId="0" applyFont="1" applyFill="1" applyBorder="1" applyAlignment="1" applyProtection="1">
      <alignment vertical="center"/>
      <protection locked="0"/>
    </xf>
    <xf numFmtId="186" fontId="59" fillId="6" borderId="2" xfId="0" applyNumberFormat="1" applyFont="1" applyFill="1" applyBorder="1" applyAlignment="1" applyProtection="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Alignment="1" applyProtection="1">
      <alignment vertical="center"/>
      <protection locked="0"/>
    </xf>
    <xf numFmtId="176" fontId="46" fillId="0" borderId="23" xfId="0" applyNumberFormat="1" applyFont="1" applyFill="1" applyBorder="1" applyAlignment="1" applyProtection="1">
      <alignment horizontal="center" vertical="center" wrapText="1"/>
      <protection locked="0"/>
    </xf>
    <xf numFmtId="176" fontId="46"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7"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5" fillId="5" borderId="0" xfId="4" applyFont="1" applyFill="1" applyBorder="1" applyAlignment="1" applyProtection="1">
      <alignment vertical="center"/>
      <protection locked="0"/>
    </xf>
    <xf numFmtId="176" fontId="55"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0" fontId="79" fillId="7" borderId="5"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7" fillId="0" borderId="0" xfId="10">
      <alignment vertical="center"/>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270" fillId="0" borderId="1" xfId="10" applyFont="1" applyFill="1" applyBorder="1" applyAlignment="1">
      <alignment horizontal="center" vertical="center" wrapText="1"/>
    </xf>
    <xf numFmtId="0" fontId="271" fillId="0" borderId="1" xfId="10" applyFont="1" applyFill="1" applyBorder="1" applyAlignment="1">
      <alignment horizontal="center" vertical="center" wrapText="1"/>
    </xf>
    <xf numFmtId="0" fontId="272" fillId="0" borderId="1" xfId="10" applyFont="1" applyFill="1" applyBorder="1" applyAlignment="1">
      <alignment horizontal="center" vertical="center" wrapText="1"/>
    </xf>
    <xf numFmtId="0" fontId="273" fillId="0" borderId="1" xfId="10" applyFont="1" applyFill="1" applyBorder="1" applyAlignment="1">
      <alignment horizontal="center" vertical="center" wrapText="1"/>
    </xf>
    <xf numFmtId="0" fontId="97" fillId="0" borderId="0" xfId="10" applyFill="1">
      <alignment vertical="center"/>
    </xf>
    <xf numFmtId="1" fontId="274" fillId="0" borderId="1" xfId="10" applyNumberFormat="1" applyFont="1" applyFill="1" applyBorder="1" applyAlignment="1">
      <alignment horizontal="center" vertical="center" shrinkToFit="1"/>
    </xf>
    <xf numFmtId="0" fontId="275" fillId="0" borderId="1" xfId="10" applyFont="1" applyFill="1" applyBorder="1" applyAlignment="1">
      <alignment horizontal="center" vertical="center" wrapText="1"/>
    </xf>
    <xf numFmtId="196" fontId="274" fillId="0" borderId="1" xfId="10" applyNumberFormat="1" applyFont="1" applyFill="1" applyBorder="1" applyAlignment="1">
      <alignment horizontal="center" vertical="center" shrinkToFit="1"/>
    </xf>
    <xf numFmtId="3" fontId="274" fillId="0" borderId="1" xfId="10" applyNumberFormat="1" applyFont="1" applyFill="1" applyBorder="1" applyAlignment="1">
      <alignment horizontal="center" vertical="center" shrinkToFit="1"/>
    </xf>
    <xf numFmtId="2" fontId="274" fillId="0" borderId="1" xfId="10" applyNumberFormat="1" applyFont="1" applyFill="1" applyBorder="1" applyAlignment="1">
      <alignment horizontal="center" vertical="center" shrinkToFit="1"/>
    </xf>
    <xf numFmtId="3" fontId="276" fillId="0" borderId="1" xfId="10" applyNumberFormat="1" applyFont="1" applyFill="1" applyBorder="1" applyAlignment="1">
      <alignment horizontal="center" vertical="center" shrinkToFit="1"/>
    </xf>
    <xf numFmtId="1" fontId="275" fillId="5" borderId="1" xfId="10" applyNumberFormat="1" applyFont="1" applyFill="1" applyBorder="1" applyAlignment="1">
      <alignment horizontal="center" vertical="center" shrinkToFit="1"/>
    </xf>
    <xf numFmtId="0" fontId="275" fillId="5" borderId="1" xfId="10" applyFont="1" applyFill="1" applyBorder="1" applyAlignment="1">
      <alignment horizontal="center" vertical="center" wrapText="1"/>
    </xf>
    <xf numFmtId="3" fontId="275" fillId="5" borderId="1" xfId="10" applyNumberFormat="1" applyFont="1" applyFill="1" applyBorder="1" applyAlignment="1">
      <alignment horizontal="center" vertical="center" shrinkToFit="1"/>
    </xf>
    <xf numFmtId="0" fontId="97" fillId="5" borderId="0" xfId="10" applyFill="1">
      <alignment vertical="center"/>
    </xf>
    <xf numFmtId="0" fontId="278" fillId="5" borderId="0" xfId="10" applyFont="1" applyFill="1">
      <alignment vertical="center"/>
    </xf>
    <xf numFmtId="1" fontId="275" fillId="0" borderId="1" xfId="10" applyNumberFormat="1" applyFont="1" applyFill="1" applyBorder="1" applyAlignment="1">
      <alignment horizontal="center" vertical="center" shrinkToFit="1"/>
    </xf>
    <xf numFmtId="196" fontId="275" fillId="0" borderId="1" xfId="10" applyNumberFormat="1" applyFont="1" applyFill="1" applyBorder="1" applyAlignment="1">
      <alignment horizontal="center" vertical="center" shrinkToFit="1"/>
    </xf>
    <xf numFmtId="3" fontId="275" fillId="0" borderId="1" xfId="10" applyNumberFormat="1" applyFont="1" applyFill="1" applyBorder="1" applyAlignment="1">
      <alignment horizontal="center" vertical="center" shrinkToFit="1"/>
    </xf>
    <xf numFmtId="0" fontId="278" fillId="0" borderId="0" xfId="10" applyFont="1" applyFill="1">
      <alignment vertical="center"/>
    </xf>
    <xf numFmtId="0" fontId="277" fillId="0" borderId="1" xfId="10" applyFont="1" applyFill="1" applyBorder="1" applyAlignment="1">
      <alignment horizontal="center" vertical="center" wrapText="1"/>
    </xf>
    <xf numFmtId="2" fontId="275" fillId="0" borderId="1" xfId="10" applyNumberFormat="1" applyFont="1" applyFill="1" applyBorder="1" applyAlignment="1">
      <alignment horizontal="center" vertical="center" shrinkToFit="1"/>
    </xf>
    <xf numFmtId="196" fontId="275" fillId="5" borderId="1" xfId="10" applyNumberFormat="1" applyFont="1" applyFill="1" applyBorder="1" applyAlignment="1">
      <alignment horizontal="center" vertical="center" shrinkToFit="1"/>
    </xf>
    <xf numFmtId="0" fontId="276" fillId="0" borderId="1" xfId="10" applyFont="1" applyFill="1" applyBorder="1" applyAlignment="1">
      <alignment horizontal="center" vertical="center" wrapText="1"/>
    </xf>
    <xf numFmtId="1" fontId="274" fillId="5" borderId="1" xfId="10" applyNumberFormat="1" applyFont="1" applyFill="1" applyBorder="1" applyAlignment="1">
      <alignment horizontal="center" vertical="center" shrinkToFit="1"/>
    </xf>
    <xf numFmtId="2" fontId="274" fillId="5" borderId="1" xfId="10" applyNumberFormat="1" applyFont="1" applyFill="1" applyBorder="1" applyAlignment="1">
      <alignment horizontal="center" vertical="center" shrinkToFit="1"/>
    </xf>
    <xf numFmtId="3" fontId="276" fillId="5" borderId="1" xfId="10" applyNumberFormat="1" applyFont="1" applyFill="1" applyBorder="1" applyAlignment="1">
      <alignment horizontal="center" vertical="center" shrinkToFit="1"/>
    </xf>
    <xf numFmtId="0" fontId="276" fillId="5" borderId="1" xfId="10" applyFont="1" applyFill="1" applyBorder="1" applyAlignment="1">
      <alignment horizontal="center" vertical="center" wrapText="1"/>
    </xf>
    <xf numFmtId="57" fontId="275" fillId="5" borderId="1" xfId="10" applyNumberFormat="1" applyFont="1" applyFill="1" applyBorder="1" applyAlignment="1">
      <alignment horizontal="center" vertical="center" wrapText="1"/>
    </xf>
    <xf numFmtId="57" fontId="275" fillId="0" borderId="1" xfId="10" applyNumberFormat="1" applyFont="1" applyFill="1" applyBorder="1" applyAlignment="1">
      <alignment horizontal="center" vertical="center" wrapText="1"/>
    </xf>
    <xf numFmtId="196" fontId="274" fillId="5" borderId="1" xfId="10" applyNumberFormat="1" applyFont="1" applyFill="1" applyBorder="1" applyAlignment="1">
      <alignment horizontal="center" vertical="center" shrinkToFit="1"/>
    </xf>
    <xf numFmtId="49" fontId="53" fillId="0" borderId="44" xfId="0" applyNumberFormat="1" applyFont="1" applyFill="1" applyBorder="1" applyAlignment="1" applyProtection="1">
      <alignment horizontal="center" vertical="center" wrapText="1"/>
      <protection locked="0"/>
    </xf>
    <xf numFmtId="189" fontId="46" fillId="6" borderId="9" xfId="0" applyNumberFormat="1" applyFont="1" applyFill="1" applyBorder="1" applyAlignment="1" applyProtection="1">
      <alignment horizontal="center" vertical="center" wrapText="1"/>
      <protection locked="0"/>
    </xf>
    <xf numFmtId="0" fontId="129" fillId="0" borderId="0" xfId="0" applyFont="1" applyProtection="1">
      <alignment vertical="center"/>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281" fillId="19" borderId="60" xfId="19" applyFont="1" applyFill="1" applyBorder="1" applyAlignment="1">
      <alignment horizontal="left" vertical="center"/>
    </xf>
    <xf numFmtId="43" fontId="281" fillId="19" borderId="60" xfId="20" applyFont="1" applyFill="1" applyBorder="1" applyAlignment="1">
      <alignment horizontal="left" vertical="center"/>
    </xf>
    <xf numFmtId="0" fontId="283" fillId="22" borderId="0" xfId="19" applyFont="1" applyFill="1" applyBorder="1" applyAlignment="1">
      <alignment horizontal="left" vertical="center"/>
    </xf>
    <xf numFmtId="0" fontId="284" fillId="22" borderId="1" xfId="19" applyFont="1" applyFill="1" applyBorder="1" applyAlignment="1">
      <alignment horizontal="left" vertical="center"/>
    </xf>
    <xf numFmtId="43" fontId="284" fillId="22" borderId="1" xfId="20" applyFont="1" applyFill="1" applyBorder="1" applyAlignment="1">
      <alignment horizontal="left" vertical="center"/>
    </xf>
    <xf numFmtId="0" fontId="284" fillId="22" borderId="0" xfId="19" applyFont="1" applyFill="1" applyBorder="1" applyAlignment="1">
      <alignment horizontal="left" vertical="center"/>
    </xf>
    <xf numFmtId="0" fontId="285" fillId="22" borderId="1" xfId="19" applyFont="1" applyFill="1" applyBorder="1" applyAlignment="1">
      <alignment horizontal="left" vertical="center"/>
    </xf>
    <xf numFmtId="43" fontId="283" fillId="22" borderId="0" xfId="20" applyFont="1" applyFill="1" applyBorder="1" applyAlignment="1">
      <alignment horizontal="left" vertical="center"/>
    </xf>
    <xf numFmtId="0" fontId="284" fillId="9" borderId="1" xfId="19" applyFont="1" applyFill="1" applyBorder="1" applyAlignment="1">
      <alignment horizontal="left" vertical="center"/>
    </xf>
    <xf numFmtId="43" fontId="284" fillId="9" borderId="1" xfId="20" applyFont="1" applyFill="1" applyBorder="1" applyAlignment="1">
      <alignment horizontal="left" vertical="center"/>
    </xf>
    <xf numFmtId="0" fontId="284" fillId="9" borderId="0" xfId="19" applyFont="1" applyFill="1" applyBorder="1" applyAlignment="1">
      <alignment horizontal="left" vertical="center"/>
    </xf>
    <xf numFmtId="0" fontId="286" fillId="23" borderId="176" xfId="21" applyFont="1" applyFill="1" applyBorder="1" applyAlignment="1">
      <alignment vertical="center" wrapText="1"/>
    </xf>
    <xf numFmtId="0" fontId="2" fillId="0" borderId="176" xfId="21" applyBorder="1">
      <alignment vertical="center"/>
    </xf>
    <xf numFmtId="0" fontId="21" fillId="24" borderId="176" xfId="21" applyFont="1" applyFill="1" applyBorder="1" applyAlignment="1">
      <alignment vertical="center" wrapText="1"/>
    </xf>
    <xf numFmtId="31" fontId="21" fillId="24" borderId="176" xfId="21" applyNumberFormat="1" applyFont="1" applyFill="1" applyBorder="1" applyAlignment="1">
      <alignment vertical="center" wrapText="1"/>
    </xf>
    <xf numFmtId="9" fontId="21" fillId="24" borderId="176" xfId="21" applyNumberFormat="1" applyFont="1" applyFill="1" applyBorder="1" applyAlignment="1">
      <alignment vertical="center" wrapText="1"/>
    </xf>
    <xf numFmtId="0" fontId="287" fillId="25" borderId="176" xfId="21" applyFont="1" applyFill="1" applyBorder="1" applyAlignment="1">
      <alignment vertical="center" wrapText="1"/>
    </xf>
    <xf numFmtId="31" fontId="287" fillId="25" borderId="176" xfId="21" applyNumberFormat="1" applyFont="1" applyFill="1" applyBorder="1" applyAlignment="1">
      <alignment vertical="center" wrapText="1"/>
    </xf>
    <xf numFmtId="9" fontId="287" fillId="25" borderId="176" xfId="21" applyNumberFormat="1" applyFont="1" applyFill="1" applyBorder="1" applyAlignment="1">
      <alignment vertical="center" wrapText="1"/>
    </xf>
    <xf numFmtId="0" fontId="130" fillId="24" borderId="176" xfId="21" applyFont="1" applyFill="1" applyBorder="1" applyAlignment="1">
      <alignment vertical="center" wrapText="1"/>
    </xf>
    <xf numFmtId="31" fontId="130" fillId="24" borderId="176" xfId="21" applyNumberFormat="1" applyFont="1" applyFill="1" applyBorder="1" applyAlignment="1">
      <alignment vertical="center" wrapText="1"/>
    </xf>
    <xf numFmtId="9" fontId="130" fillId="24" borderId="176" xfId="21" applyNumberFormat="1" applyFont="1" applyFill="1" applyBorder="1" applyAlignment="1">
      <alignment vertical="center" wrapText="1"/>
    </xf>
    <xf numFmtId="0" fontId="279" fillId="0" borderId="176" xfId="21" applyFont="1" applyBorder="1">
      <alignment vertical="center"/>
    </xf>
    <xf numFmtId="0" fontId="130" fillId="5" borderId="176" xfId="21" applyFont="1" applyFill="1" applyBorder="1" applyAlignment="1">
      <alignment vertical="center" wrapText="1"/>
    </xf>
    <xf numFmtId="31" fontId="130" fillId="5" borderId="176" xfId="21" applyNumberFormat="1" applyFont="1" applyFill="1" applyBorder="1" applyAlignment="1">
      <alignment vertical="center" wrapText="1"/>
    </xf>
    <xf numFmtId="9" fontId="130" fillId="5" borderId="176" xfId="21" applyNumberFormat="1" applyFont="1" applyFill="1" applyBorder="1" applyAlignment="1">
      <alignment vertical="center" wrapText="1"/>
    </xf>
    <xf numFmtId="0" fontId="279" fillId="5" borderId="176" xfId="21" applyFont="1" applyFill="1" applyBorder="1">
      <alignment vertical="center"/>
    </xf>
    <xf numFmtId="0" fontId="2" fillId="9" borderId="176" xfId="21" applyFill="1" applyBorder="1">
      <alignment vertical="center"/>
    </xf>
    <xf numFmtId="0" fontId="21" fillId="9" borderId="176" xfId="21" applyFont="1" applyFill="1" applyBorder="1" applyAlignment="1">
      <alignment vertical="center" wrapText="1"/>
    </xf>
    <xf numFmtId="31" fontId="21" fillId="9" borderId="176" xfId="21" applyNumberFormat="1" applyFont="1" applyFill="1" applyBorder="1" applyAlignment="1">
      <alignment vertical="center" wrapText="1"/>
    </xf>
    <xf numFmtId="9" fontId="21" fillId="9" borderId="176" xfId="21" applyNumberFormat="1" applyFont="1" applyFill="1" applyBorder="1" applyAlignment="1">
      <alignment vertical="center" wrapText="1"/>
    </xf>
    <xf numFmtId="0" fontId="130" fillId="9" borderId="176" xfId="21" applyFont="1" applyFill="1" applyBorder="1" applyAlignment="1">
      <alignment vertical="center" wrapText="1"/>
    </xf>
    <xf numFmtId="31" fontId="130" fillId="9" borderId="176" xfId="21" applyNumberFormat="1" applyFont="1" applyFill="1" applyBorder="1" applyAlignment="1">
      <alignment vertical="center" wrapText="1"/>
    </xf>
    <xf numFmtId="9" fontId="130" fillId="9" borderId="176" xfId="21" applyNumberFormat="1" applyFont="1" applyFill="1" applyBorder="1" applyAlignment="1">
      <alignment vertical="center" wrapText="1"/>
    </xf>
    <xf numFmtId="0" fontId="279" fillId="9" borderId="176" xfId="21" applyFont="1" applyFill="1" applyBorder="1">
      <alignment vertical="center"/>
    </xf>
    <xf numFmtId="0" fontId="284" fillId="5" borderId="1" xfId="19" applyFont="1" applyFill="1" applyBorder="1" applyAlignment="1">
      <alignment horizontal="left" vertical="center"/>
    </xf>
    <xf numFmtId="43" fontId="284" fillId="5" borderId="1" xfId="20" applyFont="1" applyFill="1" applyBorder="1" applyAlignment="1">
      <alignment horizontal="left" vertical="center"/>
    </xf>
    <xf numFmtId="0" fontId="284" fillId="5" borderId="0" xfId="19" applyFont="1" applyFill="1" applyBorder="1" applyAlignment="1">
      <alignment horizontal="left" vertical="center"/>
    </xf>
    <xf numFmtId="0" fontId="285" fillId="5" borderId="1" xfId="19" applyFont="1" applyFill="1" applyBorder="1" applyAlignment="1">
      <alignment horizontal="left" vertical="center"/>
    </xf>
    <xf numFmtId="0" fontId="287" fillId="26" borderId="176" xfId="21" applyFont="1" applyFill="1" applyBorder="1" applyAlignment="1">
      <alignment vertical="center" wrapText="1"/>
    </xf>
    <xf numFmtId="31" fontId="287" fillId="26" borderId="176" xfId="21" applyNumberFormat="1" applyFont="1" applyFill="1" applyBorder="1" applyAlignment="1">
      <alignment vertical="center" wrapText="1"/>
    </xf>
    <xf numFmtId="9" fontId="287" fillId="26" borderId="176" xfId="21" applyNumberFormat="1" applyFont="1" applyFill="1" applyBorder="1" applyAlignment="1">
      <alignment vertical="center" wrapText="1"/>
    </xf>
    <xf numFmtId="0" fontId="2" fillId="26" borderId="176" xfId="21" applyFill="1" applyBorder="1">
      <alignment vertical="center"/>
    </xf>
    <xf numFmtId="43" fontId="283" fillId="22" borderId="0" xfId="19" applyNumberFormat="1" applyFont="1" applyFill="1" applyBorder="1" applyAlignment="1">
      <alignment horizontal="left" vertical="center"/>
    </xf>
    <xf numFmtId="9" fontId="46" fillId="0" borderId="41" xfId="0" applyNumberFormat="1" applyFont="1" applyFill="1" applyBorder="1" applyAlignment="1" applyProtection="1">
      <alignment horizontal="center" vertical="center" wrapText="1"/>
      <protection locked="0"/>
    </xf>
    <xf numFmtId="9" fontId="46" fillId="0" borderId="37" xfId="17"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0" fontId="21" fillId="7" borderId="0" xfId="0" applyFont="1" applyFill="1" applyAlignment="1" applyProtection="1">
      <alignment vertical="center"/>
      <protection locked="0"/>
    </xf>
    <xf numFmtId="0" fontId="96" fillId="0" borderId="9" xfId="0" applyNumberFormat="1" applyFont="1" applyFill="1" applyBorder="1" applyAlignment="1" applyProtection="1">
      <alignment horizontal="center" vertical="center" wrapText="1"/>
      <protection locked="0"/>
    </xf>
    <xf numFmtId="0" fontId="64" fillId="6" borderId="0" xfId="0" applyNumberFormat="1" applyFont="1" applyFill="1" applyBorder="1" applyAlignment="1" applyProtection="1">
      <alignment horizontal="center"/>
      <protection locked="0"/>
    </xf>
    <xf numFmtId="0" fontId="64" fillId="6" borderId="0" xfId="0" applyNumberFormat="1" applyFont="1" applyFill="1" applyBorder="1" applyAlignment="1" applyProtection="1">
      <alignment horizontal="left"/>
      <protection locked="0"/>
    </xf>
    <xf numFmtId="0" fontId="79" fillId="7" borderId="0" xfId="0" applyFont="1" applyFill="1" applyProtection="1">
      <alignment vertical="center"/>
      <protection locked="0"/>
    </xf>
    <xf numFmtId="10" fontId="55" fillId="6" borderId="1" xfId="0" applyNumberFormat="1" applyFont="1" applyFill="1" applyBorder="1" applyAlignment="1" applyProtection="1">
      <alignment horizontal="left" vertical="center"/>
    </xf>
    <xf numFmtId="9" fontId="55" fillId="6" borderId="1" xfId="0" applyNumberFormat="1" applyFont="1" applyFill="1" applyBorder="1" applyAlignment="1" applyProtection="1">
      <alignment horizontal="left" vertical="center"/>
    </xf>
    <xf numFmtId="9" fontId="55" fillId="6" borderId="13" xfId="0" applyNumberFormat="1" applyFont="1" applyFill="1" applyBorder="1" applyAlignment="1" applyProtection="1">
      <alignment horizontal="left" vertical="center"/>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4" xfId="0" applyFont="1" applyFill="1" applyBorder="1" applyAlignment="1" applyProtection="1">
      <alignment horizontal="left" vertical="center"/>
    </xf>
    <xf numFmtId="0" fontId="55" fillId="6" borderId="58" xfId="0"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0" fontId="55" fillId="6" borderId="35" xfId="0" applyFont="1" applyFill="1" applyBorder="1" applyAlignment="1" applyProtection="1">
      <alignment horizontal="left" vertical="center" wrapText="1"/>
    </xf>
    <xf numFmtId="0" fontId="55" fillId="6" borderId="4"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49" fontId="223" fillId="12" borderId="4" xfId="0" applyNumberFormat="1" applyFont="1" applyFill="1" applyBorder="1" applyAlignment="1" applyProtection="1">
      <alignment horizontal="left" vertical="center"/>
      <protection locked="0"/>
    </xf>
    <xf numFmtId="0" fontId="79" fillId="2" borderId="4" xfId="0" applyFont="1" applyFill="1" applyBorder="1" applyAlignment="1" applyProtection="1">
      <alignment horizontal="left" vertical="center"/>
      <protection locked="0"/>
    </xf>
    <xf numFmtId="0" fontId="79" fillId="2" borderId="5" xfId="0" applyFont="1" applyFill="1" applyBorder="1" applyAlignment="1" applyProtection="1">
      <alignment horizontal="left" vertical="center"/>
      <protection locked="0"/>
    </xf>
    <xf numFmtId="0" fontId="97" fillId="0" borderId="0" xfId="10" applyFont="1">
      <alignment vertical="center"/>
    </xf>
    <xf numFmtId="0" fontId="49" fillId="12" borderId="1" xfId="10" applyFont="1" applyFill="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79" fillId="0" borderId="1" xfId="10" applyFont="1" applyBorder="1" applyAlignment="1" applyProtection="1">
      <alignment horizontal="left" vertical="center"/>
      <protection locked="0"/>
    </xf>
    <xf numFmtId="0" fontId="81" fillId="12" borderId="1" xfId="10" applyFont="1" applyFill="1" applyBorder="1" applyAlignment="1" applyProtection="1">
      <alignment horizontal="left" vertical="center"/>
      <protection locked="0"/>
    </xf>
    <xf numFmtId="0" fontId="54" fillId="12" borderId="1" xfId="10" applyFont="1" applyFill="1" applyBorder="1" applyAlignment="1" applyProtection="1">
      <alignment horizontal="left" vertical="center"/>
      <protection locked="0"/>
    </xf>
    <xf numFmtId="9" fontId="49" fillId="12" borderId="1" xfId="10" applyNumberFormat="1" applyFont="1" applyFill="1" applyBorder="1" applyAlignment="1" applyProtection="1">
      <alignment horizontal="left" vertical="center"/>
      <protection locked="0"/>
    </xf>
    <xf numFmtId="176" fontId="49" fillId="12" borderId="1" xfId="10" applyNumberFormat="1" applyFont="1" applyFill="1" applyBorder="1" applyAlignment="1" applyProtection="1">
      <alignment horizontal="left" vertical="center"/>
      <protection locked="0"/>
    </xf>
    <xf numFmtId="9" fontId="49" fillId="12" borderId="1" xfId="23" applyFont="1" applyFill="1" applyBorder="1" applyAlignment="1" applyProtection="1">
      <alignment horizontal="left" vertical="center"/>
      <protection locked="0"/>
    </xf>
    <xf numFmtId="181" fontId="49" fillId="12" borderId="1" xfId="23" applyNumberFormat="1" applyFont="1" applyFill="1" applyBorder="1" applyAlignment="1" applyProtection="1">
      <alignment horizontal="left" vertical="center"/>
      <protection locked="0"/>
    </xf>
    <xf numFmtId="43" fontId="97" fillId="0" borderId="0" xfId="24" applyFont="1">
      <alignment vertical="center"/>
    </xf>
    <xf numFmtId="2" fontId="97" fillId="0" borderId="0" xfId="10" applyNumberFormat="1">
      <alignment vertical="center"/>
    </xf>
    <xf numFmtId="179" fontId="97" fillId="0" borderId="0" xfId="10" applyNumberFormat="1">
      <alignment vertical="center"/>
    </xf>
    <xf numFmtId="43" fontId="97" fillId="0" borderId="1" xfId="24" applyFont="1" applyBorder="1">
      <alignment vertical="center"/>
    </xf>
    <xf numFmtId="0" fontId="97" fillId="0" borderId="1" xfId="10" applyBorder="1">
      <alignment vertical="center"/>
    </xf>
    <xf numFmtId="2" fontId="97" fillId="0" borderId="1" xfId="10" applyNumberFormat="1" applyBorder="1">
      <alignment vertical="center"/>
    </xf>
    <xf numFmtId="14" fontId="97" fillId="0" borderId="1" xfId="10" applyNumberFormat="1" applyBorder="1">
      <alignment vertical="center"/>
    </xf>
    <xf numFmtId="9" fontId="97" fillId="0" borderId="1" xfId="23" applyFont="1" applyBorder="1">
      <alignment vertical="center"/>
    </xf>
    <xf numFmtId="2" fontId="46" fillId="0" borderId="0" xfId="0" applyNumberFormat="1" applyFont="1" applyProtection="1">
      <alignment vertical="center"/>
      <protection locked="0"/>
    </xf>
    <xf numFmtId="178" fontId="46" fillId="0" borderId="0" xfId="0" applyNumberFormat="1" applyFont="1" applyProtection="1">
      <alignment vertical="center"/>
      <protection locked="0"/>
    </xf>
    <xf numFmtId="1" fontId="46" fillId="0" borderId="0" xfId="0" applyNumberFormat="1" applyFont="1" applyProtection="1">
      <alignment vertical="center"/>
      <protection locked="0"/>
    </xf>
    <xf numFmtId="10" fontId="46" fillId="0" borderId="0" xfId="17" applyNumberFormat="1" applyFont="1" applyProtection="1">
      <alignment vertical="center"/>
      <protection locked="0"/>
    </xf>
    <xf numFmtId="43" fontId="97" fillId="0" borderId="0" xfId="22" applyFont="1">
      <alignment vertical="center"/>
    </xf>
    <xf numFmtId="2" fontId="55" fillId="0" borderId="32" xfId="0" applyNumberFormat="1" applyFont="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43" fontId="97" fillId="0" borderId="0" xfId="24" applyFont="1" applyBorder="1">
      <alignment vertical="center"/>
    </xf>
    <xf numFmtId="0" fontId="97" fillId="0" borderId="0" xfId="10" applyBorder="1">
      <alignment vertical="center"/>
    </xf>
    <xf numFmtId="9" fontId="97" fillId="0" borderId="0" xfId="23" applyFont="1" applyBorder="1">
      <alignment vertical="center"/>
    </xf>
    <xf numFmtId="0" fontId="187"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0" fontId="63" fillId="0" borderId="5" xfId="0" applyFont="1" applyFill="1" applyBorder="1" applyAlignment="1" applyProtection="1">
      <alignment horizontal="center" vertical="center" wrapText="1"/>
    </xf>
    <xf numFmtId="0" fontId="63" fillId="0" borderId="54" xfId="0" applyFont="1" applyFill="1" applyBorder="1" applyAlignment="1" applyProtection="1">
      <alignment horizontal="center" vertical="center" wrapText="1"/>
    </xf>
    <xf numFmtId="0" fontId="63" fillId="0" borderId="3" xfId="0"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100"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7"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56" fillId="6" borderId="1" xfId="0" applyFont="1" applyFill="1" applyBorder="1" applyAlignment="1" applyProtection="1">
      <alignment horizontal="left" vertical="center" wrapText="1"/>
    </xf>
    <xf numFmtId="191"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55" fillId="6" borderId="5" xfId="0" applyFont="1" applyFill="1" applyBorder="1" applyAlignment="1" applyProtection="1">
      <alignment horizontal="left" vertical="center"/>
    </xf>
    <xf numFmtId="0" fontId="55"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55"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5" fillId="6" borderId="13"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6" fillId="6" borderId="106" xfId="0" applyFont="1" applyFill="1" applyBorder="1" applyProtection="1">
      <alignment vertical="center"/>
    </xf>
    <xf numFmtId="0" fontId="106"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2" fillId="6" borderId="63" xfId="0" applyFont="1" applyFill="1" applyBorder="1" applyAlignment="1" applyProtection="1">
      <alignment horizontal="center" vertical="center"/>
    </xf>
    <xf numFmtId="0" fontId="102" fillId="6" borderId="64" xfId="0" applyFont="1" applyFill="1" applyBorder="1" applyAlignment="1" applyProtection="1">
      <alignment horizontal="center" vertical="center"/>
    </xf>
    <xf numFmtId="0" fontId="102"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01" fillId="6" borderId="13" xfId="0" applyNumberFormat="1" applyFont="1" applyFill="1" applyBorder="1" applyAlignment="1" applyProtection="1">
      <alignment horizontal="left" vertical="center"/>
    </xf>
    <xf numFmtId="0" fontId="101" fillId="6" borderId="15" xfId="0" applyNumberFormat="1" applyFont="1" applyFill="1" applyBorder="1" applyAlignment="1" applyProtection="1">
      <alignment horizontal="left" vertical="center"/>
    </xf>
    <xf numFmtId="0" fontId="101" fillId="6" borderId="2" xfId="0"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4" fillId="6" borderId="0" xfId="0" applyNumberFormat="1" applyFont="1" applyFill="1" applyAlignment="1" applyProtection="1">
      <alignment horizontal="left" vertical="center"/>
    </xf>
    <xf numFmtId="0" fontId="101"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85"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4" fillId="0" borderId="0" xfId="9" applyNumberFormat="1" applyFont="1" applyAlignment="1" applyProtection="1">
      <alignment horizontal="left" vertical="center"/>
    </xf>
    <xf numFmtId="0" fontId="137" fillId="0" borderId="0" xfId="9" applyFont="1" applyAlignment="1">
      <alignment horizontal="left" vertical="center"/>
    </xf>
    <xf numFmtId="0" fontId="104"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1" fillId="11" borderId="131" xfId="9" applyFont="1" applyFill="1" applyBorder="1" applyAlignment="1" applyProtection="1">
      <alignment horizontal="left" vertical="center" wrapText="1"/>
    </xf>
    <xf numFmtId="0" fontId="101" fillId="11" borderId="125" xfId="9" applyFont="1" applyFill="1" applyBorder="1" applyAlignment="1" applyProtection="1">
      <alignment horizontal="left" vertical="center" wrapText="1"/>
    </xf>
    <xf numFmtId="0" fontId="101"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49" fontId="97" fillId="0" borderId="0" xfId="10" applyNumberFormat="1">
      <alignment vertical="center"/>
    </xf>
    <xf numFmtId="49" fontId="97" fillId="5" borderId="0" xfId="10" applyNumberFormat="1" applyFill="1">
      <alignment vertical="center"/>
    </xf>
    <xf numFmtId="0" fontId="49" fillId="12" borderId="1" xfId="10" applyFont="1" applyFill="1" applyBorder="1" applyAlignment="1" applyProtection="1">
      <alignment vertical="center"/>
      <protection locked="0"/>
    </xf>
    <xf numFmtId="0" fontId="97" fillId="0" borderId="0" xfId="10" applyAlignment="1">
      <alignment horizontal="left" vertical="center"/>
    </xf>
    <xf numFmtId="9" fontId="97" fillId="0" borderId="0" xfId="10" applyNumberFormat="1">
      <alignment vertical="center"/>
    </xf>
    <xf numFmtId="197" fontId="97" fillId="0" borderId="0" xfId="22" applyNumberFormat="1" applyFont="1">
      <alignment vertical="center"/>
    </xf>
  </cellXfs>
  <cellStyles count="52">
    <cellStyle name="Comma 2" xfId="25"/>
    <cellStyle name="Comma 2 2" xfId="26"/>
    <cellStyle name="Comma 2 2 2" xfId="27"/>
    <cellStyle name="Comma 2 2 2 2" xfId="28"/>
    <cellStyle name="Comma 2 2 3" xfId="29"/>
    <cellStyle name="Comma 2 3" xfId="30"/>
    <cellStyle name="Comma 2 3 2" xfId="31"/>
    <cellStyle name="Comma 2 4" xfId="32"/>
    <cellStyle name="Normal 2" xfId="33"/>
    <cellStyle name="Normal 2 2 2" xfId="34"/>
    <cellStyle name="Normal 2 8" xfId="35"/>
    <cellStyle name="Normal 3" xfId="36"/>
    <cellStyle name="Normal 4" xfId="37"/>
    <cellStyle name="Normal 5" xfId="38"/>
    <cellStyle name="Normal_Shangri-La Offices Rental Schedule by 8 units--elevator060803_Shangri-La Offices - Rental Guideline &amp; Leasing Policy 060913draft 2" xfId="39"/>
    <cellStyle name="百分比" xfId="17" builtinId="5"/>
    <cellStyle name="百分比 2" xfId="14"/>
    <cellStyle name="百分比 3" xfId="23"/>
    <cellStyle name="百分比 4" xfId="40"/>
    <cellStyle name="常规" xfId="0" builtinId="0"/>
    <cellStyle name="常规 10" xfId="19"/>
    <cellStyle name="常规 11" xfId="18"/>
    <cellStyle name="常规 12" xfId="21"/>
    <cellStyle name="常规 13" xfId="41"/>
    <cellStyle name="常规 14" xfId="42"/>
    <cellStyle name="常规 16" xfId="10"/>
    <cellStyle name="常规 2" xfId="1"/>
    <cellStyle name="常规 2 2" xfId="8"/>
    <cellStyle name="常规 2 2 2 2 3" xfId="15"/>
    <cellStyle name="常规 2 3" xfId="43"/>
    <cellStyle name="常规 3" xfId="2"/>
    <cellStyle name="常规 3 2" xfId="3"/>
    <cellStyle name="常规 3 2 2" xfId="44"/>
    <cellStyle name="常规 3 3" xfId="45"/>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6"/>
    <cellStyle name="千位分隔" xfId="22" builtinId="3"/>
    <cellStyle name="千位分隔 2" xfId="20"/>
    <cellStyle name="千位分隔 2 2" xfId="24"/>
    <cellStyle name="千位分隔 2 2 2" xfId="47"/>
    <cellStyle name="千位分隔 2 3" xfId="48"/>
    <cellStyle name="千位分隔 3" xfId="49"/>
    <cellStyle name="千位分隔 3 2" xfId="50"/>
    <cellStyle name="千位分隔 4" xfId="51"/>
  </cellStyles>
  <dxfs count="25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33</xdr:row>
      <xdr:rowOff>38100</xdr:rowOff>
    </xdr:from>
    <xdr:to>
      <xdr:col>29</xdr:col>
      <xdr:colOff>450164</xdr:colOff>
      <xdr:row>66</xdr:row>
      <xdr:rowOff>75488</xdr:rowOff>
    </xdr:to>
    <xdr:pic>
      <xdr:nvPicPr>
        <xdr:cNvPr id="2" name="图片 1"/>
        <xdr:cNvPicPr>
          <a:picLocks noChangeAspect="1"/>
        </xdr:cNvPicPr>
      </xdr:nvPicPr>
      <xdr:blipFill>
        <a:blip xmlns:r="http://schemas.openxmlformats.org/officeDocument/2006/relationships" r:embed="rId1"/>
        <a:stretch>
          <a:fillRect/>
        </a:stretch>
      </xdr:blipFill>
      <xdr:spPr>
        <a:xfrm>
          <a:off x="9972675" y="9829800"/>
          <a:ext cx="10537139" cy="5695238"/>
        </a:xfrm>
        <a:prstGeom prst="rect">
          <a:avLst/>
        </a:prstGeom>
      </xdr:spPr>
    </xdr:pic>
    <xdr:clientData/>
  </xdr:twoCellAnchor>
  <xdr:twoCellAnchor editAs="oneCell">
    <xdr:from>
      <xdr:col>0</xdr:col>
      <xdr:colOff>0</xdr:colOff>
      <xdr:row>32</xdr:row>
      <xdr:rowOff>104775</xdr:rowOff>
    </xdr:from>
    <xdr:to>
      <xdr:col>13</xdr:col>
      <xdr:colOff>275077</xdr:colOff>
      <xdr:row>67</xdr:row>
      <xdr:rowOff>46883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725025"/>
          <a:ext cx="9190477" cy="5942858"/>
        </a:xfrm>
        <a:prstGeom prst="rect">
          <a:avLst/>
        </a:prstGeom>
      </xdr:spPr>
    </xdr:pic>
    <xdr:clientData/>
  </xdr:twoCellAnchor>
  <xdr:twoCellAnchor editAs="oneCell">
    <xdr:from>
      <xdr:col>16</xdr:col>
      <xdr:colOff>0</xdr:colOff>
      <xdr:row>0</xdr:row>
      <xdr:rowOff>0</xdr:rowOff>
    </xdr:from>
    <xdr:to>
      <xdr:col>22</xdr:col>
      <xdr:colOff>656629</xdr:colOff>
      <xdr:row>12</xdr:row>
      <xdr:rowOff>123367</xdr:rowOff>
    </xdr:to>
    <xdr:pic>
      <xdr:nvPicPr>
        <xdr:cNvPr id="4" name="图片 3"/>
        <xdr:cNvPicPr>
          <a:picLocks noChangeAspect="1"/>
        </xdr:cNvPicPr>
      </xdr:nvPicPr>
      <xdr:blipFill>
        <a:blip xmlns:r="http://schemas.openxmlformats.org/officeDocument/2006/relationships" r:embed="rId1"/>
        <a:stretch>
          <a:fillRect/>
        </a:stretch>
      </xdr:blipFill>
      <xdr:spPr>
        <a:xfrm>
          <a:off x="11144250" y="0"/>
          <a:ext cx="4771429" cy="36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9318;&#21019;&#22823;&#21414;-&#38889;&#20339;&#30591;-&#20108;&#23457;-&#23828;&#38196;20230703-1607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面积"/>
      <sheetName val="Sheet1"/>
      <sheetName val="租金台账"/>
      <sheetName val="大宗案例"/>
      <sheetName val="大宗案例-2"/>
      <sheetName val="周边租金、售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cell r="D62" t="str">
            <v>拍卖</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cell r="D113" t="str">
            <v>乙级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4" refreshError="1"/>
      <sheetData sheetId="35" refreshError="1"/>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北京市朝阳区朝阳门外大街5号院1号楼房地产抵押价值预评估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受贵公司委托，我公司对北京市朝阳区朝阳门外大街5号院1号楼房地产抵押价值进行了预评估。</v>
      </c>
    </row>
    <row r="7" spans="1:2" s="1203" customFormat="1">
      <c r="A7" s="1201" t="s">
        <v>566</v>
      </c>
      <c r="B7" s="1202" t="str">
        <f>'预评函-1'!A7</f>
        <v>估价对象为北京市朝阳区朝阳门外大街5号院1号楼房地产，为都城伟业集团有限公司所有。根据《国有土地使用证》[]，估价对象（分摊）出让国有建设用地使用权面积为0平方米，建筑面积为32105.55平方米。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2024年4月24日（评估专业人员实地查勘之日）</v>
      </c>
    </row>
    <row r="13" spans="1:2" s="1203" customFormat="1">
      <c r="A13" s="1201" t="s">
        <v>529</v>
      </c>
      <c r="B13" s="1202"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135050</v>
      </c>
    </row>
    <row r="21" spans="1:2" s="1203" customFormat="1">
      <c r="A21" s="1201" t="s">
        <v>537</v>
      </c>
      <c r="B21" s="1202">
        <f ca="1">'预评函-2'!D7</f>
        <v>42064</v>
      </c>
    </row>
    <row r="22" spans="1:2" s="1203" customFormat="1">
      <c r="A22" s="1201" t="s">
        <v>538</v>
      </c>
      <c r="B22" s="1202" t="str">
        <f ca="1">'预评函-2'!D6</f>
        <v>壹拾叁亿伍仟零伍拾万元整</v>
      </c>
    </row>
    <row r="23" spans="1:2" s="1203" customFormat="1">
      <c r="A23" s="1201" t="s">
        <v>589</v>
      </c>
      <c r="B23" s="1202" t="str">
        <f>'预评函-2'!B8</f>
        <v>2.估价师知悉的除抵押担保权以外的法定优先受偿款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135050</v>
      </c>
    </row>
    <row r="35" spans="1:2" s="1203" customFormat="1">
      <c r="A35" s="1201" t="s">
        <v>577</v>
      </c>
      <c r="B35" s="1202">
        <f ca="1">'预评函-2'!D18</f>
        <v>42064</v>
      </c>
    </row>
    <row r="36" spans="1:2" s="1203" customFormat="1">
      <c r="A36" s="1201" t="s">
        <v>544</v>
      </c>
      <c r="B36" s="1202" t="str">
        <f ca="1">'预评函-2'!D17</f>
        <v>壹拾叁亿伍仟零伍拾万元整</v>
      </c>
    </row>
    <row r="37" spans="1:2" s="1203" customFormat="1">
      <c r="A37" s="1201" t="s">
        <v>579</v>
      </c>
      <c r="B37" s="1202" t="str">
        <f>'预评函-2'!B19</f>
        <v>4.抵押净值</v>
      </c>
    </row>
    <row r="38" spans="1:2" s="1203" customFormat="1">
      <c r="A38" s="1201" t="s">
        <v>597</v>
      </c>
      <c r="B38" s="1202">
        <f ca="1">'预评函-2'!D19</f>
        <v>134982</v>
      </c>
    </row>
    <row r="39" spans="1:2" s="1203" customFormat="1">
      <c r="A39" s="1201" t="s">
        <v>545</v>
      </c>
      <c r="B39" s="1202">
        <f ca="1">'预评函-2'!D21</f>
        <v>42043</v>
      </c>
    </row>
    <row r="40" spans="1:2" s="1203" customFormat="1">
      <c r="A40" s="1201" t="s">
        <v>546</v>
      </c>
      <c r="B40" s="1202" t="str">
        <f ca="1">'预评函-2'!D20</f>
        <v>壹拾叁亿肆仟玖佰捌拾贰万元整</v>
      </c>
    </row>
    <row r="41" spans="1:2" s="1203" customFormat="1">
      <c r="A41" s="1201" t="s">
        <v>592</v>
      </c>
      <c r="B41" s="1202" t="str">
        <f>'预评函-3'!A4</f>
        <v>北京市朝阳区朝阳门外大街5号院1号楼房地产</v>
      </c>
    </row>
    <row r="42" spans="1:2" s="1203" customFormat="1">
      <c r="A42" s="1201" t="s">
        <v>590</v>
      </c>
      <c r="B42" s="1202" t="str">
        <f>'预评函-3'!B2</f>
        <v>建筑面积</v>
      </c>
    </row>
    <row r="43" spans="1:2" s="1203" customFormat="1">
      <c r="A43" s="1201" t="s">
        <v>591</v>
      </c>
      <c r="B43" s="1202">
        <f>'预评函-3'!B4</f>
        <v>32105.55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107095</v>
      </c>
    </row>
    <row r="48" spans="1:2" s="1203" customFormat="1">
      <c r="A48" s="1201" t="s">
        <v>549</v>
      </c>
      <c r="B48" s="1202">
        <f ca="1">'预评函-3'!E4</f>
        <v>33357</v>
      </c>
    </row>
    <row r="49" spans="1:2" s="1203" customFormat="1">
      <c r="A49" s="1201" t="s">
        <v>550</v>
      </c>
      <c r="B49" s="1202" t="str">
        <f ca="1">'预评函-3'!D5</f>
        <v>壹拾亿柒仟零玖拾伍万元整</v>
      </c>
    </row>
    <row r="50" spans="1:2" s="1203" customFormat="1">
      <c r="A50" s="1201" t="s">
        <v>574</v>
      </c>
      <c r="B50" s="1202" t="str">
        <f>'预评函-3'!F2</f>
        <v>在建建筑物价值</v>
      </c>
    </row>
    <row r="51" spans="1:2" s="1203" customFormat="1">
      <c r="A51" s="1201" t="s">
        <v>551</v>
      </c>
      <c r="B51" s="1202">
        <f ca="1">'预评函-3'!F4</f>
        <v>27955</v>
      </c>
    </row>
    <row r="52" spans="1:2" s="1203" customFormat="1">
      <c r="A52" s="1201" t="s">
        <v>552</v>
      </c>
      <c r="B52" s="1202">
        <f ca="1">'预评函-3'!G4</f>
        <v>8707</v>
      </c>
    </row>
    <row r="53" spans="1:2" s="1203" customFormat="1">
      <c r="A53" s="1201" t="s">
        <v>580</v>
      </c>
      <c r="B53" s="1202" t="str">
        <f ca="1">'预评函-3'!F5</f>
        <v>贰亿柒仟玖佰伍拾伍万元整</v>
      </c>
    </row>
    <row r="54" spans="1:2" s="1203" customFormat="1">
      <c r="A54" s="1201" t="s">
        <v>598</v>
      </c>
      <c r="B54" s="1202" t="str">
        <f>'预评函-3'!A8</f>
        <v/>
      </c>
    </row>
    <row r="55" spans="1:2" s="1203" customFormat="1">
      <c r="A55" s="1201" t="s">
        <v>581</v>
      </c>
      <c r="B55" s="1202" t="str">
        <f>'预评函-3'!A10</f>
        <v>抵押担保权已注销时的房地产抵押价值</v>
      </c>
    </row>
    <row r="56" spans="1:2" s="1203" customFormat="1">
      <c r="A56" s="1201" t="s">
        <v>582</v>
      </c>
      <c r="B56" s="1202" t="str">
        <f>'预评函-3'!A12</f>
        <v>抵押净值</v>
      </c>
    </row>
    <row r="57" spans="1:2" s="1197" customFormat="1" ht="15" thickBot="1">
      <c r="A57" s="1204" t="s">
        <v>599</v>
      </c>
      <c r="B57" s="1205" t="str">
        <f>'预评函-3'!A6</f>
        <v>估价师知悉的除抵押担保权以外的法定优先受偿款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故，本次评估不存在估价师知悉的除抵押担保权以外的法定优先受偿款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8" sqref="F1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3323</v>
      </c>
    </row>
    <row r="8" spans="1:23">
      <c r="A8" s="1546" t="s">
        <v>1026</v>
      </c>
      <c r="B8" s="1546" t="s">
        <v>1027</v>
      </c>
      <c r="C8" s="1547" t="s">
        <v>319</v>
      </c>
      <c r="F8" s="1548" t="s">
        <v>1028</v>
      </c>
      <c r="H8" s="1548" t="s">
        <v>2558</v>
      </c>
      <c r="I8" s="1548" t="s">
        <v>3324</v>
      </c>
    </row>
    <row r="9" spans="1:23">
      <c r="A9" s="1546" t="s">
        <v>1029</v>
      </c>
      <c r="B9" s="1546" t="s">
        <v>1030</v>
      </c>
      <c r="C9" s="1547" t="s">
        <v>320</v>
      </c>
      <c r="F9" s="1548" t="s">
        <v>1031</v>
      </c>
      <c r="H9" s="1548"/>
      <c r="I9" s="1551" t="s">
        <v>3325</v>
      </c>
    </row>
    <row r="10" spans="1:23">
      <c r="A10" s="1546" t="s">
        <v>1032</v>
      </c>
      <c r="B10" s="1546" t="s">
        <v>1033</v>
      </c>
      <c r="C10" s="1547" t="s">
        <v>321</v>
      </c>
      <c r="F10" s="1548" t="s">
        <v>2559</v>
      </c>
      <c r="I10" s="1551" t="s">
        <v>3326</v>
      </c>
    </row>
    <row r="11" spans="1:23">
      <c r="A11" s="1546" t="s">
        <v>1034</v>
      </c>
      <c r="B11" s="1546" t="s">
        <v>1035</v>
      </c>
      <c r="C11" s="1547" t="s">
        <v>322</v>
      </c>
      <c r="F11" s="1548" t="s">
        <v>13</v>
      </c>
      <c r="I11" s="1551" t="s">
        <v>3327</v>
      </c>
    </row>
    <row r="12" spans="1:23">
      <c r="A12" s="1546" t="s">
        <v>1036</v>
      </c>
      <c r="B12" s="1546" t="s">
        <v>1037</v>
      </c>
      <c r="C12" s="1547" t="s">
        <v>323</v>
      </c>
      <c r="I12" s="1551" t="s">
        <v>3328</v>
      </c>
    </row>
    <row r="13" spans="1:23">
      <c r="A13" s="1546" t="s">
        <v>1038</v>
      </c>
      <c r="B13" s="1546" t="s">
        <v>1039</v>
      </c>
      <c r="C13" s="1547" t="s">
        <v>324</v>
      </c>
      <c r="I13" s="1551" t="s">
        <v>3329</v>
      </c>
    </row>
    <row r="14" spans="1:23">
      <c r="A14" s="1546" t="s">
        <v>1040</v>
      </c>
      <c r="B14" s="1546" t="s">
        <v>1041</v>
      </c>
      <c r="C14" s="1548" t="s">
        <v>13</v>
      </c>
      <c r="I14" s="1551" t="s">
        <v>3330</v>
      </c>
    </row>
    <row r="15" spans="1:23">
      <c r="A15" s="1546" t="s">
        <v>1042</v>
      </c>
      <c r="B15" s="1546" t="s">
        <v>1043</v>
      </c>
      <c r="C15" s="1547"/>
      <c r="I15" s="1551" t="s">
        <v>3331</v>
      </c>
    </row>
    <row r="16" spans="1:23">
      <c r="A16" s="1546" t="s">
        <v>1044</v>
      </c>
      <c r="B16" s="1546" t="s">
        <v>312</v>
      </c>
      <c r="C16" s="1547"/>
    </row>
    <row r="17" spans="1:3">
      <c r="A17" s="1546" t="s">
        <v>1045</v>
      </c>
      <c r="B17" s="1546" t="s">
        <v>2270</v>
      </c>
      <c r="C17" s="1547"/>
    </row>
    <row r="18" spans="1:3">
      <c r="A18" s="1546" t="s">
        <v>1046</v>
      </c>
      <c r="B18" s="1546" t="s">
        <v>2414</v>
      </c>
      <c r="C18" s="1547"/>
    </row>
    <row r="19" spans="1:3">
      <c r="A19" s="1546" t="s">
        <v>1047</v>
      </c>
      <c r="B19" s="1546" t="s">
        <v>3385</v>
      </c>
      <c r="C19" s="1547"/>
    </row>
    <row r="20" spans="1:3">
      <c r="A20" s="1546" t="s">
        <v>1048</v>
      </c>
      <c r="B20" s="1546" t="s">
        <v>3391</v>
      </c>
      <c r="C20" s="1547"/>
    </row>
    <row r="21" spans="1:3">
      <c r="A21" s="1546" t="s">
        <v>1049</v>
      </c>
      <c r="B21" s="1549" t="s">
        <v>4691</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6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1"/>
      <c r="B54" s="1554" t="s">
        <v>385</v>
      </c>
      <c r="C54" s="1551" t="s">
        <v>583</v>
      </c>
    </row>
    <row r="55" spans="1:4">
      <c r="A55" s="3621"/>
      <c r="B55" s="1554" t="s">
        <v>386</v>
      </c>
      <c r="C55" s="1551" t="s">
        <v>584</v>
      </c>
    </row>
    <row r="56" spans="1:4">
      <c r="A56" s="3621"/>
      <c r="B56" s="1554" t="s">
        <v>387</v>
      </c>
      <c r="C56" s="1551" t="s">
        <v>588</v>
      </c>
    </row>
    <row r="57" spans="1:4">
      <c r="A57" s="36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2481</v>
      </c>
      <c r="B1" s="2990"/>
      <c r="C1" s="2990"/>
      <c r="D1" s="2990"/>
      <c r="E1" s="2990"/>
      <c r="F1" s="2991"/>
      <c r="I1" s="3413" t="s">
        <v>2574</v>
      </c>
      <c r="J1" s="3202"/>
      <c r="K1" s="3202"/>
      <c r="L1" s="3202"/>
      <c r="M1" s="3202"/>
      <c r="N1" s="3414"/>
      <c r="O1" s="3414"/>
      <c r="P1" s="3414"/>
      <c r="Q1" s="3414"/>
      <c r="R1" s="3414"/>
    </row>
    <row r="2" spans="1:18">
      <c r="A2" s="2993"/>
      <c r="B2" s="2994"/>
      <c r="C2" s="2994"/>
      <c r="D2" s="2994"/>
      <c r="E2" s="2994"/>
      <c r="F2" s="2995"/>
      <c r="I2" s="3622" t="s">
        <v>2561</v>
      </c>
      <c r="J2" s="3622"/>
      <c r="K2" s="3622"/>
      <c r="L2" s="3622"/>
      <c r="M2" s="3622"/>
      <c r="N2" s="3622"/>
      <c r="O2" s="3622"/>
      <c r="P2" s="3622"/>
      <c r="Q2" s="3622"/>
      <c r="R2" s="3622"/>
    </row>
    <row r="3" spans="1:18">
      <c r="A3" s="2996" t="s">
        <v>2482</v>
      </c>
      <c r="B3" s="2997">
        <f>项目基本情况!D3</f>
        <v>45406</v>
      </c>
      <c r="C3" s="2999"/>
      <c r="D3" s="2999"/>
      <c r="E3" s="2999"/>
      <c r="F3" s="2995"/>
      <c r="I3" s="3415"/>
      <c r="J3" s="3415" t="s">
        <v>2565</v>
      </c>
      <c r="K3" s="3415" t="s">
        <v>2566</v>
      </c>
      <c r="L3" s="3415" t="s">
        <v>2567</v>
      </c>
      <c r="M3" s="3415" t="s">
        <v>2568</v>
      </c>
      <c r="N3" s="3416" t="s">
        <v>2569</v>
      </c>
      <c r="O3" s="3416" t="s">
        <v>2570</v>
      </c>
      <c r="P3" s="3416" t="s">
        <v>2571</v>
      </c>
      <c r="Q3" s="3416" t="s">
        <v>2572</v>
      </c>
      <c r="R3" s="3416" t="s">
        <v>2573</v>
      </c>
    </row>
    <row r="4" spans="1:18">
      <c r="A4" s="2996" t="s">
        <v>2483</v>
      </c>
      <c r="B4" s="2999" t="s">
        <v>2484</v>
      </c>
      <c r="C4" s="2999" t="s">
        <v>2485</v>
      </c>
      <c r="D4" s="2999" t="s">
        <v>2486</v>
      </c>
      <c r="E4" s="2999" t="s">
        <v>2487</v>
      </c>
      <c r="F4" s="2995"/>
      <c r="I4" s="3415" t="s">
        <v>2562</v>
      </c>
      <c r="J4" s="3415">
        <v>80</v>
      </c>
      <c r="K4" s="3415">
        <v>70</v>
      </c>
      <c r="L4" s="3415">
        <v>20</v>
      </c>
      <c r="M4" s="3415">
        <v>30</v>
      </c>
      <c r="N4" s="2999">
        <v>45</v>
      </c>
      <c r="O4" s="2999">
        <v>60</v>
      </c>
      <c r="P4" s="2999">
        <v>50</v>
      </c>
      <c r="Q4" s="2999">
        <v>20</v>
      </c>
      <c r="R4" s="2999">
        <v>375</v>
      </c>
    </row>
    <row r="5" spans="1:18">
      <c r="A5" s="3000">
        <v>40</v>
      </c>
      <c r="B5" s="2997">
        <v>46375</v>
      </c>
      <c r="C5" s="2999">
        <f>ROUNDDOWN(MIN((B5-B3)/365,A5),2)</f>
        <v>2.65</v>
      </c>
      <c r="D5" s="3001">
        <f>IF(ISERROR(ROUND(POWER(1+E5,A5-C5)*(POWER(1+E5,C5)-1)/(POWER(1+E5,A5)-1),3)),0,ROUND(POWER(1+E5,A5-C5)*(POWER(1+E5,C5)-1)/(POWER(1+E5,A5)-1),4))</f>
        <v>0.12470000000000001</v>
      </c>
      <c r="E5" s="3002">
        <v>0.04</v>
      </c>
      <c r="F5" s="2995"/>
      <c r="I5" s="3415" t="s">
        <v>2563</v>
      </c>
      <c r="J5" s="3415">
        <v>70</v>
      </c>
      <c r="K5" s="3415">
        <v>60</v>
      </c>
      <c r="L5" s="3415">
        <v>15</v>
      </c>
      <c r="M5" s="3415">
        <v>25</v>
      </c>
      <c r="N5" s="2999">
        <v>40</v>
      </c>
      <c r="O5" s="2999">
        <v>50</v>
      </c>
      <c r="P5" s="2999">
        <v>40</v>
      </c>
      <c r="Q5" s="2999">
        <v>15</v>
      </c>
      <c r="R5" s="2999">
        <v>315</v>
      </c>
    </row>
    <row r="6" spans="1:18">
      <c r="A6" s="3000">
        <v>50</v>
      </c>
      <c r="B6" s="2997">
        <v>50028</v>
      </c>
      <c r="C6" s="2999">
        <f>ROUNDDOWN(MIN((B6-B3)/365,A6),2)</f>
        <v>12.66</v>
      </c>
      <c r="D6" s="3001">
        <f>IF(ISERROR(ROUND(POWER(1+E6,A6-C6)*(POWER(1+E6,C6)-1)/(POWER(1+E6,A6)-1),3)),0,ROUND(POWER(1+E6,A6-C6)*(POWER(1+E6,C6)-1)/(POWER(1+E6,A6)-1),4))</f>
        <v>0.45550000000000002</v>
      </c>
      <c r="E6" s="3002">
        <v>0.04</v>
      </c>
      <c r="F6" s="2995"/>
      <c r="I6" s="3415" t="s">
        <v>2564</v>
      </c>
      <c r="J6" s="3415">
        <v>60</v>
      </c>
      <c r="K6" s="3415">
        <v>50</v>
      </c>
      <c r="L6" s="3415">
        <v>10</v>
      </c>
      <c r="M6" s="3415">
        <v>20</v>
      </c>
      <c r="N6" s="2999">
        <v>35</v>
      </c>
      <c r="O6" s="2999">
        <v>40</v>
      </c>
      <c r="P6" s="2999">
        <v>30</v>
      </c>
      <c r="Q6" s="2999">
        <v>10</v>
      </c>
      <c r="R6" s="2999">
        <v>255</v>
      </c>
    </row>
    <row r="7" spans="1:18">
      <c r="A7" s="3000">
        <v>70</v>
      </c>
      <c r="B7" s="2997">
        <v>57333</v>
      </c>
      <c r="C7" s="2999">
        <f>ROUNDDOWN(MIN((B7-B3)/365,A7),2)</f>
        <v>32.67</v>
      </c>
      <c r="D7" s="3001">
        <f>IF(ISERROR(ROUND(POWER(1+E7,A7-C7)*(POWER(1+E7,C7)-1)/(POWER(1+E7,A7)-1),3)),0,ROUND(POWER(1+E7,A7-C7)*(POWER(1+E7,C7)-1)/(POWER(1+E7,A7)-1),4))</f>
        <v>0.77190000000000003</v>
      </c>
      <c r="E7" s="3002">
        <v>0.04</v>
      </c>
      <c r="F7" s="2995"/>
    </row>
    <row r="8" spans="1:18">
      <c r="A8" s="2993"/>
      <c r="B8" s="2994"/>
      <c r="C8" s="2994"/>
      <c r="D8" s="2994"/>
      <c r="E8" s="2994"/>
      <c r="F8" s="2995"/>
    </row>
    <row r="9" spans="1:18">
      <c r="A9" s="2996" t="s">
        <v>2488</v>
      </c>
      <c r="B9" s="2999"/>
      <c r="C9" s="2999"/>
      <c r="D9" s="2999"/>
      <c r="E9" s="2999"/>
      <c r="F9" s="3003"/>
    </row>
    <row r="10" spans="1:18">
      <c r="A10" s="2996" t="s">
        <v>2489</v>
      </c>
      <c r="B10" s="2999"/>
      <c r="C10" s="2999"/>
      <c r="D10" s="2999" t="s">
        <v>2487</v>
      </c>
      <c r="E10" s="2999"/>
      <c r="F10" s="3003" t="s">
        <v>2486</v>
      </c>
    </row>
    <row r="11" spans="1:18">
      <c r="A11" s="2996" t="s">
        <v>2490</v>
      </c>
      <c r="B11" s="3004">
        <v>70</v>
      </c>
      <c r="C11" s="2999" t="s">
        <v>2491</v>
      </c>
      <c r="D11" s="3005">
        <v>4.4999999999999998E-2</v>
      </c>
      <c r="E11" s="2999" t="s">
        <v>2492</v>
      </c>
      <c r="F11" s="3006">
        <f>ROUND(1-(1/(POWER(1+D11,B11))),4)</f>
        <v>0.95409999999999995</v>
      </c>
    </row>
    <row r="12" spans="1:18">
      <c r="A12" s="2996" t="s">
        <v>2493</v>
      </c>
      <c r="B12" s="3004">
        <v>40</v>
      </c>
      <c r="C12" s="2999" t="s">
        <v>2494</v>
      </c>
      <c r="D12" s="3005">
        <v>4.4999999999999998E-2</v>
      </c>
      <c r="E12" s="2999" t="s">
        <v>2495</v>
      </c>
      <c r="F12" s="3006">
        <f>ROUND(1-(1/(POWER(1+D12,B12))),4)</f>
        <v>0.82809999999999995</v>
      </c>
    </row>
    <row r="13" spans="1:18">
      <c r="A13" s="2996" t="s">
        <v>2496</v>
      </c>
      <c r="B13" s="2999"/>
      <c r="C13" s="2999"/>
      <c r="D13" s="2994"/>
      <c r="E13" s="2994"/>
      <c r="F13" s="2995"/>
    </row>
    <row r="14" spans="1:18">
      <c r="A14" s="2996" t="s">
        <v>2497</v>
      </c>
      <c r="B14" s="3004">
        <v>5000</v>
      </c>
      <c r="C14" s="2998"/>
      <c r="D14" s="2994"/>
      <c r="E14" s="2994"/>
      <c r="F14" s="2995"/>
    </row>
    <row r="15" spans="1:18">
      <c r="A15" s="2996" t="s">
        <v>2498</v>
      </c>
      <c r="B15" s="2999">
        <f>ROUND(B14*F12/F11,2)</f>
        <v>4339.6899999999996</v>
      </c>
      <c r="C15" s="2999">
        <f>ROUND(F12/F11,4)</f>
        <v>0.8679</v>
      </c>
      <c r="D15" s="2994"/>
      <c r="E15" s="2994"/>
      <c r="F15" s="2995"/>
    </row>
    <row r="16" spans="1:18">
      <c r="A16" s="2996" t="s">
        <v>2499</v>
      </c>
      <c r="B16" s="2999"/>
      <c r="C16" s="2999"/>
      <c r="D16" s="2994"/>
      <c r="E16" s="2994"/>
      <c r="F16" s="2995"/>
    </row>
    <row r="17" spans="1:13">
      <c r="A17" s="2996" t="s">
        <v>2498</v>
      </c>
      <c r="B17" s="3005">
        <v>4810</v>
      </c>
      <c r="C17" s="2998"/>
      <c r="D17" s="2994"/>
      <c r="E17" s="2994"/>
      <c r="F17" s="2995"/>
    </row>
    <row r="18" spans="1:13" ht="14.25" thickBot="1">
      <c r="A18" s="3007" t="s">
        <v>2497</v>
      </c>
      <c r="B18" s="3008">
        <f>ROUND(B17*F11/F12,2)</f>
        <v>5541.87</v>
      </c>
      <c r="C18" s="3008">
        <f>ROUND(F11/F12,4)</f>
        <v>1.1521999999999999</v>
      </c>
      <c r="D18" s="3009"/>
      <c r="E18" s="3009"/>
      <c r="F18" s="3010"/>
    </row>
    <row r="19" spans="1:13" ht="14.25" thickBot="1"/>
    <row r="20" spans="1:13" s="3045" customFormat="1" ht="14.25" thickTop="1">
      <c r="A20" s="3042" t="s">
        <v>2500</v>
      </c>
      <c r="B20" s="3043"/>
      <c r="C20" s="3043"/>
      <c r="D20" s="3043"/>
      <c r="E20" s="3043"/>
      <c r="F20" s="3043"/>
      <c r="G20" s="3044"/>
      <c r="I20" s="3046" t="s">
        <v>2545</v>
      </c>
      <c r="J20" s="3046" t="s">
        <v>2550</v>
      </c>
      <c r="K20" s="3046"/>
      <c r="L20" s="3046"/>
      <c r="M20" s="3046"/>
    </row>
    <row r="21" spans="1:13">
      <c r="A21" s="3011"/>
      <c r="B21" s="3012" t="s">
        <v>2501</v>
      </c>
      <c r="C21" s="3012" t="s">
        <v>2502</v>
      </c>
      <c r="D21" s="3012" t="s">
        <v>2503</v>
      </c>
      <c r="E21" s="3012" t="s">
        <v>2504</v>
      </c>
      <c r="F21" s="3012" t="s">
        <v>2505</v>
      </c>
      <c r="G21" s="3013" t="s">
        <v>2506</v>
      </c>
      <c r="I21" s="3034">
        <v>5</v>
      </c>
      <c r="J21" s="3034">
        <v>54.2</v>
      </c>
    </row>
    <row r="22" spans="1:13">
      <c r="A22" s="3011" t="s">
        <v>2507</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2508</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2548</v>
      </c>
      <c r="M23" s="3034" t="s">
        <v>2549</v>
      </c>
    </row>
    <row r="24" spans="1:13">
      <c r="A24" s="3011" t="s">
        <v>2509</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2547</v>
      </c>
      <c r="M24" s="3034">
        <v>10</v>
      </c>
    </row>
    <row r="25" spans="1:13">
      <c r="A25" s="3011" t="s">
        <v>2510</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2551</v>
      </c>
      <c r="M25" s="3034">
        <v>8</v>
      </c>
    </row>
    <row r="26" spans="1:13">
      <c r="A26" s="3016"/>
      <c r="B26" s="3017"/>
      <c r="C26" s="3017"/>
      <c r="D26" s="3017"/>
      <c r="E26" s="3017"/>
      <c r="F26" s="3017"/>
      <c r="G26" s="3018"/>
      <c r="I26" s="3034">
        <v>30</v>
      </c>
      <c r="J26" s="3034">
        <v>90.5</v>
      </c>
      <c r="K26" s="3034">
        <f t="shared" si="2"/>
        <v>4.2000000000000028</v>
      </c>
      <c r="L26" s="3034" t="s">
        <v>2552</v>
      </c>
      <c r="M26" s="3034">
        <v>5</v>
      </c>
    </row>
    <row r="27" spans="1:13">
      <c r="A27" s="3016" t="s">
        <v>2511</v>
      </c>
      <c r="B27" s="3017"/>
      <c r="C27" s="3017"/>
      <c r="D27" s="3017"/>
      <c r="E27" s="3017"/>
      <c r="F27" s="3017"/>
      <c r="G27" s="3018"/>
      <c r="I27" s="3034">
        <v>35</v>
      </c>
      <c r="J27" s="3034">
        <v>93.8</v>
      </c>
      <c r="K27" s="3034">
        <f t="shared" si="2"/>
        <v>3.2999999999999972</v>
      </c>
      <c r="L27" s="3034" t="s">
        <v>2553</v>
      </c>
      <c r="M27" s="3034">
        <v>3</v>
      </c>
    </row>
    <row r="28" spans="1:13">
      <c r="A28" s="3016" t="s">
        <v>2512</v>
      </c>
      <c r="B28" s="3017"/>
      <c r="C28" s="3017"/>
      <c r="D28" s="3017"/>
      <c r="E28" s="3017"/>
      <c r="F28" s="3017"/>
      <c r="G28" s="3018"/>
      <c r="I28" s="3034">
        <v>40</v>
      </c>
      <c r="J28" s="3034">
        <v>96.4</v>
      </c>
      <c r="K28" s="3034">
        <f t="shared" si="2"/>
        <v>2.6000000000000085</v>
      </c>
      <c r="L28" s="3034" t="s">
        <v>2554</v>
      </c>
      <c r="M28" s="3034">
        <v>2</v>
      </c>
    </row>
    <row r="29" spans="1:13">
      <c r="A29" s="3016" t="s">
        <v>2513</v>
      </c>
      <c r="B29" s="3017"/>
      <c r="C29" s="3017"/>
      <c r="D29" s="3017"/>
      <c r="E29" s="3017"/>
      <c r="F29" s="3017"/>
      <c r="G29" s="3018"/>
      <c r="I29" s="3034">
        <v>45</v>
      </c>
      <c r="J29" s="3034">
        <v>98.4</v>
      </c>
      <c r="K29" s="3034">
        <f t="shared" si="2"/>
        <v>2</v>
      </c>
    </row>
    <row r="30" spans="1:13">
      <c r="A30" s="3016" t="s">
        <v>2514</v>
      </c>
      <c r="B30" s="3017"/>
      <c r="C30" s="3017"/>
      <c r="D30" s="3017"/>
      <c r="E30" s="3017"/>
      <c r="F30" s="3017"/>
      <c r="G30" s="3018"/>
      <c r="I30" s="3034">
        <v>50</v>
      </c>
      <c r="J30" s="3034">
        <v>100</v>
      </c>
      <c r="K30" s="3034">
        <f t="shared" si="2"/>
        <v>1.5999999999999943</v>
      </c>
    </row>
    <row r="31" spans="1:13">
      <c r="A31" s="3016" t="s">
        <v>2515</v>
      </c>
      <c r="B31" s="3017"/>
      <c r="C31" s="3017"/>
      <c r="D31" s="3017"/>
      <c r="E31" s="3017"/>
      <c r="F31" s="3017"/>
      <c r="G31" s="3018"/>
      <c r="I31" s="3034" t="s">
        <v>2546</v>
      </c>
    </row>
    <row r="32" spans="1:13">
      <c r="A32" s="3016" t="s">
        <v>2516</v>
      </c>
      <c r="B32" s="3017"/>
      <c r="C32" s="3017"/>
      <c r="D32" s="3017"/>
      <c r="E32" s="3017"/>
      <c r="F32" s="3017"/>
      <c r="G32" s="3018"/>
    </row>
    <row r="33" spans="1:13">
      <c r="A33" s="3016" t="s">
        <v>2517</v>
      </c>
      <c r="B33" s="3017"/>
      <c r="C33" s="3017"/>
      <c r="D33" s="3017"/>
      <c r="E33" s="3017"/>
      <c r="F33" s="3017"/>
      <c r="G33" s="3018"/>
      <c r="I33" s="3034" t="s">
        <v>2545</v>
      </c>
      <c r="J33" s="3034" t="s">
        <v>2555</v>
      </c>
    </row>
    <row r="34" spans="1:13">
      <c r="A34" s="3016" t="s">
        <v>2518</v>
      </c>
      <c r="B34" s="3017"/>
      <c r="C34" s="3017"/>
      <c r="D34" s="3017"/>
      <c r="E34" s="3017"/>
      <c r="F34" s="3017"/>
      <c r="G34" s="3018"/>
      <c r="I34" s="3034">
        <v>5</v>
      </c>
      <c r="J34" s="3034">
        <v>55.1</v>
      </c>
    </row>
    <row r="35" spans="1:13">
      <c r="A35" s="3016" t="s">
        <v>2519</v>
      </c>
      <c r="B35" s="3017"/>
      <c r="C35" s="3017"/>
      <c r="D35" s="3017"/>
      <c r="E35" s="3017"/>
      <c r="F35" s="3017"/>
      <c r="G35" s="3018"/>
      <c r="I35" s="3034">
        <v>10</v>
      </c>
      <c r="J35" s="3034">
        <v>67</v>
      </c>
      <c r="K35" s="3034">
        <f>J35-J34</f>
        <v>11.899999999999999</v>
      </c>
    </row>
    <row r="36" spans="1:13">
      <c r="A36" s="3016" t="s">
        <v>2520</v>
      </c>
      <c r="B36" s="3017"/>
      <c r="C36" s="3017"/>
      <c r="D36" s="3017"/>
      <c r="E36" s="3017"/>
      <c r="F36" s="3017"/>
      <c r="G36" s="3018"/>
      <c r="I36" s="3034">
        <v>15</v>
      </c>
      <c r="J36" s="3034">
        <v>76.3</v>
      </c>
      <c r="K36" s="3034">
        <f t="shared" ref="K36:K41" si="3">J36-J35</f>
        <v>9.2999999999999972</v>
      </c>
      <c r="L36" s="3034" t="s">
        <v>2548</v>
      </c>
      <c r="M36" s="3034" t="s">
        <v>2549</v>
      </c>
    </row>
    <row r="37" spans="1:13">
      <c r="A37" s="3016" t="s">
        <v>2521</v>
      </c>
      <c r="B37" s="3017"/>
      <c r="C37" s="3017"/>
      <c r="D37" s="3017"/>
      <c r="E37" s="3017"/>
      <c r="F37" s="3017"/>
      <c r="G37" s="3018"/>
      <c r="I37" s="3034">
        <v>20</v>
      </c>
      <c r="J37" s="3034">
        <v>83.6</v>
      </c>
      <c r="K37" s="3034">
        <f t="shared" si="3"/>
        <v>7.2999999999999972</v>
      </c>
      <c r="L37" s="3034" t="s">
        <v>2547</v>
      </c>
      <c r="M37" s="3034">
        <v>10</v>
      </c>
    </row>
    <row r="38" spans="1:13">
      <c r="A38" s="3016" t="s">
        <v>2522</v>
      </c>
      <c r="B38" s="3017"/>
      <c r="C38" s="3017"/>
      <c r="D38" s="3017"/>
      <c r="E38" s="3017"/>
      <c r="F38" s="3017"/>
      <c r="G38" s="3018"/>
      <c r="I38" s="3034">
        <v>25</v>
      </c>
      <c r="J38" s="3034">
        <v>89.3</v>
      </c>
      <c r="K38" s="3034">
        <f t="shared" si="3"/>
        <v>5.7000000000000028</v>
      </c>
      <c r="L38" s="3034" t="s">
        <v>2551</v>
      </c>
      <c r="M38" s="3034">
        <v>8</v>
      </c>
    </row>
    <row r="39" spans="1:13">
      <c r="A39" s="3016"/>
      <c r="B39" s="3017"/>
      <c r="C39" s="3017"/>
      <c r="D39" s="3017"/>
      <c r="E39" s="3017"/>
      <c r="F39" s="3017"/>
      <c r="G39" s="3018"/>
      <c r="I39" s="3034">
        <v>30</v>
      </c>
      <c r="J39" s="3034">
        <v>93.8</v>
      </c>
      <c r="K39" s="3034">
        <f t="shared" si="3"/>
        <v>4.5</v>
      </c>
      <c r="L39" s="3034" t="s">
        <v>2552</v>
      </c>
      <c r="M39" s="3034">
        <v>6</v>
      </c>
    </row>
    <row r="40" spans="1:13">
      <c r="A40" s="3019" t="s">
        <v>2523</v>
      </c>
      <c r="B40" s="3020"/>
      <c r="C40" s="3020"/>
      <c r="D40" s="3020"/>
      <c r="E40" s="3020"/>
      <c r="F40" s="3020"/>
      <c r="G40" s="3021"/>
      <c r="I40" s="3034">
        <v>35</v>
      </c>
      <c r="J40" s="3034">
        <v>97.2</v>
      </c>
      <c r="K40" s="3034">
        <f t="shared" si="3"/>
        <v>3.4000000000000057</v>
      </c>
      <c r="L40" s="3034" t="s">
        <v>2553</v>
      </c>
      <c r="M40" s="3034">
        <v>3</v>
      </c>
    </row>
    <row r="41" spans="1:13">
      <c r="A41" s="3022" t="s">
        <v>2524</v>
      </c>
      <c r="B41" s="3023" t="s">
        <v>2525</v>
      </c>
      <c r="C41" s="3024" t="s">
        <v>2526</v>
      </c>
      <c r="D41" s="3024" t="s">
        <v>2527</v>
      </c>
      <c r="E41" s="3025"/>
      <c r="F41" s="3026"/>
      <c r="G41" s="3027"/>
      <c r="I41" s="3034">
        <v>40</v>
      </c>
      <c r="J41" s="3034">
        <v>100</v>
      </c>
      <c r="K41" s="3034">
        <f t="shared" si="3"/>
        <v>2.7999999999999972</v>
      </c>
    </row>
    <row r="42" spans="1:13">
      <c r="A42" s="3022" t="s">
        <v>2528</v>
      </c>
      <c r="B42" s="3023" t="s">
        <v>2529</v>
      </c>
      <c r="C42" s="3024" t="s">
        <v>2530</v>
      </c>
      <c r="D42" s="3028" t="s">
        <v>2531</v>
      </c>
      <c r="E42" s="3020" t="s">
        <v>2532</v>
      </c>
      <c r="F42" s="3020"/>
      <c r="G42" s="3021"/>
    </row>
    <row r="43" spans="1:13">
      <c r="A43" s="3022" t="s">
        <v>2533</v>
      </c>
      <c r="B43" s="3023" t="s">
        <v>2534</v>
      </c>
      <c r="C43" s="3024" t="s">
        <v>2535</v>
      </c>
      <c r="D43" s="3024" t="s">
        <v>2536</v>
      </c>
      <c r="E43" s="3025" t="s">
        <v>2537</v>
      </c>
      <c r="F43" s="3026"/>
      <c r="G43" s="3027"/>
      <c r="I43" s="3034" t="s">
        <v>2545</v>
      </c>
      <c r="J43" s="3034" t="s">
        <v>2556</v>
      </c>
    </row>
    <row r="44" spans="1:13">
      <c r="A44" s="3022" t="s">
        <v>2538</v>
      </c>
      <c r="B44" s="3023" t="s">
        <v>2539</v>
      </c>
      <c r="C44" s="3024" t="s">
        <v>2540</v>
      </c>
      <c r="D44" s="3028">
        <v>0.5</v>
      </c>
      <c r="E44" s="3025" t="s">
        <v>2541</v>
      </c>
      <c r="F44" s="3026"/>
      <c r="G44" s="3027"/>
      <c r="I44" s="3034">
        <v>30</v>
      </c>
      <c r="J44" s="3034">
        <v>81.7</v>
      </c>
    </row>
    <row r="45" spans="1:13" ht="14.25" thickBot="1">
      <c r="A45" s="3029" t="s">
        <v>2542</v>
      </c>
      <c r="B45" s="3030" t="s">
        <v>2529</v>
      </c>
      <c r="C45" s="3031" t="s">
        <v>2529</v>
      </c>
      <c r="D45" s="3031" t="s">
        <v>2543</v>
      </c>
      <c r="E45" s="3032" t="s">
        <v>2544</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8" sqref="E18:I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2.5" style="1745" customWidth="1"/>
    <col min="7" max="7" width="10.75" style="1745" customWidth="1"/>
    <col min="8" max="8" width="10" style="1745" customWidth="1"/>
    <col min="9" max="9" width="11.125" style="1579" customWidth="1"/>
    <col min="10" max="10" width="10" style="1743" customWidth="1"/>
    <col min="11" max="11" width="10" style="2605" customWidth="1"/>
    <col min="12" max="13" width="10" style="260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2150</v>
      </c>
      <c r="B1" s="3623" t="str">
        <f>IF(B10="北京市","北京市",C10)&amp;F10&amp;IF(结果表!G1="在建","出让国有建设用地使用权及在建建筑物",IF(结果表!G1="土地","出让国有建设用地使用权",))&amp;B9&amp;"预评估"</f>
        <v>北京市朝阳区朝阳门外大街5号院1号楼房地产抵押价值预评估</v>
      </c>
      <c r="C1" s="3624"/>
      <c r="D1" s="3624"/>
      <c r="E1" s="3624"/>
      <c r="F1" s="3624"/>
      <c r="G1" s="3624"/>
      <c r="H1" s="3624"/>
      <c r="I1" s="3625"/>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北京市朝阳区朝阳门外大街5号院1号楼房地产抵押价值</v>
      </c>
      <c r="T1" s="1745"/>
      <c r="U1" s="1745"/>
      <c r="V1" s="1745"/>
      <c r="W1" s="1745"/>
      <c r="X1" s="1745"/>
      <c r="Y1" s="1745"/>
      <c r="Z1" s="1745"/>
      <c r="AA1" s="1745"/>
      <c r="AB1" s="1745"/>
    </row>
    <row r="2" spans="1:30">
      <c r="A2" s="2367" t="s">
        <v>2151</v>
      </c>
      <c r="B2" s="2371"/>
      <c r="C2" s="2372"/>
      <c r="D2" s="2646"/>
      <c r="E2" s="2639"/>
      <c r="F2" s="2639"/>
      <c r="G2" s="2640"/>
      <c r="H2" s="2640"/>
      <c r="I2" s="2640"/>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北京市朝阳区朝阳门外大街5号院1号楼房地产</v>
      </c>
      <c r="T2" s="1745"/>
      <c r="U2" s="1745"/>
      <c r="V2" s="1745"/>
      <c r="W2" s="1745"/>
      <c r="X2" s="1745"/>
      <c r="Y2" s="1745"/>
      <c r="Z2" s="1745"/>
      <c r="AA2" s="1745"/>
      <c r="AB2" s="1745"/>
    </row>
    <row r="3" spans="1:30">
      <c r="A3" s="302" t="s">
        <v>2152</v>
      </c>
      <c r="B3" s="2373">
        <v>45406</v>
      </c>
      <c r="C3" s="2374" t="s">
        <v>2153</v>
      </c>
      <c r="D3" s="2373">
        <f>B3</f>
        <v>45406</v>
      </c>
      <c r="E3" s="2640"/>
      <c r="F3" s="2640"/>
      <c r="G3" s="2640"/>
      <c r="H3" s="2640"/>
      <c r="I3" s="2640"/>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2154</v>
      </c>
      <c r="B4" s="2375" t="s">
        <v>3361</v>
      </c>
      <c r="C4" s="2376">
        <f ca="1">SUMIF(注册房地产估价师,B4,估价师及机构信息!B3:B24)</f>
        <v>1120100036</v>
      </c>
      <c r="D4" s="2375" t="s">
        <v>3362</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2155</v>
      </c>
      <c r="B5" s="2380"/>
      <c r="C5" s="2381"/>
      <c r="D5" s="2382"/>
      <c r="E5" s="2641"/>
      <c r="F5" s="2641"/>
      <c r="G5" s="2641"/>
      <c r="H5" s="2641"/>
      <c r="I5" s="2641"/>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2156</v>
      </c>
      <c r="B6" s="3436"/>
      <c r="C6" s="2384"/>
      <c r="D6" s="2385"/>
      <c r="E6" s="2639"/>
      <c r="F6" s="2641"/>
      <c r="G6" s="2641"/>
      <c r="H6" s="2641"/>
      <c r="I6" s="2641"/>
      <c r="J6" s="2437"/>
      <c r="K6" s="2592" t="str">
        <f>IF(COUNTIF(B6,"*上海银行*"),"上海银行","")</f>
        <v/>
      </c>
      <c r="L6" s="2590"/>
      <c r="M6" s="2590"/>
      <c r="N6" s="2437"/>
      <c r="O6" s="2448"/>
      <c r="P6" s="2437"/>
      <c r="Q6" s="2437"/>
      <c r="R6" s="2437"/>
    </row>
    <row r="7" spans="1:30" ht="24">
      <c r="A7" s="2383" t="s">
        <v>2157</v>
      </c>
      <c r="B7" s="3437" t="s">
        <v>4660</v>
      </c>
      <c r="C7" s="2384"/>
      <c r="D7" s="2385"/>
      <c r="E7" s="2639"/>
      <c r="F7" s="2641"/>
      <c r="G7" s="2641"/>
      <c r="H7" s="2641"/>
      <c r="I7" s="2641"/>
      <c r="J7" s="2437"/>
      <c r="K7" s="2593"/>
      <c r="L7" s="2590"/>
      <c r="M7" s="2590"/>
      <c r="N7" s="2437"/>
      <c r="O7" s="2448"/>
      <c r="P7" s="2437"/>
      <c r="Q7" s="2437"/>
      <c r="R7" s="2437"/>
    </row>
    <row r="8" spans="1:30">
      <c r="A8" s="2386" t="s">
        <v>2158</v>
      </c>
      <c r="B8" s="2387" t="s">
        <v>3357</v>
      </c>
      <c r="C8" s="2388"/>
      <c r="D8" s="3626" t="s">
        <v>2159</v>
      </c>
      <c r="E8" s="2389" t="s">
        <v>4642</v>
      </c>
      <c r="F8" s="2390"/>
      <c r="G8" s="2640"/>
      <c r="H8" s="2640"/>
      <c r="I8" s="2640"/>
      <c r="J8" s="2437"/>
      <c r="K8" s="2591"/>
      <c r="L8" s="2590"/>
      <c r="M8" s="2590"/>
      <c r="N8" s="2437"/>
      <c r="O8" s="2448"/>
      <c r="P8" s="2437"/>
      <c r="Q8" s="2437"/>
      <c r="R8" s="2437"/>
    </row>
    <row r="9" spans="1:30" ht="13.5" thickBot="1">
      <c r="A9" s="2391" t="s">
        <v>2160</v>
      </c>
      <c r="B9" s="2392" t="s">
        <v>3363</v>
      </c>
      <c r="C9" s="2393"/>
      <c r="D9" s="3627"/>
      <c r="E9" s="2392" t="s">
        <v>587</v>
      </c>
      <c r="F9" s="2394"/>
      <c r="G9" s="2642"/>
      <c r="H9" s="2642"/>
      <c r="I9" s="2642"/>
      <c r="J9" s="2437"/>
      <c r="K9" s="2593"/>
      <c r="L9" s="2590"/>
      <c r="M9" s="2590"/>
      <c r="N9" s="2437"/>
      <c r="O9" s="2448"/>
      <c r="P9" s="2437"/>
      <c r="Q9" s="2437"/>
      <c r="R9" s="2437"/>
    </row>
    <row r="10" spans="1:30" ht="13.5" thickTop="1">
      <c r="A10" s="2395" t="s">
        <v>2161</v>
      </c>
      <c r="B10" s="2396" t="s">
        <v>3364</v>
      </c>
      <c r="C10" s="2397"/>
      <c r="D10" s="2382"/>
      <c r="E10" s="2398" t="s">
        <v>2162</v>
      </c>
      <c r="F10" s="3550" t="s">
        <v>4663</v>
      </c>
      <c r="G10" s="2643"/>
      <c r="H10" s="2644"/>
      <c r="I10" s="2645"/>
      <c r="J10" s="2437"/>
      <c r="K10" s="2593"/>
      <c r="L10" s="2590"/>
      <c r="M10" s="2590"/>
      <c r="N10" s="2437"/>
      <c r="O10" s="2448"/>
      <c r="P10" s="2437"/>
      <c r="Q10" s="2437"/>
      <c r="R10" s="2437"/>
    </row>
    <row r="11" spans="1:30" ht="25.5">
      <c r="A11" s="2399" t="s">
        <v>2163</v>
      </c>
      <c r="B11" s="2400" t="s">
        <v>3365</v>
      </c>
      <c r="C11" s="2401" t="str">
        <f>B7</f>
        <v>都城伟业集团有限公司</v>
      </c>
      <c r="D11" s="2402"/>
      <c r="E11" s="2370"/>
      <c r="F11" s="2370"/>
      <c r="G11" s="2370"/>
      <c r="H11" s="2370"/>
      <c r="I11" s="2370"/>
      <c r="J11" s="3037"/>
      <c r="K11" s="3036"/>
      <c r="L11" s="2590"/>
      <c r="M11" s="2590"/>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5" t="s">
        <v>2557</v>
      </c>
      <c r="J12" s="3038"/>
      <c r="K12" s="2590"/>
      <c r="L12" s="2590"/>
      <c r="M12" s="2437"/>
      <c r="N12" s="2448"/>
      <c r="O12" s="2437"/>
      <c r="P12" s="2437"/>
      <c r="Q12" s="2437"/>
      <c r="AD12" s="1745"/>
    </row>
    <row r="13" spans="1:30">
      <c r="A13" s="3399" t="s">
        <v>3313</v>
      </c>
      <c r="B13" s="2405" t="s">
        <v>2172</v>
      </c>
      <c r="C13" s="856"/>
      <c r="D13" s="856">
        <v>49362</v>
      </c>
      <c r="E13" s="856">
        <v>53015</v>
      </c>
      <c r="F13" s="856">
        <v>53015</v>
      </c>
      <c r="G13" s="856"/>
      <c r="H13" s="856"/>
      <c r="I13" s="856">
        <v>48669</v>
      </c>
      <c r="J13" s="3038"/>
      <c r="K13" s="2590"/>
      <c r="L13" s="2590"/>
      <c r="M13" s="2437"/>
      <c r="N13" s="2448"/>
      <c r="O13" s="2437"/>
      <c r="P13" s="2437"/>
      <c r="Q13" s="2437"/>
      <c r="AD13" s="1745"/>
    </row>
    <row r="14" spans="1:30">
      <c r="A14" s="1081"/>
      <c r="B14" s="2405" t="s">
        <v>2173</v>
      </c>
      <c r="C14" s="2406"/>
      <c r="D14" s="2406">
        <v>40</v>
      </c>
      <c r="E14" s="2406">
        <v>50</v>
      </c>
      <c r="F14" s="2406">
        <v>50</v>
      </c>
      <c r="G14" s="2406"/>
      <c r="H14" s="2406"/>
      <c r="I14" s="2406"/>
      <c r="J14" s="3039"/>
      <c r="K14" s="2590"/>
      <c r="L14" s="2590"/>
      <c r="M14" s="2437"/>
      <c r="N14" s="2448"/>
      <c r="O14" s="2437"/>
      <c r="P14" s="2437"/>
      <c r="Q14" s="2437"/>
      <c r="AD14" s="1745"/>
    </row>
    <row r="15" spans="1:30">
      <c r="A15" s="320"/>
      <c r="B15" s="2407" t="s">
        <v>2174</v>
      </c>
      <c r="C15" s="2408" t="str">
        <f>IF(A13="出让",IF(C13="","",ROUNDDOWN(MIN((C13-$D$3)/365,C14),2)),C14)</f>
        <v/>
      </c>
      <c r="D15" s="2408">
        <f>IF(A13="出让",IF(D13="","",ROUNDDOWN(MIN((D13-$D$3)/365,D14),2)),D14)</f>
        <v>10.83</v>
      </c>
      <c r="E15" s="2408">
        <f>IF(A13="出让",IF(E13="","",ROUNDDOWN(MIN((E13-$D$3)/365,E14),2)),E14)</f>
        <v>20.84</v>
      </c>
      <c r="F15" s="2408">
        <f>IF(A13="出让",IF(F13="","",ROUNDDOWN(MIN((F13-$D$3)/365,F14),2)),F14)</f>
        <v>20.84</v>
      </c>
      <c r="G15" s="2408" t="str">
        <f>IF(A13="出让",IF(G13="","",ROUNDDOWN(MIN((G13-$D$3)/365,G14),2)),G14)</f>
        <v/>
      </c>
      <c r="H15" s="2408" t="str">
        <f>IF(A13="出让",IF(H13="","",ROUNDDOWN(MIN((H13-$D$3)/365,H14),2)),H14)</f>
        <v/>
      </c>
      <c r="I15" s="2408">
        <f>IF(A13="出让",IF(I13="","",ROUNDDOWN(MIN((I13-$D$3)/365,I14),2)),I14)</f>
        <v>8.93</v>
      </c>
      <c r="J15" s="3040"/>
      <c r="K15" s="2449"/>
      <c r="L15" s="2449"/>
      <c r="M15" s="2505"/>
      <c r="N15" s="2449"/>
      <c r="O15" s="2505"/>
      <c r="P15" s="2437"/>
      <c r="Q15" s="2437"/>
      <c r="AD15" s="1745"/>
    </row>
    <row r="16" spans="1:30">
      <c r="A16" s="2398" t="s">
        <v>2175</v>
      </c>
      <c r="B16" s="3633"/>
      <c r="C16" s="3634"/>
      <c r="D16" s="3635"/>
      <c r="E16" s="2411" t="s">
        <v>2176</v>
      </c>
      <c r="F16" s="3636"/>
      <c r="G16" s="3637"/>
      <c r="H16" s="3637"/>
      <c r="I16" s="3638"/>
      <c r="J16" s="2437"/>
      <c r="K16" s="2594"/>
      <c r="L16" s="2449"/>
      <c r="M16" s="2449"/>
      <c r="N16" s="2505"/>
      <c r="O16" s="2449"/>
      <c r="P16" s="2505"/>
      <c r="Q16" s="2437"/>
      <c r="R16" s="2437"/>
    </row>
    <row r="17" spans="1:28">
      <c r="A17" s="313" t="s">
        <v>2177</v>
      </c>
      <c r="B17" s="302" t="s">
        <v>2178</v>
      </c>
      <c r="C17" s="8">
        <f>'数据-汇总表'!E3</f>
        <v>32105.55</v>
      </c>
      <c r="D17" s="2322" t="s">
        <v>2179</v>
      </c>
      <c r="E17" s="3639" t="s">
        <v>2180</v>
      </c>
      <c r="F17" s="3640"/>
      <c r="G17" s="3640"/>
      <c r="H17" s="3640"/>
      <c r="I17" s="3641"/>
      <c r="J17" s="2437"/>
      <c r="K17" s="2595"/>
      <c r="L17" s="2449"/>
      <c r="M17" s="2449"/>
      <c r="N17" s="2505"/>
      <c r="O17" s="2449"/>
      <c r="P17" s="2505"/>
      <c r="Q17" s="2437"/>
      <c r="R17" s="2437"/>
      <c r="S17" s="2437"/>
      <c r="T17" s="2437"/>
      <c r="U17" s="2437"/>
      <c r="V17" s="2437"/>
    </row>
    <row r="18" spans="1:28" ht="24.75" thickBot="1">
      <c r="A18" s="2412" t="s">
        <v>2181</v>
      </c>
      <c r="B18" s="1090" t="s">
        <v>2182</v>
      </c>
      <c r="C18" s="2413">
        <f>'数据-汇总表'!D3</f>
        <v>0</v>
      </c>
      <c r="D18" s="1092" t="s">
        <v>2183</v>
      </c>
      <c r="E18" s="3642" t="s">
        <v>2184</v>
      </c>
      <c r="F18" s="3643"/>
      <c r="G18" s="3643"/>
      <c r="H18" s="3643"/>
      <c r="I18" s="3644"/>
      <c r="J18" s="2437"/>
      <c r="K18" s="2595"/>
      <c r="L18" s="2449"/>
      <c r="M18" s="2449"/>
      <c r="N18" s="2505"/>
      <c r="O18" s="2449"/>
      <c r="P18" s="2505"/>
      <c r="Q18" s="2437"/>
      <c r="R18" s="2437"/>
      <c r="S18" s="2437"/>
      <c r="T18" s="2437"/>
      <c r="U18" s="2437"/>
      <c r="V18" s="2437"/>
    </row>
    <row r="19" spans="1:28" ht="37.5" thickTop="1" thickBot="1">
      <c r="A19" s="327" t="s">
        <v>1055</v>
      </c>
      <c r="B19" s="307" t="s">
        <v>2185</v>
      </c>
      <c r="C19" s="1563" t="s">
        <v>3366</v>
      </c>
      <c r="D19" s="1564" t="s">
        <v>2186</v>
      </c>
      <c r="E19" s="1565"/>
      <c r="F19" s="1566" t="str">
        <f>IF(AND(C19="是",E19="否"),"是否提供他项权证或相关说明","")</f>
        <v/>
      </c>
      <c r="G19" s="1567"/>
      <c r="H19" s="2641"/>
      <c r="I19" s="2641"/>
      <c r="J19" s="2437"/>
      <c r="K19" s="2593"/>
      <c r="L19" s="2590"/>
      <c r="M19" s="2590"/>
      <c r="N19" s="2505"/>
      <c r="O19" s="2449"/>
      <c r="P19" s="2505"/>
      <c r="Q19" s="2437"/>
      <c r="R19" s="2437"/>
      <c r="S19" s="2437"/>
      <c r="T19" s="2437"/>
      <c r="U19" s="2437"/>
      <c r="V19" s="2437"/>
    </row>
    <row r="20" spans="1:28">
      <c r="A20" s="2609" t="s">
        <v>2187</v>
      </c>
      <c r="B20" s="3629" t="s">
        <v>2188</v>
      </c>
      <c r="C20" s="3630"/>
      <c r="D20" s="3631" t="s">
        <v>2189</v>
      </c>
      <c r="E20" s="3632"/>
      <c r="F20" s="2624" t="s">
        <v>1056</v>
      </c>
      <c r="G20" s="2641"/>
      <c r="H20" s="2641"/>
      <c r="I20" s="2641"/>
      <c r="J20" s="2437"/>
      <c r="K20" s="3628" t="s">
        <v>2190</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369"/>
      <c r="N20" s="2410"/>
      <c r="O20" s="2409"/>
      <c r="P20" s="2410"/>
      <c r="Q20" s="2370"/>
      <c r="R20" s="2370"/>
      <c r="S20" s="2370"/>
      <c r="T20" s="2370"/>
      <c r="U20" s="2370"/>
      <c r="V20" s="2370"/>
      <c r="W20" s="1745"/>
      <c r="X20" s="1745"/>
      <c r="Y20" s="1745"/>
      <c r="Z20" s="1745"/>
      <c r="AA20" s="1745"/>
      <c r="AB20" s="1745"/>
    </row>
    <row r="21" spans="1:28" ht="24.75" thickBot="1">
      <c r="A21" s="2609"/>
      <c r="B21" s="2610" t="s">
        <v>2191</v>
      </c>
      <c r="C21" s="2611" t="s">
        <v>3367</v>
      </c>
      <c r="D21" s="1568"/>
      <c r="E21" s="2612"/>
      <c r="F21" s="2625"/>
      <c r="G21" s="2641"/>
      <c r="H21" s="2641"/>
      <c r="I21" s="2641"/>
      <c r="J21" s="2437"/>
      <c r="K21" s="36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09"/>
      <c r="B22" s="2613" t="s">
        <v>2192</v>
      </c>
      <c r="C22" s="2611" t="s">
        <v>1057</v>
      </c>
      <c r="D22" s="2640"/>
      <c r="E22" s="2640"/>
      <c r="F22" s="2640"/>
      <c r="G22" s="2641"/>
      <c r="H22" s="2641"/>
      <c r="I22" s="2641"/>
      <c r="J22" s="2437"/>
      <c r="K22" s="36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14" t="s">
        <v>2193</v>
      </c>
      <c r="B23" s="2498" t="s">
        <v>2194</v>
      </c>
      <c r="C23" s="2615"/>
      <c r="D23" s="2616" t="s">
        <v>2194</v>
      </c>
      <c r="E23" s="2617"/>
      <c r="F23" s="2640"/>
      <c r="G23" s="2641"/>
      <c r="H23" s="2641"/>
      <c r="I23" s="2641"/>
      <c r="J23" s="2437"/>
      <c r="K23" s="2596"/>
      <c r="L23" s="2471"/>
      <c r="M23" s="2590"/>
      <c r="N23" s="2505"/>
      <c r="O23" s="2449"/>
      <c r="P23" s="2505"/>
      <c r="Q23" s="2437"/>
      <c r="R23" s="2437"/>
      <c r="S23" s="2437"/>
      <c r="T23" s="2437"/>
      <c r="U23" s="2437"/>
      <c r="V23" s="2437"/>
    </row>
    <row r="24" spans="1:28">
      <c r="A24" s="2614"/>
      <c r="B24" s="2498" t="s">
        <v>1058</v>
      </c>
      <c r="C24" s="2618"/>
      <c r="D24" s="2614" t="s">
        <v>1058</v>
      </c>
      <c r="E24" s="2619"/>
      <c r="F24" s="2640"/>
      <c r="G24" s="2641"/>
      <c r="H24" s="2641"/>
      <c r="I24" s="2641"/>
      <c r="J24" s="2437"/>
      <c r="K24" s="2596"/>
      <c r="L24" s="2471"/>
      <c r="M24" s="2590"/>
      <c r="N24" s="2505"/>
      <c r="O24" s="2449"/>
      <c r="P24" s="2505"/>
      <c r="Q24" s="2437"/>
      <c r="R24" s="2437"/>
      <c r="S24" s="2437"/>
      <c r="T24" s="2437"/>
      <c r="U24" s="2437"/>
      <c r="V24" s="2437"/>
    </row>
    <row r="25" spans="1:28">
      <c r="A25" s="2614"/>
      <c r="B25" s="2498" t="s">
        <v>1059</v>
      </c>
      <c r="C25" s="2618"/>
      <c r="D25" s="2614" t="s">
        <v>1059</v>
      </c>
      <c r="E25" s="2619"/>
      <c r="F25" s="2640"/>
      <c r="G25" s="2641"/>
      <c r="H25" s="2641"/>
      <c r="I25" s="2641"/>
      <c r="J25" s="2437"/>
      <c r="K25" s="2593"/>
      <c r="L25" s="2590"/>
      <c r="M25" s="2590"/>
      <c r="N25" s="2505"/>
      <c r="O25" s="2449"/>
      <c r="P25" s="2505"/>
      <c r="Q25" s="2437"/>
      <c r="R25" s="2437"/>
      <c r="S25" s="2437"/>
      <c r="T25" s="2437"/>
      <c r="U25" s="2437"/>
      <c r="V25" s="2437"/>
    </row>
    <row r="26" spans="1:28" ht="13.5" thickBot="1">
      <c r="A26" s="2620"/>
      <c r="B26" s="2621" t="s">
        <v>1060</v>
      </c>
      <c r="C26" s="2622"/>
      <c r="D26" s="2620" t="s">
        <v>1060</v>
      </c>
      <c r="E26" s="2623"/>
      <c r="F26" s="2642"/>
      <c r="G26" s="2642"/>
      <c r="H26" s="2642"/>
      <c r="I26" s="2642"/>
      <c r="J26" s="2437"/>
      <c r="K26" s="2593"/>
      <c r="L26" s="2590"/>
      <c r="M26" s="2590"/>
      <c r="N26" s="2505"/>
      <c r="O26" s="2449"/>
      <c r="P26" s="2505"/>
      <c r="Q26" s="2437"/>
      <c r="R26" s="2437"/>
      <c r="S26" s="2437"/>
      <c r="T26" s="2437"/>
      <c r="U26" s="2437"/>
      <c r="V26" s="2437"/>
    </row>
    <row r="27" spans="1:28" ht="13.5" thickTop="1">
      <c r="A27" s="3646" t="s">
        <v>2195</v>
      </c>
      <c r="B27" s="320" t="s">
        <v>2196</v>
      </c>
      <c r="C27" s="2414" t="s">
        <v>3368</v>
      </c>
      <c r="D27" s="2415"/>
      <c r="E27" s="2641"/>
      <c r="F27" s="2641"/>
      <c r="G27" s="2641"/>
      <c r="H27" s="2641"/>
      <c r="I27" s="2641"/>
      <c r="J27" s="2437"/>
      <c r="K27" s="2594"/>
      <c r="L27" s="2449"/>
      <c r="M27" s="2449"/>
      <c r="N27" s="2505"/>
      <c r="O27" s="2449"/>
      <c r="P27" s="2505"/>
      <c r="Q27" s="2437"/>
      <c r="R27" s="2437"/>
      <c r="S27" s="2437"/>
      <c r="T27" s="2437"/>
      <c r="U27" s="2437"/>
      <c r="V27" s="2437"/>
    </row>
    <row r="28" spans="1:28">
      <c r="A28" s="3646"/>
      <c r="B28" s="302" t="s">
        <v>2197</v>
      </c>
      <c r="C28" s="2416" t="s">
        <v>3369</v>
      </c>
      <c r="D28" s="2417"/>
      <c r="E28" s="2641"/>
      <c r="F28" s="2641"/>
      <c r="G28" s="2641"/>
      <c r="H28" s="2641"/>
      <c r="I28" s="2641"/>
      <c r="J28" s="2437"/>
      <c r="K28" s="2593"/>
      <c r="L28" s="2590"/>
      <c r="M28" s="2590"/>
      <c r="N28" s="2437"/>
      <c r="O28" s="2448"/>
      <c r="P28" s="2437"/>
      <c r="Q28" s="2437"/>
      <c r="R28" s="2437"/>
      <c r="S28" s="2437"/>
      <c r="T28" s="2437"/>
      <c r="U28" s="2437"/>
      <c r="V28" s="2437"/>
    </row>
    <row r="29" spans="1:28">
      <c r="A29" s="3646"/>
      <c r="B29" s="302" t="s">
        <v>2198</v>
      </c>
      <c r="C29" s="2418" t="s">
        <v>3370</v>
      </c>
      <c r="D29" s="2419"/>
      <c r="E29" s="2641"/>
      <c r="F29" s="2641"/>
      <c r="G29" s="2641"/>
      <c r="H29" s="2641"/>
      <c r="I29" s="2641"/>
      <c r="J29" s="2437"/>
      <c r="K29" s="2593"/>
      <c r="L29" s="2590"/>
      <c r="M29" s="2590"/>
      <c r="N29" s="2437"/>
      <c r="O29" s="2448"/>
      <c r="P29" s="2437"/>
      <c r="Q29" s="2437"/>
      <c r="R29" s="2437"/>
      <c r="S29" s="2437"/>
      <c r="T29" s="2437"/>
      <c r="U29" s="2437"/>
      <c r="V29" s="2437"/>
    </row>
    <row r="30" spans="1:28">
      <c r="A30" s="3647"/>
      <c r="B30" s="302" t="s">
        <v>2199</v>
      </c>
      <c r="C30" s="3648"/>
      <c r="D30" s="3649"/>
      <c r="E30" s="2641"/>
      <c r="F30" s="2641"/>
      <c r="G30" s="2641"/>
      <c r="H30" s="2641"/>
      <c r="I30" s="2641"/>
      <c r="J30" s="2437"/>
      <c r="K30" s="2593"/>
      <c r="L30" s="2590"/>
      <c r="M30" s="2590"/>
      <c r="N30" s="2437"/>
      <c r="O30" s="2448"/>
      <c r="P30" s="2437"/>
      <c r="Q30" s="2437"/>
      <c r="R30" s="2437"/>
      <c r="S30" s="2437"/>
      <c r="T30" s="2437"/>
      <c r="U30" s="2437"/>
      <c r="V30" s="2437"/>
    </row>
    <row r="31" spans="1:28">
      <c r="A31" s="3650" t="s">
        <v>2200</v>
      </c>
      <c r="B31" s="2420" t="s">
        <v>3371</v>
      </c>
      <c r="C31" s="2323" t="str">
        <f>IF(B31="现房","成新及维护状况正常否",IF(B31="在建","工程状态是否正常",IF(B31="土地","是否闲置","-")))</f>
        <v>成新及维护状况正常否</v>
      </c>
      <c r="D31" s="1373"/>
      <c r="E31" s="2421"/>
      <c r="F31" s="2641"/>
      <c r="G31" s="2641"/>
      <c r="H31" s="2641"/>
      <c r="I31" s="2641"/>
      <c r="J31" s="2437"/>
      <c r="K31" s="2592"/>
      <c r="L31" s="2590"/>
      <c r="M31" s="2590"/>
      <c r="N31" s="2437"/>
      <c r="O31" s="2448"/>
      <c r="P31" s="2437"/>
      <c r="Q31" s="2437"/>
      <c r="R31" s="2437"/>
      <c r="S31" s="2437"/>
      <c r="T31" s="2437"/>
      <c r="U31" s="2437"/>
      <c r="V31" s="2437"/>
    </row>
    <row r="32" spans="1:28">
      <c r="A32" s="3651"/>
      <c r="B32" s="2420"/>
      <c r="C32" s="2323" t="str">
        <f>IF(B32="现房","成新及维护状况是否正常",IF(B32="在建","工程状态是否正常",IF(B32="土地","是否闲置","-")))</f>
        <v>-</v>
      </c>
      <c r="D32" s="1373"/>
      <c r="E32" s="2421"/>
      <c r="F32" s="2641"/>
      <c r="G32" s="2641"/>
      <c r="H32" s="2641"/>
      <c r="I32" s="2641"/>
      <c r="J32" s="2437"/>
      <c r="K32" s="2593"/>
      <c r="L32" s="2590"/>
      <c r="M32" s="2590"/>
      <c r="N32" s="2437"/>
      <c r="O32" s="2448"/>
      <c r="P32" s="2437"/>
      <c r="Q32" s="2437"/>
      <c r="R32" s="2437"/>
      <c r="S32" s="2437"/>
      <c r="T32" s="2437"/>
      <c r="U32" s="2437"/>
      <c r="V32" s="2437"/>
    </row>
    <row r="33" spans="1:30">
      <c r="A33" s="3651"/>
      <c r="B33" s="2423"/>
      <c r="C33" s="1590" t="str">
        <f>IF(B33="现房","成新及维护状况是否正常",IF(B33="在建","工程状态是否正常",IF(B33="土地","是否闲置","-")))</f>
        <v>-</v>
      </c>
      <c r="D33" s="1365"/>
      <c r="E33" s="2424"/>
      <c r="F33" s="2641"/>
      <c r="G33" s="2641"/>
      <c r="H33" s="2641"/>
      <c r="I33" s="2641"/>
      <c r="J33" s="2437"/>
      <c r="K33" s="2593"/>
      <c r="L33" s="2590"/>
      <c r="M33" s="2590"/>
      <c r="N33" s="2437"/>
      <c r="O33" s="2448"/>
      <c r="P33" s="2437"/>
      <c r="Q33" s="2437"/>
      <c r="R33" s="2437"/>
      <c r="S33" s="2437"/>
      <c r="T33" s="2437"/>
      <c r="U33" s="2437"/>
      <c r="V33" s="2437"/>
    </row>
    <row r="34" spans="1:30">
      <c r="A34" s="302" t="s">
        <v>2201</v>
      </c>
      <c r="B34" s="2026" t="s">
        <v>3372</v>
      </c>
      <c r="C34" s="2026" t="s">
        <v>3373</v>
      </c>
      <c r="D34" s="2026" t="s">
        <v>3374</v>
      </c>
      <c r="E34" s="2026" t="s">
        <v>3375</v>
      </c>
      <c r="F34" s="2026" t="s">
        <v>3376</v>
      </c>
      <c r="G34" s="2026" t="s">
        <v>3377</v>
      </c>
      <c r="H34" s="2026" t="s">
        <v>3378</v>
      </c>
      <c r="I34" s="2641"/>
      <c r="J34" s="2437"/>
      <c r="K34" s="2425">
        <f>COUNTIF(B34:H34,"——")</f>
        <v>0</v>
      </c>
      <c r="L34" s="323" t="s">
        <v>2202</v>
      </c>
      <c r="M34" s="323" t="s">
        <v>2203</v>
      </c>
      <c r="N34" s="323" t="s">
        <v>2204</v>
      </c>
      <c r="O34" s="323" t="s">
        <v>2205</v>
      </c>
      <c r="P34" s="323" t="s">
        <v>2206</v>
      </c>
      <c r="Q34" s="323" t="s">
        <v>2207</v>
      </c>
      <c r="R34" s="323" t="s">
        <v>2208</v>
      </c>
      <c r="S34" s="3645" t="s">
        <v>2209</v>
      </c>
      <c r="T34" s="2426" t="str">
        <f>NUMBERSTRING(7-K34,1)&amp;"通"</f>
        <v>七通</v>
      </c>
      <c r="U34" s="2437"/>
      <c r="V34" s="2437"/>
    </row>
    <row r="35" spans="1:30">
      <c r="A35" s="2427"/>
      <c r="B35" s="3652" t="s">
        <v>2210</v>
      </c>
      <c r="C35" s="3652"/>
      <c r="D35" s="3652"/>
      <c r="E35" s="3652"/>
      <c r="F35" s="664">
        <f>C10</f>
        <v>0</v>
      </c>
      <c r="G35" s="2641"/>
      <c r="H35" s="2641"/>
      <c r="I35" s="2641"/>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645"/>
      <c r="T35" s="329" t="str">
        <f>IF(T34="一通",L35,IF(T34="二通",M35,IF(T34="三通",N35,IF(T34="四通",O35,IF(T34="五通",P35,IF(T34="六通",Q35,R35))))))</f>
        <v>通路、通电、通讯、通上水、通下水、通热、燃气</v>
      </c>
      <c r="U35" s="2437"/>
      <c r="V35" s="2437"/>
    </row>
    <row r="36" spans="1:30">
      <c r="A36" s="2428"/>
      <c r="B36" s="664" t="s">
        <v>2167</v>
      </c>
      <c r="C36" s="664" t="s">
        <v>2168</v>
      </c>
      <c r="D36" s="664" t="s">
        <v>2166</v>
      </c>
      <c r="E36" s="664" t="s">
        <v>2171</v>
      </c>
      <c r="F36" s="3041" t="s">
        <v>2560</v>
      </c>
      <c r="G36" s="2641"/>
      <c r="H36" s="2641"/>
      <c r="I36" s="2641"/>
      <c r="J36" s="2437"/>
      <c r="K36" s="2593"/>
      <c r="L36" s="2590"/>
      <c r="M36" s="2590"/>
      <c r="N36" s="2437"/>
      <c r="O36" s="2448"/>
      <c r="P36" s="2437"/>
      <c r="Q36" s="2437"/>
      <c r="R36" s="2437"/>
      <c r="S36" s="2437"/>
      <c r="T36" s="2437"/>
      <c r="U36" s="2437"/>
      <c r="V36" s="2437"/>
    </row>
    <row r="37" spans="1:30">
      <c r="A37" s="2607" t="s">
        <v>2211</v>
      </c>
      <c r="B37" s="2429" t="s">
        <v>184</v>
      </c>
      <c r="C37" s="2429" t="s">
        <v>184</v>
      </c>
      <c r="D37" s="2429"/>
      <c r="E37" s="2429"/>
      <c r="F37" s="2429"/>
      <c r="G37" s="2641"/>
      <c r="H37" s="2641"/>
      <c r="I37" s="2641"/>
      <c r="J37" s="2437"/>
      <c r="K37" s="2593"/>
      <c r="L37" s="2590"/>
      <c r="M37" s="2590"/>
      <c r="N37" s="2437"/>
      <c r="O37" s="2448"/>
      <c r="P37" s="2437"/>
      <c r="Q37" s="2437"/>
      <c r="R37" s="2437"/>
      <c r="S37" s="2437"/>
      <c r="T37" s="2437"/>
      <c r="U37" s="2437"/>
      <c r="V37" s="2437"/>
    </row>
    <row r="38" spans="1:30" ht="13.5" thickBot="1">
      <c r="A38" s="2608" t="s">
        <v>2212</v>
      </c>
      <c r="B38" s="2430" t="s">
        <v>235</v>
      </c>
      <c r="C38" s="2430" t="s">
        <v>235</v>
      </c>
      <c r="D38" s="2430"/>
      <c r="E38" s="2430"/>
      <c r="F38" s="2430"/>
      <c r="G38" s="2642"/>
      <c r="H38" s="2642"/>
      <c r="I38" s="2642"/>
      <c r="J38" s="2437"/>
      <c r="K38" s="2593"/>
      <c r="L38" s="2590"/>
      <c r="M38" s="2590"/>
      <c r="N38" s="2437"/>
      <c r="O38" s="2448"/>
      <c r="P38" s="2437"/>
      <c r="Q38" s="2437"/>
      <c r="R38" s="2437"/>
      <c r="S38" s="2437"/>
      <c r="T38" s="2437"/>
      <c r="U38" s="2437"/>
      <c r="V38" s="2437"/>
    </row>
    <row r="39" spans="1:30" s="2433" customFormat="1" ht="14.25" thickTop="1" thickBot="1">
      <c r="A39" s="2431" t="s">
        <v>2213</v>
      </c>
      <c r="B39" s="2432"/>
      <c r="C39" s="2432"/>
      <c r="D39" s="2432"/>
      <c r="E39" s="2432"/>
      <c r="F39" s="2432"/>
      <c r="G39" s="2432"/>
      <c r="H39" s="2432"/>
      <c r="I39" s="2432"/>
      <c r="J39" s="2599"/>
      <c r="K39" s="2600"/>
      <c r="L39" s="2599"/>
      <c r="M39" s="2599"/>
      <c r="N39" s="2599"/>
      <c r="O39" s="2601"/>
      <c r="P39" s="2599"/>
      <c r="Q39" s="2599"/>
      <c r="R39" s="2599"/>
      <c r="S39" s="2599"/>
      <c r="T39" s="2599"/>
      <c r="U39" s="2599"/>
      <c r="V39" s="2599"/>
      <c r="W39" s="2602"/>
      <c r="X39" s="2602"/>
      <c r="Y39" s="2602"/>
      <c r="Z39" s="2602"/>
      <c r="AA39" s="2602"/>
      <c r="AB39" s="2602"/>
      <c r="AC39" s="2602"/>
      <c r="AD39" s="2602"/>
    </row>
    <row r="40" spans="1:30">
      <c r="A40" s="2370"/>
      <c r="B40" s="2370"/>
      <c r="C40" s="2370"/>
      <c r="D40" s="2370"/>
      <c r="E40" s="2370"/>
      <c r="F40" s="2370"/>
      <c r="G40" s="2370"/>
      <c r="H40" s="2370"/>
      <c r="I40" s="1578"/>
      <c r="J40" s="2505"/>
      <c r="K40" s="2592"/>
      <c r="L40" s="2449"/>
      <c r="M40" s="2449"/>
      <c r="N40" s="2505"/>
      <c r="O40" s="2449"/>
      <c r="P40" s="2437"/>
      <c r="Q40" s="2437"/>
      <c r="R40" s="2437"/>
      <c r="S40" s="2437"/>
      <c r="T40" s="2437"/>
      <c r="U40" s="2437"/>
      <c r="V40" s="2437"/>
    </row>
    <row r="41" spans="1:30">
      <c r="A41" s="2434" t="s">
        <v>2214</v>
      </c>
      <c r="B41" s="1757"/>
      <c r="C41" s="1373"/>
      <c r="D41" s="2370"/>
      <c r="E41" s="2370"/>
      <c r="F41" s="2370"/>
      <c r="G41" s="2370"/>
      <c r="H41" s="2370"/>
      <c r="I41" s="1576"/>
      <c r="J41" s="2437"/>
      <c r="K41" s="2593"/>
      <c r="L41" s="2590"/>
      <c r="M41" s="2590"/>
      <c r="N41" s="2437"/>
      <c r="O41" s="2448"/>
      <c r="P41" s="2437"/>
      <c r="Q41" s="2437"/>
      <c r="R41" s="2437"/>
      <c r="S41" s="2437"/>
      <c r="T41" s="2437"/>
      <c r="U41" s="2437"/>
      <c r="V41" s="2437"/>
    </row>
    <row r="42" spans="1:30" ht="25.5">
      <c r="A42" s="323" t="s">
        <v>2215</v>
      </c>
      <c r="B42" s="8" t="s">
        <v>2216</v>
      </c>
      <c r="C42" s="8" t="s">
        <v>2217</v>
      </c>
      <c r="D42" s="8" t="s">
        <v>2218</v>
      </c>
      <c r="E42" s="8" t="s">
        <v>2219</v>
      </c>
      <c r="F42" s="8" t="s">
        <v>2220</v>
      </c>
      <c r="G42" s="8" t="s">
        <v>2221</v>
      </c>
      <c r="H42" s="8" t="s">
        <v>2222</v>
      </c>
      <c r="I42" s="8" t="s">
        <v>2223</v>
      </c>
      <c r="J42" s="2603" t="s">
        <v>2224</v>
      </c>
      <c r="K42" s="2604" t="s">
        <v>2225</v>
      </c>
      <c r="L42" s="2604" t="s">
        <v>2226</v>
      </c>
      <c r="M42" s="2604" t="s">
        <v>2227</v>
      </c>
      <c r="N42" s="2597" t="s">
        <v>2228</v>
      </c>
      <c r="O42" s="2597" t="s">
        <v>2229</v>
      </c>
      <c r="P42" s="2597" t="s">
        <v>2230</v>
      </c>
      <c r="Q42" s="2598" t="s">
        <v>2231</v>
      </c>
      <c r="R42" s="2598" t="s">
        <v>2232</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O39" sqref="O39"/>
      <selection pane="topRight" activeCell="O39" sqref="O39"/>
      <selection pane="bottomLeft" activeCell="O39" sqref="O39"/>
      <selection pane="bottomRight" activeCell="O14" sqref="O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32105.55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32105.55</v>
      </c>
      <c r="H5" s="13">
        <f t="shared" ref="H5:AT5" si="0">SUM(H13:H656)</f>
        <v>32105.55</v>
      </c>
      <c r="I5" s="13">
        <f t="shared" si="0"/>
        <v>5867.9</v>
      </c>
      <c r="J5" s="13">
        <f t="shared" si="0"/>
        <v>0</v>
      </c>
      <c r="K5" s="13">
        <f t="shared" si="0"/>
        <v>19745.189999999999</v>
      </c>
      <c r="L5" s="13">
        <f t="shared" si="0"/>
        <v>0</v>
      </c>
      <c r="M5" s="13">
        <f t="shared" si="0"/>
        <v>3262.72</v>
      </c>
      <c r="N5" s="13">
        <f t="shared" si="0"/>
        <v>0</v>
      </c>
      <c r="O5" s="13">
        <f t="shared" si="0"/>
        <v>3229.7400000000016</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32105.55</v>
      </c>
      <c r="BA5" s="15">
        <f t="shared" si="1"/>
        <v>32105.55</v>
      </c>
      <c r="BB5" s="15">
        <f t="shared" si="1"/>
        <v>5867.9</v>
      </c>
      <c r="BC5" s="15">
        <f t="shared" si="1"/>
        <v>19745.189999999999</v>
      </c>
      <c r="BD5" s="15">
        <f t="shared" si="1"/>
        <v>3262.72</v>
      </c>
      <c r="BE5" s="15">
        <f t="shared" si="1"/>
        <v>3229.7400000000016</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3379</v>
      </c>
      <c r="J9" s="809"/>
      <c r="K9" s="1603" t="s">
        <v>3379</v>
      </c>
      <c r="L9" s="809"/>
      <c r="M9" s="1603" t="s">
        <v>3380</v>
      </c>
      <c r="N9" s="809"/>
      <c r="O9" s="1603" t="s">
        <v>3380</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3551" t="s">
        <v>4661</v>
      </c>
      <c r="J10" s="809"/>
      <c r="K10" s="1609" t="s">
        <v>21</v>
      </c>
      <c r="L10" s="809"/>
      <c r="M10" s="3552" t="s">
        <v>4661</v>
      </c>
      <c r="N10" s="809"/>
      <c r="O10" s="3552" t="s">
        <v>4662</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办公</v>
      </c>
      <c r="BD11" s="1599" t="str">
        <f>M10</f>
        <v>商业</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3366</v>
      </c>
      <c r="E13" s="13">
        <f>IF($C$3="是",ROUND($A$3*G13/$B$3,2),ROUND($A$3*(G13-AT13)/$B$3,2))</f>
        <v>0</v>
      </c>
      <c r="F13" s="29"/>
      <c r="G13" s="30">
        <f>H13+AC13+AT13</f>
        <v>32105.55</v>
      </c>
      <c r="H13" s="17">
        <f>SUMIF(I$12:AB$12,"总值",I13:AB13)</f>
        <v>32105.55</v>
      </c>
      <c r="I13" s="1626">
        <f>取值过程!F24</f>
        <v>5867.9</v>
      </c>
      <c r="J13" s="1626"/>
      <c r="K13" s="1626">
        <f>取值过程!F23</f>
        <v>19745.189999999999</v>
      </c>
      <c r="L13" s="1626"/>
      <c r="M13" s="1626">
        <f>取值过程!F25</f>
        <v>3262.72</v>
      </c>
      <c r="N13" s="1626"/>
      <c r="O13" s="1626">
        <f>取值过程!F26</f>
        <v>3229.7400000000016</v>
      </c>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32105.55</v>
      </c>
      <c r="BA13" s="13">
        <f>SUM(BB13:BK13)</f>
        <v>32105.55</v>
      </c>
      <c r="BB13" s="13">
        <f>IF($D13="是",I13-J13,0)</f>
        <v>5867.9</v>
      </c>
      <c r="BC13" s="13">
        <f>IF($D13="是",K13-L13,0)</f>
        <v>19745.189999999999</v>
      </c>
      <c r="BD13" s="13">
        <f>IF($D13="是",M13-N13,0)</f>
        <v>3262.72</v>
      </c>
      <c r="BE13" s="13">
        <f>IF($D13="是",O13-P13,0)</f>
        <v>3229.7400000000016</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61"/>
  <sheetViews>
    <sheetView workbookViewId="0">
      <selection activeCell="I23" sqref="I23"/>
    </sheetView>
  </sheetViews>
  <sheetFormatPr defaultRowHeight="13.5"/>
  <cols>
    <col min="1" max="1" width="9" style="3439"/>
    <col min="2" max="2" width="16.125" style="3439" bestFit="1" customWidth="1"/>
    <col min="3" max="3" width="19.25" style="3439" customWidth="1"/>
    <col min="4" max="4" width="17.625" style="3439" customWidth="1"/>
    <col min="5" max="5" width="15.5" style="3439" bestFit="1" customWidth="1"/>
    <col min="6" max="6" width="15.75" style="3439" customWidth="1"/>
    <col min="7" max="7" width="9" style="3439"/>
    <col min="8" max="8" width="12.75" style="3439" bestFit="1" customWidth="1"/>
    <col min="9" max="9" width="11.625" style="3439" bestFit="1" customWidth="1"/>
    <col min="10" max="10" width="9" style="3439"/>
    <col min="11" max="11" width="10.5" style="3439" bestFit="1" customWidth="1"/>
    <col min="12" max="12" width="9.5" style="3439" bestFit="1" customWidth="1"/>
    <col min="13" max="16384" width="9" style="3439"/>
  </cols>
  <sheetData>
    <row r="2" spans="2:9">
      <c r="B2" s="3553" t="s">
        <v>4666</v>
      </c>
    </row>
    <row r="3" spans="2:9">
      <c r="B3" s="3554"/>
      <c r="C3" s="3555" t="s">
        <v>2309</v>
      </c>
      <c r="D3" s="3555" t="s">
        <v>4667</v>
      </c>
      <c r="E3" s="3555" t="s">
        <v>4668</v>
      </c>
      <c r="F3" s="3554"/>
      <c r="G3" s="3556" t="s">
        <v>4669</v>
      </c>
    </row>
    <row r="4" spans="2:9">
      <c r="B4" s="3557" t="s">
        <v>4670</v>
      </c>
      <c r="C4" s="3558">
        <f>C5+C6</f>
        <v>32105.549999999996</v>
      </c>
      <c r="D4" s="3558">
        <f>E4/C4</f>
        <v>2005.555892984235</v>
      </c>
      <c r="E4" s="3558">
        <f>E5+E6</f>
        <v>64389475</v>
      </c>
      <c r="F4" s="3554"/>
      <c r="G4" s="3559">
        <v>1</v>
      </c>
    </row>
    <row r="5" spans="2:9">
      <c r="B5" s="3555" t="s">
        <v>4671</v>
      </c>
      <c r="C5" s="3560">
        <f>'数据-汇总表'!F31</f>
        <v>25613.089999999997</v>
      </c>
      <c r="D5" s="3554">
        <v>1500</v>
      </c>
      <c r="E5" s="3554">
        <f>D5*C5</f>
        <v>38419634.999999993</v>
      </c>
      <c r="F5" s="3554"/>
      <c r="G5" s="3554"/>
    </row>
    <row r="6" spans="2:9">
      <c r="B6" s="3555" t="s">
        <v>4672</v>
      </c>
      <c r="C6" s="3554">
        <f>'数据-汇总表'!G31</f>
        <v>6492.4600000000009</v>
      </c>
      <c r="D6" s="3554">
        <v>4000</v>
      </c>
      <c r="E6" s="3554">
        <f t="shared" ref="E6:E9" si="0">D6*C6</f>
        <v>25969840.000000004</v>
      </c>
      <c r="F6" s="3554"/>
      <c r="G6" s="3554"/>
      <c r="H6" s="3439" t="s">
        <v>4673</v>
      </c>
    </row>
    <row r="7" spans="2:9">
      <c r="B7" s="3557" t="s">
        <v>4674</v>
      </c>
      <c r="C7" s="3558">
        <f>C4</f>
        <v>32105.549999999996</v>
      </c>
      <c r="D7" s="3558">
        <v>1000</v>
      </c>
      <c r="E7" s="3558">
        <f>D7*C7</f>
        <v>32105549.999999996</v>
      </c>
      <c r="F7" s="3554"/>
      <c r="G7" s="3559">
        <v>1</v>
      </c>
      <c r="H7" s="3439" t="s">
        <v>4675</v>
      </c>
    </row>
    <row r="8" spans="2:9">
      <c r="B8" s="3557" t="s">
        <v>4676</v>
      </c>
      <c r="C8" s="3558">
        <f>C4</f>
        <v>32105.549999999996</v>
      </c>
      <c r="D8" s="3558">
        <v>1500</v>
      </c>
      <c r="E8" s="3558">
        <f>D8*C8</f>
        <v>48158324.999999993</v>
      </c>
      <c r="F8" s="3554"/>
      <c r="G8" s="3559">
        <v>1</v>
      </c>
    </row>
    <row r="9" spans="2:9">
      <c r="B9" s="3557" t="s">
        <v>4677</v>
      </c>
      <c r="C9" s="3558">
        <v>0</v>
      </c>
      <c r="D9" s="3558">
        <f>D6</f>
        <v>4000</v>
      </c>
      <c r="E9" s="3558">
        <f t="shared" si="0"/>
        <v>0</v>
      </c>
      <c r="F9" s="3554"/>
      <c r="G9" s="3554"/>
    </row>
    <row r="10" spans="2:9">
      <c r="B10" s="3555" t="s">
        <v>3381</v>
      </c>
      <c r="C10" s="3554">
        <f>C4</f>
        <v>32105.549999999996</v>
      </c>
      <c r="D10" s="3554">
        <f>E10/C10</f>
        <v>4505.5558929842355</v>
      </c>
      <c r="E10" s="3554">
        <f>E4+E7+E8+E9</f>
        <v>144653350</v>
      </c>
      <c r="F10" s="3554"/>
      <c r="G10" s="3557">
        <f>(G4*E4+G7*E7+G8*E8)/E10</f>
        <v>1</v>
      </c>
    </row>
    <row r="14" spans="2:9">
      <c r="B14" s="3553" t="s">
        <v>4678</v>
      </c>
    </row>
    <row r="15" spans="2:9">
      <c r="B15" s="3554"/>
      <c r="C15" s="3555" t="s">
        <v>4679</v>
      </c>
      <c r="D15" s="3555"/>
      <c r="E15" s="3555" t="s">
        <v>4680</v>
      </c>
      <c r="F15" s="3555" t="s">
        <v>4681</v>
      </c>
      <c r="G15" s="3555" t="s">
        <v>4682</v>
      </c>
      <c r="H15" s="3556" t="s">
        <v>4683</v>
      </c>
    </row>
    <row r="16" spans="2:9">
      <c r="B16" s="3557" t="s">
        <v>4684</v>
      </c>
      <c r="C16" s="3558">
        <v>2007</v>
      </c>
      <c r="D16" s="3558">
        <v>2024</v>
      </c>
      <c r="E16" s="3558">
        <v>50</v>
      </c>
      <c r="F16" s="3554">
        <v>60</v>
      </c>
      <c r="G16" s="3554">
        <v>0</v>
      </c>
      <c r="H16" s="3561">
        <f>ROUND((1-G16)-(D16-C16)/F16,2)</f>
        <v>0.72</v>
      </c>
      <c r="I16" s="3561">
        <f>ROUND((1-G16)-(2026-C16)/F16,2)</f>
        <v>0.68</v>
      </c>
    </row>
    <row r="17" spans="2:9">
      <c r="B17" s="3555" t="s">
        <v>4685</v>
      </c>
      <c r="C17" s="3560"/>
      <c r="D17" s="3554"/>
      <c r="E17" s="3554"/>
      <c r="F17" s="3554"/>
      <c r="G17" s="3554"/>
      <c r="H17" s="3559">
        <v>0.85</v>
      </c>
      <c r="I17" s="3562">
        <f>H17</f>
        <v>0.85</v>
      </c>
    </row>
    <row r="18" spans="2:9">
      <c r="B18" s="3555"/>
      <c r="C18" s="3924"/>
      <c r="D18" s="3554"/>
      <c r="E18" s="3554"/>
      <c r="F18" s="3554"/>
      <c r="G18" s="3554"/>
      <c r="H18" s="3562">
        <f>ROUND((H17+H16)/2,2)</f>
        <v>0.79</v>
      </c>
      <c r="I18" s="3562">
        <f>ROUND((I17+I16)/2,2)</f>
        <v>0.77</v>
      </c>
    </row>
    <row r="19" spans="2:9">
      <c r="C19" s="3925">
        <v>2007</v>
      </c>
      <c r="D19" s="3439">
        <v>2033</v>
      </c>
      <c r="F19" s="3439">
        <v>60</v>
      </c>
      <c r="H19" s="3561">
        <f>ROUND((1-G19)-(D19-C19)/F19,2)</f>
        <v>0.56999999999999995</v>
      </c>
    </row>
    <row r="20" spans="2:9">
      <c r="H20" s="3926">
        <v>0.8</v>
      </c>
    </row>
    <row r="21" spans="2:9">
      <c r="H21" s="3562">
        <f>ROUND((H20+H19)/2,2)</f>
        <v>0.69</v>
      </c>
    </row>
    <row r="22" spans="2:9">
      <c r="B22" s="3563"/>
    </row>
    <row r="23" spans="2:9">
      <c r="B23" s="3566" t="s">
        <v>4686</v>
      </c>
      <c r="C23" s="3567">
        <f>SUM(C28:C37)</f>
        <v>19759</v>
      </c>
      <c r="D23" s="3569" t="s">
        <v>4687</v>
      </c>
      <c r="E23" s="3567">
        <f>C23</f>
        <v>19759</v>
      </c>
      <c r="F23" s="3439">
        <f>ROUND(E23/E27*F27,2)</f>
        <v>19745.189999999999</v>
      </c>
      <c r="H23" s="3439">
        <v>1</v>
      </c>
      <c r="I23" s="3439">
        <v>7.5</v>
      </c>
    </row>
    <row r="24" spans="2:9">
      <c r="B24" s="3566" t="s">
        <v>4715</v>
      </c>
      <c r="C24" s="3567">
        <f>SUM(C38:C39)</f>
        <v>5872</v>
      </c>
      <c r="D24" s="3566" t="s">
        <v>4715</v>
      </c>
      <c r="E24" s="3567">
        <f>C24</f>
        <v>5872</v>
      </c>
      <c r="F24" s="3439">
        <f>ROUND(E24/E27*F27,2)</f>
        <v>5867.9</v>
      </c>
      <c r="I24" s="3439">
        <f>I23</f>
        <v>7.5</v>
      </c>
    </row>
    <row r="25" spans="2:9">
      <c r="B25" s="3566" t="s">
        <v>4716</v>
      </c>
      <c r="C25" s="3568">
        <f>SUM(C40)</f>
        <v>3265</v>
      </c>
      <c r="D25" s="3569" t="s">
        <v>4716</v>
      </c>
      <c r="E25" s="3567">
        <f>C40</f>
        <v>3265</v>
      </c>
      <c r="F25" s="3439">
        <f>ROUND(E25/E27*F27,2)</f>
        <v>3262.72</v>
      </c>
      <c r="H25" s="3439">
        <v>0.5</v>
      </c>
      <c r="I25" s="3439">
        <f>I23*H25</f>
        <v>3.75</v>
      </c>
    </row>
    <row r="26" spans="2:9">
      <c r="B26" s="3566" t="s">
        <v>4717</v>
      </c>
      <c r="C26" s="3567">
        <f>SUM(C41)</f>
        <v>3232</v>
      </c>
      <c r="D26" s="3569" t="s">
        <v>4717</v>
      </c>
      <c r="E26" s="3567">
        <f>C41</f>
        <v>3232</v>
      </c>
      <c r="F26" s="3439">
        <f>F27-F23-F25-F24</f>
        <v>3229.7400000000016</v>
      </c>
      <c r="G26" s="3439">
        <v>60</v>
      </c>
      <c r="I26" s="3564">
        <f>60*1500*12/E26/365</f>
        <v>0.91550250915502507</v>
      </c>
    </row>
    <row r="27" spans="2:9">
      <c r="B27" s="3578"/>
      <c r="C27" s="3579"/>
      <c r="D27" s="3570"/>
      <c r="E27" s="3567">
        <f>SUM(E23:E26)</f>
        <v>32128</v>
      </c>
      <c r="F27" s="3439">
        <v>32105.55</v>
      </c>
      <c r="I27" s="3927">
        <f>SUMPRODUCT(I23:I26,E23:E26)/F27</f>
        <v>6.4610372384085943</v>
      </c>
    </row>
    <row r="28" spans="2:9">
      <c r="B28" s="3563" t="s">
        <v>4713</v>
      </c>
      <c r="C28" s="3579">
        <v>672</v>
      </c>
      <c r="D28" s="3580"/>
      <c r="E28" s="3579"/>
      <c r="I28" s="3575"/>
    </row>
    <row r="29" spans="2:9">
      <c r="B29" s="3563" t="s">
        <v>4709</v>
      </c>
      <c r="C29" s="3439">
        <v>1020</v>
      </c>
      <c r="E29" s="3566" t="s">
        <v>4686</v>
      </c>
    </row>
    <row r="30" spans="2:9">
      <c r="B30" s="3563" t="s">
        <v>4710</v>
      </c>
      <c r="C30" s="3439">
        <v>1089</v>
      </c>
      <c r="D30" s="3564"/>
      <c r="E30" s="3564" t="s">
        <v>4714</v>
      </c>
    </row>
    <row r="31" spans="2:9">
      <c r="B31" s="3563" t="s">
        <v>4711</v>
      </c>
      <c r="C31" s="3439">
        <v>1727</v>
      </c>
    </row>
    <row r="32" spans="2:9">
      <c r="B32" s="3563" t="s">
        <v>4712</v>
      </c>
      <c r="C32" s="3439">
        <f>1080+947</f>
        <v>2027</v>
      </c>
      <c r="D32" s="3565"/>
      <c r="E32" s="3565"/>
    </row>
    <row r="33" spans="2:4">
      <c r="B33" s="3563" t="s">
        <v>4124</v>
      </c>
      <c r="C33" s="3439">
        <f>1350+1102</f>
        <v>2452</v>
      </c>
    </row>
    <row r="34" spans="2:4">
      <c r="B34" s="3563" t="s">
        <v>4708</v>
      </c>
      <c r="C34" s="3439">
        <f>1350+1200</f>
        <v>2550</v>
      </c>
    </row>
    <row r="35" spans="2:4">
      <c r="B35" s="3563" t="s">
        <v>4705</v>
      </c>
      <c r="C35" s="3439">
        <f>1350+1200</f>
        <v>2550</v>
      </c>
    </row>
    <row r="36" spans="2:4">
      <c r="B36" s="3563" t="s">
        <v>4706</v>
      </c>
      <c r="C36" s="3439">
        <f>1618+1218</f>
        <v>2836</v>
      </c>
    </row>
    <row r="37" spans="2:4">
      <c r="B37" s="3563" t="s">
        <v>4707</v>
      </c>
      <c r="C37" s="3439">
        <f>C36</f>
        <v>2836</v>
      </c>
    </row>
    <row r="38" spans="2:4">
      <c r="B38" s="3563" t="s">
        <v>4704</v>
      </c>
      <c r="C38" s="3439">
        <f>1453+1225</f>
        <v>2678</v>
      </c>
    </row>
    <row r="39" spans="2:4">
      <c r="B39" s="3563" t="s">
        <v>4703</v>
      </c>
      <c r="C39" s="3439">
        <f>1598+1596</f>
        <v>3194</v>
      </c>
    </row>
    <row r="40" spans="2:4">
      <c r="B40" s="3563" t="s">
        <v>4702</v>
      </c>
      <c r="C40" s="3439">
        <f>1665+1600</f>
        <v>3265</v>
      </c>
    </row>
    <row r="41" spans="2:4">
      <c r="B41" s="3563" t="s">
        <v>4702</v>
      </c>
      <c r="C41" s="3439">
        <v>3232</v>
      </c>
    </row>
    <row r="42" spans="2:4">
      <c r="B42" s="3563"/>
      <c r="C42" s="3439">
        <f>SUM(C28:C41)</f>
        <v>32128</v>
      </c>
    </row>
    <row r="43" spans="2:4">
      <c r="B43" s="3563"/>
    </row>
    <row r="44" spans="2:4">
      <c r="B44" s="3563"/>
    </row>
    <row r="45" spans="2:4">
      <c r="B45" s="3563"/>
    </row>
    <row r="46" spans="2:4">
      <c r="B46" s="3563" t="s">
        <v>4718</v>
      </c>
      <c r="C46" s="3922" t="s">
        <v>4719</v>
      </c>
      <c r="D46" s="3439">
        <v>91333333.379999995</v>
      </c>
    </row>
    <row r="47" spans="2:4">
      <c r="B47" s="3563"/>
      <c r="C47" s="3922" t="s">
        <v>4720</v>
      </c>
      <c r="D47" s="3439">
        <v>91333333.379999995</v>
      </c>
    </row>
    <row r="48" spans="2:4">
      <c r="B48" s="3563"/>
      <c r="C48" s="3922" t="s">
        <v>4721</v>
      </c>
      <c r="D48" s="3439">
        <v>91333333.379999995</v>
      </c>
    </row>
    <row r="49" spans="2:4">
      <c r="B49" s="3563"/>
      <c r="C49" s="3922" t="s">
        <v>4722</v>
      </c>
      <c r="D49" s="3439">
        <v>91333333.379999995</v>
      </c>
    </row>
    <row r="50" spans="2:4">
      <c r="B50" s="3563"/>
      <c r="C50" s="3922" t="s">
        <v>4723</v>
      </c>
      <c r="D50" s="3439">
        <v>91333333.379999995</v>
      </c>
    </row>
    <row r="51" spans="2:4">
      <c r="B51" s="3563"/>
      <c r="C51" s="3922" t="s">
        <v>4724</v>
      </c>
      <c r="D51" s="3439">
        <v>91333333.379999995</v>
      </c>
    </row>
    <row r="52" spans="2:4">
      <c r="C52" s="3922" t="s">
        <v>4725</v>
      </c>
      <c r="D52" s="3439">
        <v>91333333.379999995</v>
      </c>
    </row>
    <row r="53" spans="2:4">
      <c r="C53" s="3922" t="s">
        <v>4726</v>
      </c>
      <c r="D53" s="3439">
        <v>91333333.379999995</v>
      </c>
    </row>
    <row r="54" spans="2:4">
      <c r="C54" s="3922" t="s">
        <v>4728</v>
      </c>
      <c r="D54" s="3439">
        <v>91333333.379999995</v>
      </c>
    </row>
    <row r="55" spans="2:4">
      <c r="C55" s="3922" t="s">
        <v>4727</v>
      </c>
      <c r="D55" s="3439">
        <v>91333333.379999995</v>
      </c>
    </row>
    <row r="56" spans="2:4">
      <c r="C56" s="3922" t="s">
        <v>4729</v>
      </c>
      <c r="D56" s="3439">
        <v>91333333.379999995</v>
      </c>
    </row>
    <row r="57" spans="2:4">
      <c r="C57" s="3923" t="s">
        <v>4730</v>
      </c>
      <c r="D57" s="3439">
        <v>91333333.379999995</v>
      </c>
    </row>
    <row r="58" spans="2:4">
      <c r="C58" s="3922" t="s">
        <v>4731</v>
      </c>
      <c r="D58" s="3439">
        <v>91333333.379999995</v>
      </c>
    </row>
    <row r="59" spans="2:4">
      <c r="C59" s="3922" t="s">
        <v>4732</v>
      </c>
      <c r="D59" s="3439">
        <v>91333333.379999995</v>
      </c>
    </row>
    <row r="60" spans="2:4">
      <c r="C60" s="3922" t="s">
        <v>4733</v>
      </c>
      <c r="D60" s="3439">
        <v>91333333.379999995</v>
      </c>
    </row>
    <row r="61" spans="2:4">
      <c r="D61" s="3439">
        <f>SUM(D46:D60)</f>
        <v>1370000000.7000003</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B16" zoomScale="90" zoomScaleNormal="100" zoomScaleSheetLayoutView="90" workbookViewId="0">
      <selection activeCell="F36" sqref="F3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62" t="s">
        <v>1130</v>
      </c>
      <c r="B2" s="3662"/>
      <c r="C2" s="3662"/>
      <c r="D2" s="796" t="s">
        <v>1106</v>
      </c>
      <c r="E2" s="1639" t="s">
        <v>1107</v>
      </c>
      <c r="F2" s="2636"/>
      <c r="G2" s="2627"/>
      <c r="H2" s="2628"/>
      <c r="I2" s="2325" t="s">
        <v>1131</v>
      </c>
      <c r="J2" s="2636"/>
      <c r="K2" s="2636"/>
      <c r="L2" s="2636"/>
      <c r="M2" s="2636"/>
      <c r="N2" s="2638"/>
      <c r="O2" s="2636"/>
      <c r="P2" s="2636"/>
    </row>
    <row r="3" spans="1:16" ht="15.75" thickBot="1">
      <c r="A3" s="3663" t="s">
        <v>1104</v>
      </c>
      <c r="B3" s="3663"/>
      <c r="C3" s="3663"/>
      <c r="D3" s="43">
        <f>'数据-基础表'!AY6</f>
        <v>0</v>
      </c>
      <c r="E3" s="43">
        <f>'数据-基础表'!AZ5</f>
        <v>32105.55</v>
      </c>
      <c r="F3" s="2636"/>
      <c r="G3" s="1145"/>
      <c r="H3" s="1026" t="s">
        <v>1105</v>
      </c>
      <c r="I3" s="855" t="e">
        <f>ROUND('数据-基础表'!B3/'数据-基础表'!A3,2)</f>
        <v>#DIV/0!</v>
      </c>
      <c r="J3" s="2636"/>
      <c r="K3" s="2636"/>
      <c r="L3" s="2636"/>
      <c r="M3" s="2636"/>
      <c r="N3" s="2638"/>
      <c r="O3" s="2636"/>
      <c r="P3" s="2636"/>
    </row>
    <row r="4" spans="1:16" ht="15">
      <c r="A4" s="3664"/>
      <c r="B4" s="3665"/>
      <c r="C4" s="3666"/>
      <c r="D4" s="1641" t="s">
        <v>1106</v>
      </c>
      <c r="E4" s="1642" t="s">
        <v>1107</v>
      </c>
      <c r="F4" s="2636"/>
      <c r="G4" s="2629" t="s">
        <v>1132</v>
      </c>
      <c r="H4" s="1026" t="s">
        <v>1112</v>
      </c>
      <c r="I4" s="855" t="e">
        <f>ROUND(SUMIF('数据-基础表'!I9:AS9,"地上",'数据-基础表'!I5:AS5)/'数据-基础表'!A3,2)</f>
        <v>#DIV/0!</v>
      </c>
      <c r="J4" s="2636"/>
      <c r="K4" s="2636"/>
      <c r="L4" s="2636"/>
      <c r="M4" s="2636"/>
      <c r="N4" s="2638"/>
      <c r="O4" s="2636"/>
      <c r="P4" s="2636"/>
    </row>
    <row r="5" spans="1:16">
      <c r="A5" s="44" t="s">
        <v>1108</v>
      </c>
      <c r="B5" s="3667" t="s">
        <v>1109</v>
      </c>
      <c r="C5" s="3667"/>
      <c r="D5" s="45">
        <f>ROUND($D$3*E5/$E$3,2)</f>
        <v>0</v>
      </c>
      <c r="E5" s="46">
        <f>SUMIF('数据-基础表'!$11:$11,"住宅",'数据-基础表'!$5:$5)</f>
        <v>0</v>
      </c>
      <c r="F5" s="2636"/>
      <c r="G5" s="1145"/>
      <c r="H5" s="1026" t="s">
        <v>1105</v>
      </c>
      <c r="I5" s="855" t="e">
        <f>ROUND(E31/D31,2)</f>
        <v>#DIV/0!</v>
      </c>
      <c r="J5" s="2636"/>
      <c r="K5" s="2636"/>
      <c r="L5" s="2636"/>
      <c r="M5" s="2636"/>
      <c r="N5" s="2636"/>
      <c r="O5" s="2636"/>
      <c r="P5" s="2636"/>
    </row>
    <row r="6" spans="1:16" ht="15" thickBot="1">
      <c r="A6" s="1644"/>
      <c r="B6" s="3667" t="s">
        <v>1110</v>
      </c>
      <c r="C6" s="3667"/>
      <c r="D6" s="45">
        <f>ROUND($D$3*E6/$E$3,2)</f>
        <v>0</v>
      </c>
      <c r="E6" s="46">
        <f>E3-E5</f>
        <v>32105.55</v>
      </c>
      <c r="F6" s="2636"/>
      <c r="G6" s="2630" t="s">
        <v>1111</v>
      </c>
      <c r="H6" s="1146" t="s">
        <v>1112</v>
      </c>
      <c r="I6" s="2631" t="e">
        <f>ROUND(F31/D31,2)</f>
        <v>#DIV/0!</v>
      </c>
      <c r="J6" s="2636"/>
      <c r="K6" s="2636"/>
      <c r="L6" s="2636"/>
      <c r="M6" s="2636"/>
      <c r="N6" s="2636"/>
      <c r="O6" s="2636"/>
      <c r="P6" s="2636"/>
    </row>
    <row r="7" spans="1:16" ht="15.75" thickBot="1">
      <c r="A7" s="3659"/>
      <c r="B7" s="3660"/>
      <c r="C7" s="3661"/>
      <c r="D7" s="1641" t="s">
        <v>1106</v>
      </c>
      <c r="E7" s="1645" t="s">
        <v>1113</v>
      </c>
      <c r="F7" s="2636"/>
      <c r="G7" s="2632" t="s">
        <v>1114</v>
      </c>
      <c r="H7" s="2633"/>
      <c r="I7" s="2634">
        <v>3.5</v>
      </c>
      <c r="J7" s="2636"/>
      <c r="K7" s="2636"/>
      <c r="L7" s="2636"/>
      <c r="M7" s="2636"/>
      <c r="N7" s="2636"/>
      <c r="O7" s="2636"/>
      <c r="P7" s="2636"/>
    </row>
    <row r="8" spans="1:16">
      <c r="A8" s="44" t="s">
        <v>1115</v>
      </c>
      <c r="B8" s="47" t="s">
        <v>1116</v>
      </c>
      <c r="C8" s="45" t="s">
        <v>1117</v>
      </c>
      <c r="D8" s="45">
        <f t="shared" ref="D8:D15" si="0">ROUND($D$3*E8/$E$3,2)</f>
        <v>0</v>
      </c>
      <c r="E8" s="48">
        <f>SUMIF('数据-基础表'!BB10:BK10,"地上",'数据-基础表'!BB5:BK5)</f>
        <v>25613.089999999997</v>
      </c>
      <c r="F8" s="2636"/>
      <c r="G8" s="2637"/>
      <c r="H8" s="2637"/>
      <c r="I8" s="2636"/>
      <c r="J8" s="2636"/>
      <c r="K8" s="2636"/>
      <c r="L8" s="2636"/>
      <c r="M8" s="2636"/>
      <c r="N8" s="2636"/>
      <c r="O8" s="2636"/>
      <c r="P8" s="2636"/>
    </row>
    <row r="9" spans="1:16">
      <c r="A9" s="1646"/>
      <c r="B9" s="1647"/>
      <c r="C9" s="45" t="s">
        <v>1118</v>
      </c>
      <c r="D9" s="45">
        <f t="shared" si="0"/>
        <v>0</v>
      </c>
      <c r="E9" s="49">
        <v>0</v>
      </c>
      <c r="F9" s="2636"/>
      <c r="G9" s="2637"/>
      <c r="H9" s="2637"/>
      <c r="I9" s="2636"/>
      <c r="J9" s="2636"/>
      <c r="K9" s="2636"/>
      <c r="L9" s="2636"/>
      <c r="M9" s="2636"/>
      <c r="N9" s="2636"/>
      <c r="O9" s="2636"/>
      <c r="P9" s="2636"/>
    </row>
    <row r="10" spans="1:16">
      <c r="A10" s="1646"/>
      <c r="B10" s="1647"/>
      <c r="C10" s="45" t="s">
        <v>1127</v>
      </c>
      <c r="D10" s="45">
        <f t="shared" si="0"/>
        <v>0</v>
      </c>
      <c r="E10" s="48">
        <f>SUMPRODUCT(('数据-基础表'!BB10:BK10="地下")*('数据-基础表'!BB11:BK11="商业")*('数据-基础表'!BB5:BK5))</f>
        <v>3262.72</v>
      </c>
      <c r="F10" s="2636"/>
      <c r="G10" s="2637"/>
      <c r="H10" s="2637"/>
      <c r="I10" s="2636"/>
      <c r="J10" s="2636"/>
      <c r="K10" s="2636"/>
      <c r="L10" s="2636"/>
      <c r="M10" s="2636"/>
      <c r="N10" s="2636"/>
      <c r="O10" s="2636"/>
      <c r="P10" s="2636"/>
    </row>
    <row r="11" spans="1:16">
      <c r="A11" s="1646"/>
      <c r="B11" s="1647"/>
      <c r="C11" s="45" t="s">
        <v>1119</v>
      </c>
      <c r="D11" s="45">
        <f t="shared" si="0"/>
        <v>0</v>
      </c>
      <c r="E11" s="48">
        <f>SUMPRODUCT(('数据-基础表'!BB10:BK10="地下")*('数据-基础表'!BB11:BK11="办公")*('数据-基础表'!BB5:BK5))+'数据-基础表'!BP5</f>
        <v>0</v>
      </c>
      <c r="F11" s="2636"/>
      <c r="G11" s="2637"/>
      <c r="H11" s="2637"/>
      <c r="I11" s="2636"/>
      <c r="J11" s="2636"/>
      <c r="K11" s="2636"/>
      <c r="L11" s="2636"/>
      <c r="M11" s="2636"/>
      <c r="N11" s="2636"/>
      <c r="O11" s="2636"/>
      <c r="P11" s="2636"/>
    </row>
    <row r="12" spans="1:16">
      <c r="A12" s="1646"/>
      <c r="B12" s="1647"/>
      <c r="C12" s="45" t="s">
        <v>1120</v>
      </c>
      <c r="D12" s="45">
        <f t="shared" si="0"/>
        <v>0</v>
      </c>
      <c r="E12" s="48">
        <f>SUMPRODUCT(('数据-基础表'!BB10:BK10="地下")*('数据-基础表'!BB11:BK11="仓储")*('数据-基础表'!BB5:BK5))</f>
        <v>0</v>
      </c>
      <c r="F12" s="2636"/>
      <c r="G12" s="2637"/>
      <c r="H12" s="2637"/>
      <c r="I12" s="2636"/>
      <c r="J12" s="2636"/>
      <c r="K12" s="2636"/>
      <c r="L12" s="2636"/>
      <c r="M12" s="2636"/>
      <c r="N12" s="2636"/>
      <c r="O12" s="2636"/>
      <c r="P12" s="2636"/>
    </row>
    <row r="13" spans="1:16">
      <c r="A13" s="1646"/>
      <c r="B13" s="1647"/>
      <c r="C13" s="45" t="s">
        <v>1121</v>
      </c>
      <c r="D13" s="45">
        <f t="shared" si="0"/>
        <v>0</v>
      </c>
      <c r="E13" s="48">
        <f>SUMPRODUCT(('数据-基础表'!BB10:BK10="地下")*('数据-基础表'!BB11:BK11="车库")*('数据-基础表'!BB5:BK5))</f>
        <v>3229.7400000000016</v>
      </c>
      <c r="F13" s="2636"/>
      <c r="G13" s="2637"/>
      <c r="H13" s="2637"/>
      <c r="I13" s="2636"/>
      <c r="J13" s="2636"/>
      <c r="K13" s="2636"/>
      <c r="L13" s="2636"/>
      <c r="M13" s="2636"/>
      <c r="N13" s="2636"/>
      <c r="O13" s="2636"/>
      <c r="P13" s="2636"/>
    </row>
    <row r="14" spans="1:16">
      <c r="A14" s="1646"/>
      <c r="B14" s="1647"/>
      <c r="C14" s="45" t="s">
        <v>1133</v>
      </c>
      <c r="D14" s="45">
        <f t="shared" si="0"/>
        <v>0</v>
      </c>
      <c r="E14" s="48">
        <f>SUMPRODUCT(('数据-基础表'!BB10:BK10="地下")*('数据-基础表'!BB11:BK11="车库—商业")*('数据-基础表'!BB5:BK5))</f>
        <v>0</v>
      </c>
      <c r="F14" s="2636"/>
      <c r="G14" s="2637"/>
      <c r="H14" s="2637"/>
      <c r="I14" s="2636"/>
      <c r="J14" s="2636"/>
      <c r="K14" s="2636"/>
      <c r="L14" s="2636"/>
      <c r="M14" s="2636"/>
      <c r="N14" s="2636"/>
      <c r="O14" s="2636"/>
      <c r="P14" s="2636"/>
    </row>
    <row r="15" spans="1:16" ht="15" thickBot="1">
      <c r="A15" s="1646"/>
      <c r="B15" s="1647"/>
      <c r="C15" s="45" t="s">
        <v>1128</v>
      </c>
      <c r="D15" s="45">
        <f t="shared" si="0"/>
        <v>0</v>
      </c>
      <c r="E15" s="48">
        <f>SUMPRODUCT(('数据-基础表'!BB10:BK10="地下")*('数据-基础表'!BB11:BK11="车库—办公")*('数据-基础表'!BB5:BK5))</f>
        <v>0</v>
      </c>
      <c r="F15" s="2636"/>
      <c r="G15" s="2637"/>
      <c r="H15" s="2637"/>
      <c r="I15" s="2636"/>
      <c r="J15" s="2636"/>
      <c r="K15" s="2636"/>
      <c r="L15" s="2636"/>
      <c r="M15" s="2636"/>
      <c r="N15" s="2636"/>
      <c r="O15" s="2636"/>
      <c r="P15" s="2636"/>
    </row>
    <row r="16" spans="1:16" ht="15.75" thickBot="1">
      <c r="A16" s="1644"/>
      <c r="B16" s="1647"/>
      <c r="C16" s="47" t="s">
        <v>1122</v>
      </c>
      <c r="D16" s="47">
        <f>SUM(D8:D15)</f>
        <v>0</v>
      </c>
      <c r="E16" s="50">
        <f>SUM(E8:E15)</f>
        <v>32105.55</v>
      </c>
      <c r="F16" s="2636"/>
      <c r="G16" s="2637"/>
      <c r="H16" s="1648" t="s">
        <v>1134</v>
      </c>
      <c r="I16" s="1649"/>
      <c r="J16" s="1139"/>
      <c r="K16" s="3656" t="s">
        <v>1134</v>
      </c>
      <c r="L16" s="3657"/>
      <c r="M16" s="3657"/>
      <c r="N16" s="3657"/>
      <c r="O16" s="3657"/>
      <c r="P16" s="3658"/>
    </row>
    <row r="17" spans="1:19" ht="15">
      <c r="A17" s="1650" t="s">
        <v>1135</v>
      </c>
      <c r="B17" s="1651" t="s">
        <v>1136</v>
      </c>
      <c r="C17" s="1652" t="s">
        <v>1137</v>
      </c>
      <c r="D17" s="1653" t="s">
        <v>1125</v>
      </c>
      <c r="E17" s="1654" t="s">
        <v>1126</v>
      </c>
      <c r="F17" s="1655"/>
      <c r="G17" s="1656"/>
      <c r="H17" s="1657" t="s">
        <v>1138</v>
      </c>
      <c r="I17" s="1658" t="s">
        <v>1123</v>
      </c>
      <c r="J17" s="1139"/>
      <c r="K17" s="3653" t="s">
        <v>1139</v>
      </c>
      <c r="L17" s="3654"/>
      <c r="M17" s="3655"/>
      <c r="N17" s="3653" t="s">
        <v>1140</v>
      </c>
      <c r="O17" s="3654"/>
      <c r="P17" s="365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4665</v>
      </c>
      <c r="D19" s="45">
        <f>ROUND($D$3*E19/$E$3,2)</f>
        <v>0</v>
      </c>
      <c r="E19" s="53">
        <f t="shared" ref="E19:E26" si="1">SUM(F19:G19)</f>
        <v>32105.549999999996</v>
      </c>
      <c r="F19" s="2771">
        <f>'数据-基础表'!I13+'数据-基础表'!K13</f>
        <v>25613.089999999997</v>
      </c>
      <c r="G19" s="2772">
        <f>'数据-基础表'!M13+'数据-基础表'!O13</f>
        <v>6492.4600000000009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32105.549999999996</v>
      </c>
    </row>
    <row r="20" spans="1:19">
      <c r="A20" s="1670"/>
      <c r="B20" s="47" t="s">
        <v>1152</v>
      </c>
      <c r="C20" s="3393"/>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1"/>
      <c r="G21" s="277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3"/>
      <c r="G22" s="277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3"/>
      <c r="G23" s="277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3"/>
      <c r="G24" s="277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3"/>
      <c r="G25" s="277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32105.549999999996</v>
      </c>
      <c r="F27" s="1140">
        <f>IF(SUM(F19:F26)=E8,SUM(F19:F26),"地上面积有误")</f>
        <v>25613.089999999997</v>
      </c>
      <c r="G27" s="1142">
        <f>SUM(G19:G26)</f>
        <v>6492.4600000000009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32105.549999999996</v>
      </c>
    </row>
    <row r="28" spans="1:19">
      <c r="A28" s="1670"/>
      <c r="B28" s="47" t="s">
        <v>1154</v>
      </c>
      <c r="C28" s="1038" t="s">
        <v>1155</v>
      </c>
      <c r="D28" s="45">
        <f>ROUND($D$3*E28/$E$3,2)</f>
        <v>0</v>
      </c>
      <c r="E28" s="53">
        <f>SUM(F28:G28)</f>
        <v>0</v>
      </c>
      <c r="F28" s="56">
        <f>'数据-基础表'!BQ5+'数据-基础表'!BS5</f>
        <v>0</v>
      </c>
      <c r="G28" s="57">
        <f>'数据-基础表'!BR5+'数据-基础表'!BT5</f>
        <v>0</v>
      </c>
      <c r="H28" s="2636"/>
      <c r="I28" s="2636"/>
      <c r="J28" s="2636"/>
      <c r="K28" s="2636"/>
      <c r="L28" s="2636"/>
      <c r="M28" s="2636"/>
      <c r="N28" s="2636"/>
      <c r="O28" s="2636"/>
      <c r="P28" s="2636"/>
    </row>
    <row r="29" spans="1:19">
      <c r="A29" s="1670"/>
      <c r="B29" s="47" t="s">
        <v>1154</v>
      </c>
      <c r="C29" s="1674" t="s">
        <v>1156</v>
      </c>
      <c r="D29" s="45">
        <f>ROUND($D$3*E29/$E$3,2)</f>
        <v>0</v>
      </c>
      <c r="E29" s="53">
        <f>SUM(F29:G29)</f>
        <v>0</v>
      </c>
      <c r="F29" s="58">
        <f>'数据-基础表'!BM5+'数据-基础表'!BO5</f>
        <v>0</v>
      </c>
      <c r="G29" s="59">
        <f>'数据-基础表'!BN5+'数据-基础表'!BP5</f>
        <v>0</v>
      </c>
      <c r="H29" s="2636"/>
      <c r="I29" s="2636"/>
      <c r="J29" s="2636"/>
      <c r="K29" s="2636"/>
      <c r="L29" s="2636"/>
      <c r="M29" s="2636"/>
      <c r="N29" s="2636"/>
      <c r="O29" s="2636"/>
      <c r="P29" s="2636"/>
    </row>
    <row r="30" spans="1:19" ht="15">
      <c r="A30" s="1670"/>
      <c r="B30" s="47"/>
      <c r="C30" s="1675" t="s">
        <v>1153</v>
      </c>
      <c r="D30" s="1140">
        <f>SUM(D28:D29)</f>
        <v>0</v>
      </c>
      <c r="E30" s="1140">
        <f>SUM(E28:E29)</f>
        <v>0</v>
      </c>
      <c r="F30" s="1140">
        <f>SUM(F28:F29)</f>
        <v>0</v>
      </c>
      <c r="G30" s="1142">
        <f>SUM(G28:G29)</f>
        <v>0</v>
      </c>
      <c r="H30" s="2636"/>
      <c r="I30" s="2636"/>
      <c r="J30" s="2636"/>
      <c r="K30" s="2636"/>
      <c r="L30" s="2636"/>
      <c r="M30" s="2636"/>
      <c r="N30" s="2636"/>
      <c r="O30" s="2636"/>
      <c r="P30" s="2636"/>
    </row>
    <row r="31" spans="1:19" ht="15.75" thickBot="1">
      <c r="A31" s="1676"/>
      <c r="B31" s="1677"/>
      <c r="C31" s="835" t="s">
        <v>1157</v>
      </c>
      <c r="D31" s="676">
        <f>D27+D30</f>
        <v>0</v>
      </c>
      <c r="E31" s="676">
        <f>E27+E30</f>
        <v>32105.549999999996</v>
      </c>
      <c r="F31" s="677">
        <f>F27+F30</f>
        <v>25613.089999999997</v>
      </c>
      <c r="G31" s="678">
        <f>G27+G30</f>
        <v>6492.4600000000009</v>
      </c>
      <c r="H31" s="2636"/>
      <c r="I31" s="2636"/>
      <c r="J31" s="2636"/>
      <c r="K31" s="2636"/>
      <c r="L31" s="2636"/>
      <c r="M31" s="2636"/>
      <c r="N31" s="2636"/>
      <c r="O31" s="2636"/>
      <c r="P31" s="2636"/>
    </row>
    <row r="32" spans="1:19">
      <c r="A32" s="1643"/>
      <c r="B32" s="1643" t="s">
        <v>1158</v>
      </c>
      <c r="C32" s="1643"/>
      <c r="D32" s="1643"/>
      <c r="E32" s="1053">
        <f>SUMIF(C19:C26,"*住宅*",E19:E26)</f>
        <v>0</v>
      </c>
      <c r="F32" s="1643"/>
      <c r="G32" s="1643"/>
      <c r="H32" s="2636"/>
      <c r="I32" s="2636"/>
      <c r="J32" s="2636"/>
      <c r="K32" s="2636"/>
      <c r="L32" s="2636"/>
      <c r="M32" s="2636"/>
      <c r="N32" s="2636"/>
      <c r="O32" s="2636"/>
      <c r="P32" s="2636"/>
    </row>
    <row r="33" spans="4:11">
      <c r="D33" s="1678"/>
    </row>
    <row r="35" spans="4:11">
      <c r="E35" s="3476" t="s">
        <v>3569</v>
      </c>
      <c r="F35" s="3573">
        <f>F36/F19*10000</f>
        <v>65787.845199466377</v>
      </c>
      <c r="G35" s="1638">
        <v>20000</v>
      </c>
      <c r="H35" s="1638">
        <v>10000</v>
      </c>
      <c r="J35" s="1638"/>
      <c r="K35" s="1638">
        <f ca="1">结果表!G19/'数据-汇总表'!F31</f>
        <v>5.2726945479830825</v>
      </c>
    </row>
    <row r="36" spans="4:11">
      <c r="F36" s="3572">
        <f>175000-'数据-汇总表'!H36-'数据-汇总表'!G36</f>
        <v>168503</v>
      </c>
      <c r="G36" s="1638">
        <f>取值过程!E25</f>
        <v>3265</v>
      </c>
      <c r="H36" s="3571">
        <f>取值过程!E26</f>
        <v>3232</v>
      </c>
      <c r="J36" s="1638"/>
    </row>
    <row r="37" spans="4:11">
      <c r="E37" s="3476" t="s">
        <v>3571</v>
      </c>
      <c r="F37" s="1638">
        <f>ROUND(F35*F31/10000,0)</f>
        <v>168503</v>
      </c>
      <c r="G37" s="1638">
        <f>ROUND(G35*G36/10000,0)</f>
        <v>6530</v>
      </c>
      <c r="H37" s="1638">
        <f>ROUND(H35*H36/10000,0)</f>
        <v>3232</v>
      </c>
      <c r="J37" s="1638">
        <f>G37+F37</f>
        <v>175033</v>
      </c>
    </row>
    <row r="39" spans="4:11">
      <c r="F39" s="3574">
        <f>G31/E31</f>
        <v>0.20222235719369397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O39" sqref="O39"/>
      <selection pane="topRight" activeCell="O39" sqref="O39"/>
      <selection pane="bottomLeft" activeCell="O39" sqref="O39"/>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3" t="s">
        <v>1160</v>
      </c>
      <c r="B2" s="1045">
        <f>项目基本情况!D3</f>
        <v>45406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9"/>
      <c r="AO2" s="2649"/>
      <c r="AP2" s="2649"/>
      <c r="AQ2" s="2649"/>
      <c r="AR2" s="264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9"/>
      <c r="AO3" s="2649"/>
      <c r="AP3" s="2649"/>
      <c r="AQ3" s="2649"/>
      <c r="AR3" s="264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5"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9"/>
      <c r="AO4" s="2649"/>
      <c r="AP4" s="2649"/>
      <c r="AQ4" s="2649"/>
      <c r="AR4" s="264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山水广场</v>
      </c>
      <c r="B6" s="1713" t="str">
        <f>IF(A6=0,"","经营性")</f>
        <v>经营性</v>
      </c>
      <c r="C6" s="1714" t="s">
        <v>21</v>
      </c>
      <c r="D6" s="858">
        <f>SUMIF(项目基本情况!C$12:I$12,C6,项目基本情况!C$14:I$14)</f>
        <v>50</v>
      </c>
      <c r="E6" s="857">
        <f>IF(B6="","",SUMIF(项目基本情况!C$12:I$12,C6,项目基本情况!C$13:I$13))</f>
        <v>53015</v>
      </c>
      <c r="F6" s="64">
        <f>SUMIF(项目基本情况!C$12:I$12,C6,项目基本情况!C$15:I$15)</f>
        <v>20.84</v>
      </c>
      <c r="G6" s="65">
        <f>IF(ISERROR(ROUND(POWER(1+H6,D6-F6)*(POWER(1+H6,F6)-1)/(POWER(1+H6,D6)-1),3)),0,ROUND(POWER(1+H6,D6-F6)*(POWER(1+H6,F6)-1)/(POWER(1+H6,D6)-1),3))</f>
        <v>0.69899999999999995</v>
      </c>
      <c r="H6" s="732">
        <v>0.05</v>
      </c>
      <c r="I6" s="732">
        <v>5.5E-2</v>
      </c>
      <c r="J6" s="66">
        <v>7.0000000000000007E-2</v>
      </c>
      <c r="K6" s="1030">
        <f>SUMIF('数据-汇总表'!C$19:C$33,A6,'数据-汇总表'!E$19:E$33)</f>
        <v>32105.549999999996</v>
      </c>
      <c r="L6" s="733">
        <v>5000</v>
      </c>
      <c r="M6" s="67">
        <f t="shared" ref="M6:M14" si="0">ROUND(K6*L6/10000,0)</f>
        <v>16053</v>
      </c>
      <c r="N6" s="731">
        <f>取值过程!H18</f>
        <v>0.79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v>6.35</v>
      </c>
      <c r="V6" s="70">
        <v>0</v>
      </c>
      <c r="W6" s="70">
        <v>0</v>
      </c>
      <c r="X6" s="1040"/>
      <c r="Y6" s="71">
        <f>N6</f>
        <v>0.79</v>
      </c>
      <c r="Z6" s="72">
        <f>ROUND(6.5*(1+'数据-取费表'!AA6)^'数据-取费表'!AF6,2)</f>
        <v>8.1</v>
      </c>
      <c r="AA6" s="66">
        <v>2.5000000000000001E-2</v>
      </c>
      <c r="AB6" s="66">
        <v>0.1</v>
      </c>
      <c r="AC6" s="1040"/>
      <c r="AD6" s="73">
        <f>取值过程!H21</f>
        <v>0.69</v>
      </c>
      <c r="AE6" s="1041">
        <f ca="1">IF(AN6="",0,SUMIF(INDIRECT("'"&amp;AN6&amp;"'"&amp;"!E:E"),$AE$5,INDIRECT("'"&amp;AN6&amp;"'"&amp;"!F:F")))</f>
        <v>20.84</v>
      </c>
      <c r="AF6" s="1348">
        <f>项目基本情况!I15</f>
        <v>8.93</v>
      </c>
      <c r="AG6" s="138">
        <f ca="1">IF(AF6="",0,AE6-AF6)</f>
        <v>11.91</v>
      </c>
      <c r="AH6" s="74"/>
      <c r="AI6" s="76">
        <v>365</v>
      </c>
      <c r="AJ6" s="77"/>
      <c r="AK6" s="78">
        <v>3.0000000000000001E-3</v>
      </c>
      <c r="AL6" s="79">
        <v>1E-3</v>
      </c>
      <c r="AM6" s="80">
        <f>AK6</f>
        <v>3.0000000000000001E-3</v>
      </c>
      <c r="AN6" s="1715" t="s">
        <v>3390</v>
      </c>
      <c r="AO6" s="52">
        <f ca="1">SUMIF(INDIRECT("'"&amp;AN6&amp;"'"&amp;"!A:A"),"总价",INDIRECT("'"&amp;AN6&amp;"'"&amp;"!B:B"))</f>
        <v>86200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0.69899999999999995</v>
      </c>
      <c r="H16" s="90">
        <f>ROUND(SUMPRODUCT(H6:H13,K6:K13)/SUMPRODUCT((H6:H13&gt;0)*(K6:K13)),3)</f>
        <v>0.05</v>
      </c>
      <c r="I16" s="91"/>
      <c r="J16" s="91"/>
      <c r="K16" s="92">
        <f>SUM(K6:K15)</f>
        <v>32105.549999999996</v>
      </c>
      <c r="L16" s="93">
        <f>ROUND(M16*10000/SUM(K6:K14),0)</f>
        <v>5000</v>
      </c>
      <c r="M16" s="93">
        <f>SUM(M6:M14)</f>
        <v>16053</v>
      </c>
      <c r="N16" s="94">
        <f>ROUND(SUMPRODUCT(M6:M14,N6:N14)/M16,3)</f>
        <v>0.79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2648"/>
      <c r="M18" s="3438"/>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2" t="s">
        <v>1210</v>
      </c>
      <c r="B19" s="103">
        <v>0</v>
      </c>
      <c r="C19" s="2775" t="s">
        <v>2282</v>
      </c>
      <c r="D19" s="2652"/>
      <c r="E19" s="2649"/>
      <c r="F19" s="2649"/>
      <c r="G19" s="2649"/>
      <c r="H19" s="2649"/>
      <c r="I19" s="2649"/>
      <c r="J19" s="2649"/>
      <c r="K19" s="2649"/>
      <c r="L19" s="2649"/>
      <c r="M19" s="2649"/>
      <c r="N19" s="2649"/>
      <c r="O19" s="2649"/>
      <c r="P19" s="2649"/>
      <c r="Q19" s="2649"/>
      <c r="R19" s="2649"/>
      <c r="S19" s="2649"/>
      <c r="T19" s="2649"/>
      <c r="U19" s="2649"/>
      <c r="V19" s="2649"/>
      <c r="W19" s="2649"/>
      <c r="X19" s="2649"/>
      <c r="Y19" s="2649"/>
      <c r="Z19" s="2649"/>
      <c r="AA19" s="2649"/>
      <c r="AB19" s="2649"/>
      <c r="AC19" s="2649"/>
      <c r="AD19" s="2649"/>
      <c r="AE19" s="2649"/>
      <c r="AF19" s="2649"/>
      <c r="AG19" s="2647"/>
      <c r="AH19" s="2647"/>
      <c r="AI19" s="2647"/>
      <c r="AJ19" s="2647"/>
      <c r="AK19" s="2647"/>
      <c r="AL19" s="2647"/>
      <c r="AM19" s="2647"/>
      <c r="AN19" s="2647"/>
      <c r="AO19" s="2647"/>
      <c r="AP19" s="2647"/>
      <c r="AQ19" s="2647"/>
      <c r="AR19" s="2647"/>
    </row>
    <row r="20" spans="1:67" ht="14.25">
      <c r="A20" s="1723" t="s">
        <v>1211</v>
      </c>
      <c r="B20" s="104">
        <v>2</v>
      </c>
      <c r="C20" s="2776" t="s">
        <v>2280</v>
      </c>
      <c r="D20" s="2652"/>
      <c r="E20" s="2649"/>
      <c r="F20" s="2649"/>
      <c r="G20" s="2649"/>
      <c r="H20" s="2649"/>
      <c r="I20" s="2649"/>
      <c r="J20" s="2649"/>
      <c r="K20" s="2649"/>
      <c r="L20" s="2649"/>
      <c r="M20" s="2649"/>
      <c r="N20" s="2649"/>
      <c r="O20" s="2649"/>
      <c r="P20" s="2649"/>
      <c r="Q20" s="2649"/>
      <c r="R20" s="2649"/>
      <c r="S20" s="2649"/>
      <c r="T20" s="2649"/>
      <c r="U20" s="2649"/>
      <c r="V20" s="2649"/>
      <c r="W20" s="2649"/>
      <c r="X20" s="2649"/>
      <c r="Y20" s="2649"/>
      <c r="Z20" s="2649"/>
      <c r="AA20" s="2649"/>
      <c r="AB20" s="2649"/>
      <c r="AC20" s="2649"/>
      <c r="AD20" s="2649"/>
      <c r="AE20" s="2649"/>
      <c r="AF20" s="2649"/>
      <c r="AG20" s="2647"/>
      <c r="AH20" s="2647"/>
      <c r="AI20" s="2647"/>
      <c r="AJ20" s="2647"/>
      <c r="AK20" s="2647"/>
      <c r="AL20" s="2647"/>
      <c r="AM20" s="2647"/>
      <c r="AN20" s="2647"/>
      <c r="AO20" s="2647"/>
      <c r="AP20" s="2647"/>
      <c r="AQ20" s="2647"/>
      <c r="AR20" s="2647"/>
    </row>
    <row r="21" spans="1:67" ht="14.25">
      <c r="A21" s="1724" t="s">
        <v>1212</v>
      </c>
      <c r="B21" s="104">
        <f>B20</f>
        <v>2</v>
      </c>
      <c r="C21" s="2649"/>
      <c r="D21" s="2652"/>
      <c r="E21" s="2649"/>
      <c r="F21" s="2649"/>
      <c r="G21" s="2649"/>
      <c r="H21" s="2649"/>
      <c r="I21" s="2649"/>
      <c r="J21" s="2649"/>
      <c r="K21" s="2649"/>
      <c r="L21" s="2649"/>
      <c r="M21" s="2649"/>
      <c r="N21" s="2649"/>
      <c r="O21" s="2649"/>
      <c r="P21" s="2649"/>
      <c r="Q21" s="2649"/>
      <c r="R21" s="2649"/>
      <c r="S21" s="2649"/>
      <c r="T21" s="2649"/>
      <c r="U21" s="2649"/>
      <c r="V21" s="2649"/>
      <c r="W21" s="2649"/>
      <c r="X21" s="2649"/>
      <c r="Y21" s="2649"/>
      <c r="Z21" s="2649"/>
      <c r="AA21" s="2649"/>
      <c r="AB21" s="2649"/>
      <c r="AC21" s="2649"/>
      <c r="AD21" s="2649"/>
      <c r="AE21" s="2649"/>
      <c r="AF21" s="2649"/>
      <c r="AG21" s="2647"/>
      <c r="AH21" s="2647"/>
      <c r="AI21" s="2647"/>
      <c r="AJ21" s="2647"/>
      <c r="AK21" s="2647"/>
      <c r="AL21" s="2647"/>
      <c r="AM21" s="2647"/>
      <c r="AN21" s="2647"/>
      <c r="AO21" s="2647"/>
      <c r="AP21" s="2647"/>
      <c r="AQ21" s="2647"/>
      <c r="AR21" s="2647"/>
    </row>
    <row r="22" spans="1:67" ht="14.25">
      <c r="A22" s="1723" t="s">
        <v>1213</v>
      </c>
      <c r="B22" s="105">
        <f>B19+B20</f>
        <v>2</v>
      </c>
      <c r="C22" s="2649"/>
      <c r="D22" s="2652"/>
      <c r="E22" s="2649"/>
      <c r="F22" s="2649"/>
      <c r="G22" s="2649"/>
      <c r="H22" s="2649"/>
      <c r="I22" s="2649"/>
      <c r="J22" s="2649"/>
      <c r="K22" s="2649"/>
      <c r="L22" s="2649"/>
      <c r="M22" s="2649"/>
      <c r="N22" s="2649"/>
      <c r="O22" s="2649"/>
      <c r="P22" s="2649"/>
      <c r="Q22" s="2649"/>
      <c r="R22" s="2649"/>
      <c r="S22" s="2649"/>
      <c r="T22" s="2649"/>
      <c r="U22" s="2649"/>
      <c r="V22" s="2649"/>
      <c r="W22" s="2649"/>
      <c r="X22" s="2649"/>
      <c r="Y22" s="2649"/>
      <c r="Z22" s="2649"/>
      <c r="AA22" s="2649"/>
      <c r="AB22" s="2649"/>
      <c r="AC22" s="2649"/>
      <c r="AD22" s="2649"/>
      <c r="AE22" s="2649"/>
      <c r="AF22" s="2649"/>
      <c r="AG22" s="2647"/>
      <c r="AH22" s="2647"/>
      <c r="AI22" s="2647"/>
      <c r="AJ22" s="2647"/>
      <c r="AK22" s="2647"/>
      <c r="AL22" s="2647"/>
      <c r="AM22" s="2647"/>
      <c r="AN22" s="2647"/>
      <c r="AO22" s="2647"/>
      <c r="AP22" s="2647"/>
      <c r="AQ22" s="2647"/>
      <c r="AR22" s="2647"/>
    </row>
    <row r="23" spans="1:67" ht="14.25">
      <c r="A23" s="1724" t="s">
        <v>1214</v>
      </c>
      <c r="B23" s="105">
        <f>B19+B21</f>
        <v>2</v>
      </c>
      <c r="C23" s="2649"/>
      <c r="D23" s="2652"/>
      <c r="E23" s="2649"/>
      <c r="F23" s="2649"/>
      <c r="G23" s="2649"/>
      <c r="H23" s="2649"/>
      <c r="I23" s="2649"/>
      <c r="J23" s="2649"/>
      <c r="K23" s="2649"/>
      <c r="L23" s="2649"/>
      <c r="M23" s="2649"/>
      <c r="N23" s="2649"/>
      <c r="O23" s="2649"/>
      <c r="P23" s="2649"/>
      <c r="Q23" s="2649"/>
      <c r="R23" s="2649"/>
      <c r="S23" s="2649"/>
      <c r="T23" s="2649"/>
      <c r="U23" s="2649"/>
      <c r="V23" s="2649"/>
      <c r="W23" s="2649"/>
      <c r="X23" s="2649"/>
      <c r="Y23" s="2649"/>
      <c r="Z23" s="2649"/>
      <c r="AA23" s="2649"/>
      <c r="AB23" s="2649"/>
      <c r="AC23" s="2649"/>
      <c r="AD23" s="2649"/>
      <c r="AE23" s="2649"/>
      <c r="AF23" s="2649"/>
      <c r="AG23" s="2647"/>
      <c r="AH23" s="2647"/>
      <c r="AI23" s="2647"/>
      <c r="AJ23" s="2647"/>
      <c r="AK23" s="2647"/>
      <c r="AL23" s="2647"/>
      <c r="AM23" s="2647"/>
      <c r="AN23" s="2647"/>
      <c r="AO23" s="2647"/>
      <c r="AP23" s="2647"/>
      <c r="AQ23" s="2647"/>
      <c r="AR23" s="2647"/>
    </row>
    <row r="24" spans="1:67" ht="15" thickBot="1">
      <c r="A24" s="1725" t="s">
        <v>1215</v>
      </c>
      <c r="B24" s="106">
        <f>B20-B21</f>
        <v>0</v>
      </c>
      <c r="C24" s="2649"/>
      <c r="D24" s="2652"/>
      <c r="E24" s="2649"/>
      <c r="F24" s="2649"/>
      <c r="G24" s="2649"/>
      <c r="H24" s="2649"/>
      <c r="I24" s="2649"/>
      <c r="J24" s="2649"/>
      <c r="K24" s="2649"/>
      <c r="L24" s="2649"/>
      <c r="M24" s="2649"/>
      <c r="N24" s="2649"/>
      <c r="O24" s="2649"/>
      <c r="P24" s="2649"/>
      <c r="Q24" s="2649"/>
      <c r="R24" s="2649"/>
      <c r="S24" s="2649"/>
      <c r="T24" s="2649"/>
      <c r="U24" s="2649"/>
      <c r="V24" s="2649"/>
      <c r="W24" s="2649"/>
      <c r="X24" s="2649"/>
      <c r="Y24" s="2649"/>
      <c r="Z24" s="2649"/>
      <c r="AA24" s="2649"/>
      <c r="AB24" s="2649"/>
      <c r="AC24" s="2649"/>
      <c r="AD24" s="2649"/>
      <c r="AE24" s="2649"/>
      <c r="AF24" s="2649"/>
      <c r="AG24" s="2647"/>
      <c r="AH24" s="2647"/>
      <c r="AI24" s="2647"/>
      <c r="AJ24" s="2647"/>
      <c r="AK24" s="2647"/>
      <c r="AL24" s="2647"/>
      <c r="AM24" s="2647"/>
      <c r="AN24" s="2647"/>
      <c r="AO24" s="2647"/>
      <c r="AP24" s="2647"/>
      <c r="AQ24" s="2647"/>
      <c r="AR24" s="2647"/>
    </row>
    <row r="25" spans="1:67" ht="15" thickBot="1">
      <c r="A25" s="1557"/>
      <c r="B25" s="1687"/>
      <c r="C25" s="2649"/>
      <c r="D25" s="2652"/>
      <c r="E25" s="2649"/>
      <c r="F25" s="2649"/>
      <c r="G25" s="2649"/>
      <c r="H25" s="2649"/>
      <c r="I25" s="2649"/>
      <c r="J25" s="2649"/>
      <c r="K25" s="2649"/>
      <c r="L25" s="2649"/>
      <c r="M25" s="2649"/>
      <c r="N25" s="2649"/>
      <c r="O25" s="2649"/>
      <c r="P25" s="2649"/>
      <c r="Q25" s="2649"/>
      <c r="R25" s="2649"/>
      <c r="S25" s="2649"/>
      <c r="T25" s="2649"/>
      <c r="U25" s="2649"/>
      <c r="V25" s="2649"/>
      <c r="W25" s="2649"/>
      <c r="X25" s="2649"/>
      <c r="Y25" s="2649"/>
      <c r="Z25" s="2649"/>
      <c r="AA25" s="2649"/>
      <c r="AB25" s="2649"/>
      <c r="AC25" s="2649"/>
      <c r="AD25" s="2649"/>
      <c r="AE25" s="2649"/>
      <c r="AF25" s="2649"/>
      <c r="AG25" s="2647"/>
      <c r="AH25" s="2647"/>
      <c r="AI25" s="2647"/>
      <c r="AJ25" s="2647"/>
      <c r="AK25" s="2647"/>
      <c r="AL25" s="2647"/>
      <c r="AM25" s="2647"/>
      <c r="AN25" s="2647"/>
      <c r="AO25" s="2647"/>
      <c r="AP25" s="2647"/>
      <c r="AQ25" s="2647"/>
      <c r="AR25" s="2647"/>
    </row>
    <row r="26" spans="1:67" ht="15" thickBot="1">
      <c r="A26" s="1683" t="s">
        <v>1216</v>
      </c>
      <c r="B26" s="1726" t="s">
        <v>1217</v>
      </c>
      <c r="C26" s="2653" t="s">
        <v>1218</v>
      </c>
      <c r="D26" s="2652"/>
      <c r="E26" s="2649"/>
      <c r="F26" s="2649"/>
      <c r="G26" s="2649"/>
      <c r="H26" s="2649"/>
      <c r="I26" s="2649"/>
      <c r="J26" s="2649"/>
      <c r="K26" s="2649"/>
      <c r="L26" s="2649"/>
      <c r="M26" s="2649"/>
      <c r="N26" s="2649"/>
      <c r="O26" s="2649"/>
      <c r="P26" s="2649"/>
      <c r="Q26" s="2649"/>
      <c r="R26" s="2649"/>
      <c r="S26" s="2649"/>
      <c r="T26" s="2649"/>
      <c r="U26" s="2649"/>
      <c r="V26" s="2649"/>
      <c r="W26" s="2649"/>
      <c r="X26" s="2649"/>
      <c r="Y26" s="2649"/>
      <c r="Z26" s="2649"/>
      <c r="AA26" s="2649"/>
      <c r="AB26" s="2649"/>
      <c r="AC26" s="2649"/>
      <c r="AD26" s="2649"/>
      <c r="AE26" s="2649"/>
      <c r="AF26" s="2649"/>
      <c r="AG26" s="2647"/>
      <c r="AH26" s="2647"/>
      <c r="AI26" s="2647"/>
      <c r="AJ26" s="2647"/>
      <c r="AK26" s="2647"/>
      <c r="AL26" s="2647"/>
      <c r="AM26" s="2647"/>
      <c r="AN26" s="2647"/>
      <c r="AO26" s="2647"/>
      <c r="AP26" s="2647"/>
      <c r="AQ26" s="2647"/>
      <c r="AR26" s="2647"/>
    </row>
    <row r="27" spans="1:67" s="1728" customFormat="1" ht="27.75">
      <c r="A27" s="1727" t="s">
        <v>1219</v>
      </c>
      <c r="B27" s="107"/>
      <c r="C27" s="2777" t="s">
        <v>2284</v>
      </c>
      <c r="D27" s="2655"/>
      <c r="E27" s="2638"/>
      <c r="F27" s="2638"/>
      <c r="G27" s="2649"/>
      <c r="H27" s="2649"/>
      <c r="I27" s="2649"/>
      <c r="J27" s="2649"/>
      <c r="K27" s="2649"/>
      <c r="L27" s="2649"/>
      <c r="M27" s="2649"/>
      <c r="N27" s="2649"/>
      <c r="O27" s="2649"/>
      <c r="P27" s="2649"/>
      <c r="Q27" s="2649"/>
      <c r="R27" s="2649"/>
      <c r="S27" s="2649"/>
      <c r="T27" s="2649"/>
      <c r="U27" s="2649"/>
      <c r="V27" s="2649"/>
      <c r="W27" s="2649"/>
      <c r="X27" s="2649"/>
      <c r="Y27" s="2649"/>
      <c r="Z27" s="2649"/>
      <c r="AA27" s="2649"/>
      <c r="AB27" s="2649"/>
      <c r="AC27" s="2649"/>
      <c r="AD27" s="2649"/>
      <c r="AE27" s="2649"/>
      <c r="AF27" s="2649"/>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6"/>
      <c r="D28" s="2655"/>
      <c r="E28" s="2638"/>
      <c r="F28" s="2638"/>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642</v>
      </c>
      <c r="C29" s="2778" t="s">
        <v>2271</v>
      </c>
      <c r="D29" s="2655"/>
      <c r="E29" s="2638"/>
      <c r="F29" s="2638"/>
      <c r="G29" s="2649"/>
      <c r="H29" s="2649"/>
      <c r="I29" s="2649"/>
      <c r="J29" s="2649"/>
      <c r="K29" s="2649"/>
      <c r="L29" s="2649"/>
      <c r="M29" s="2649"/>
      <c r="N29" s="2649"/>
      <c r="O29" s="2649"/>
      <c r="P29" s="2649"/>
      <c r="Q29" s="2649"/>
      <c r="R29" s="2649"/>
      <c r="S29" s="2649"/>
      <c r="T29" s="2649"/>
      <c r="U29" s="2649"/>
      <c r="V29" s="2649"/>
      <c r="W29" s="2649"/>
      <c r="X29" s="2649"/>
      <c r="Y29" s="2649"/>
      <c r="Z29" s="2649"/>
      <c r="AA29" s="2649"/>
      <c r="AB29" s="2649"/>
      <c r="AC29" s="2649"/>
      <c r="AD29" s="2649"/>
      <c r="AE29" s="2649"/>
      <c r="AF29" s="2649"/>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180</v>
      </c>
      <c r="C30" s="2656"/>
      <c r="D30" s="2655"/>
      <c r="E30" s="2638"/>
      <c r="F30" s="2638"/>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180</v>
      </c>
      <c r="C31" s="2654"/>
      <c r="D31" s="2655"/>
      <c r="E31" s="2638"/>
      <c r="F31" s="2638"/>
      <c r="G31" s="2649"/>
      <c r="H31" s="2649"/>
      <c r="I31" s="2649"/>
      <c r="J31" s="2649"/>
      <c r="K31" s="2649"/>
      <c r="L31" s="2649"/>
      <c r="M31" s="2649"/>
      <c r="N31" s="2649"/>
      <c r="O31" s="2649"/>
      <c r="P31" s="2649"/>
      <c r="Q31" s="2649"/>
      <c r="R31" s="2649"/>
      <c r="S31" s="2649"/>
      <c r="T31" s="2649"/>
      <c r="U31" s="2649"/>
      <c r="V31" s="2649"/>
      <c r="W31" s="2649"/>
      <c r="X31" s="2649"/>
      <c r="Y31" s="2649"/>
      <c r="Z31" s="2649"/>
      <c r="AA31" s="2649"/>
      <c r="AB31" s="2649"/>
      <c r="AC31" s="2649"/>
      <c r="AD31" s="2649"/>
      <c r="AE31" s="2649"/>
      <c r="AF31" s="2649"/>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6"/>
      <c r="D32" s="2652"/>
      <c r="E32" s="2649"/>
      <c r="F32" s="2649"/>
      <c r="G32" s="2649"/>
      <c r="H32" s="2649"/>
      <c r="I32" s="2649"/>
      <c r="J32" s="2649"/>
      <c r="K32" s="2649"/>
      <c r="L32" s="2649"/>
      <c r="M32" s="2649"/>
      <c r="N32" s="2649"/>
      <c r="O32" s="2649"/>
      <c r="P32" s="2649"/>
      <c r="Q32" s="2649"/>
      <c r="R32" s="2649"/>
      <c r="S32" s="2649"/>
      <c r="T32" s="2649"/>
      <c r="U32" s="2649"/>
      <c r="V32" s="2649"/>
      <c r="W32" s="2649"/>
      <c r="X32" s="2649"/>
      <c r="Y32" s="2649"/>
      <c r="Z32" s="2649"/>
      <c r="AA32" s="2649"/>
      <c r="AB32" s="2649"/>
      <c r="AC32" s="2649"/>
      <c r="AD32" s="2649"/>
      <c r="AE32" s="2649"/>
      <c r="AF32" s="2649"/>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9" t="s">
        <v>2272</v>
      </c>
      <c r="D33" s="2652"/>
      <c r="E33" s="2649"/>
      <c r="F33" s="2649"/>
      <c r="G33" s="2649"/>
      <c r="H33" s="2649"/>
      <c r="I33" s="2649"/>
      <c r="J33" s="2649"/>
      <c r="K33" s="2649"/>
      <c r="L33" s="2649"/>
      <c r="M33" s="2649"/>
      <c r="N33" s="2649"/>
      <c r="O33" s="2649"/>
      <c r="P33" s="2649"/>
      <c r="Q33" s="2649"/>
      <c r="R33" s="2649"/>
      <c r="S33" s="2649"/>
      <c r="T33" s="2649"/>
      <c r="U33" s="2649"/>
      <c r="V33" s="2649"/>
      <c r="W33" s="2649"/>
      <c r="X33" s="2649"/>
      <c r="Y33" s="2649"/>
      <c r="Z33" s="2649"/>
      <c r="AA33" s="2649"/>
      <c r="AB33" s="2649"/>
      <c r="AC33" s="2649"/>
      <c r="AD33" s="2649"/>
      <c r="AE33" s="2649"/>
      <c r="AF33" s="2649"/>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9" t="s">
        <v>2273</v>
      </c>
      <c r="D34" s="2660" t="s">
        <v>2281</v>
      </c>
      <c r="E34" s="2658"/>
      <c r="F34" s="2649"/>
      <c r="G34" s="2649"/>
      <c r="H34" s="2649"/>
      <c r="I34" s="2649"/>
      <c r="J34" s="2649"/>
      <c r="K34" s="2649"/>
      <c r="L34" s="2649"/>
      <c r="M34" s="2649"/>
      <c r="N34" s="2649"/>
      <c r="O34" s="2649"/>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180</v>
      </c>
      <c r="C35" s="2779" t="s">
        <v>2274</v>
      </c>
      <c r="D35" s="2655"/>
      <c r="E35" s="2638"/>
      <c r="F35" s="2638"/>
      <c r="G35" s="2649"/>
      <c r="H35" s="2649"/>
      <c r="I35" s="2649"/>
      <c r="J35" s="2649"/>
      <c r="K35" s="2649"/>
      <c r="L35" s="2649"/>
      <c r="M35" s="2649"/>
      <c r="N35" s="2649"/>
      <c r="O35" s="2649"/>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0.02</v>
      </c>
      <c r="C36" s="2779" t="s">
        <v>2275</v>
      </c>
      <c r="D36" s="2652"/>
      <c r="E36" s="2649"/>
      <c r="F36" s="2649"/>
      <c r="G36" s="2649"/>
      <c r="H36" s="2649"/>
      <c r="I36" s="2649"/>
      <c r="J36" s="2649"/>
      <c r="K36" s="2649"/>
      <c r="L36" s="2649"/>
      <c r="M36" s="2649"/>
      <c r="N36" s="2649"/>
      <c r="O36" s="2649"/>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1" t="s">
        <v>1229</v>
      </c>
      <c r="B37" s="115">
        <v>0.02</v>
      </c>
      <c r="C37" s="2779" t="s">
        <v>2276</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9" t="s">
        <v>1230</v>
      </c>
      <c r="B38" s="113">
        <v>0.02</v>
      </c>
      <c r="C38" s="2779" t="s">
        <v>2276</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2"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15" thickBot="1">
      <c r="A40" s="2791" t="s">
        <v>2291</v>
      </c>
      <c r="B40" s="1078">
        <f ca="1">IF(A40="利息：取LPR",存贷款利率!G1,存贷款利率!G1+C40)</f>
        <v>3.4500000000000003E-2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7" t="s">
        <v>1232</v>
      </c>
      <c r="B41" s="116">
        <f>B42+B43</f>
        <v>5.6000000000000001E-2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3"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3" t="s">
        <v>1234</v>
      </c>
      <c r="B43" s="118">
        <f>B42*(B44+B45+B46)+B47</f>
        <v>6.000000000000001E-3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4" t="s">
        <v>1235</v>
      </c>
      <c r="B44" s="119">
        <v>7.0000000000000007E-2</v>
      </c>
      <c r="C44" s="2779" t="s">
        <v>2285</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4" t="s">
        <v>1236</v>
      </c>
      <c r="B45" s="117">
        <v>0.03</v>
      </c>
      <c r="C45" s="2778" t="s">
        <v>2277</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4" t="s">
        <v>1237</v>
      </c>
      <c r="B46" s="117">
        <v>0.02</v>
      </c>
      <c r="C46" s="2778" t="s">
        <v>2278</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5" t="s">
        <v>1238</v>
      </c>
      <c r="B47" s="120">
        <v>0</v>
      </c>
      <c r="C47" s="2781" t="s">
        <v>2286</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6" t="s">
        <v>1239</v>
      </c>
      <c r="B48" s="121">
        <v>0.03</v>
      </c>
      <c r="C48" s="2778" t="s">
        <v>2277</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2" t="s">
        <v>1240</v>
      </c>
      <c r="B49" s="117">
        <v>5.0000000000000001E-4</v>
      </c>
      <c r="C49" s="2778" t="s">
        <v>2279</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7" t="s">
        <v>1241</v>
      </c>
      <c r="B50" s="122">
        <v>1.2E-2</v>
      </c>
      <c r="C50" s="2638"/>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30" t="s">
        <v>1242</v>
      </c>
      <c r="B51" s="123">
        <v>0.12</v>
      </c>
      <c r="C51" s="2638"/>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7" t="s">
        <v>1243</v>
      </c>
      <c r="B52" s="124">
        <f>SUMIF(A54:A63,B53,B54:B63)</f>
        <v>18</v>
      </c>
      <c r="C52" s="2638"/>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9" t="s">
        <v>1244</v>
      </c>
      <c r="B53" s="1738" t="s">
        <v>296</v>
      </c>
      <c r="C53" s="2638" t="s">
        <v>1245</v>
      </c>
      <c r="D53" s="2780" t="s">
        <v>2283</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9" t="s">
        <v>1246</v>
      </c>
      <c r="B54" s="75"/>
      <c r="C54" s="2638">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9" t="s">
        <v>1247</v>
      </c>
      <c r="B55" s="75">
        <f>C55</f>
        <v>24</v>
      </c>
      <c r="C55" s="2638">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9" t="s">
        <v>1248</v>
      </c>
      <c r="B56" s="75">
        <v>18</v>
      </c>
      <c r="C56" s="2638">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9" t="s">
        <v>1249</v>
      </c>
      <c r="B57" s="75">
        <f>C57</f>
        <v>12</v>
      </c>
      <c r="C57" s="2638">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9" t="s">
        <v>1250</v>
      </c>
      <c r="B58" s="75"/>
      <c r="C58" s="2638">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9" t="s">
        <v>1251</v>
      </c>
      <c r="B59" s="75"/>
      <c r="C59" s="2638">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9"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9"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9"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40"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1"/>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1"/>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1"/>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1"/>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1"/>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O39" sqref="O39"/>
      <selection pane="topRight" activeCell="O39" sqref="O39"/>
      <selection pane="bottomLeft" activeCell="O39" sqref="O39"/>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668" t="s">
        <v>2263</v>
      </c>
      <c r="B1" s="3669"/>
      <c r="C1" s="3669"/>
      <c r="D1" s="3669"/>
      <c r="E1" s="3669"/>
      <c r="F1" s="3669"/>
      <c r="G1" s="366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2259</v>
      </c>
      <c r="D2" s="2459"/>
      <c r="E2" s="2456"/>
      <c r="F2" s="2460"/>
      <c r="G2" s="2458" t="s">
        <v>2260</v>
      </c>
      <c r="H2" s="799"/>
      <c r="I2" s="799"/>
      <c r="J2" s="799"/>
      <c r="K2" s="799"/>
      <c r="L2" s="799"/>
      <c r="M2" s="799"/>
      <c r="N2" s="799"/>
      <c r="O2" s="799"/>
      <c r="P2" s="799"/>
      <c r="Q2" s="799"/>
      <c r="R2" s="799"/>
    </row>
    <row r="3" spans="1:29" ht="25.5">
      <c r="A3" s="2439" t="s">
        <v>2261</v>
      </c>
      <c r="B3" s="2461" t="s">
        <v>2233</v>
      </c>
      <c r="C3" s="3440" t="s">
        <v>3397</v>
      </c>
      <c r="D3" s="2462"/>
      <c r="E3" s="2440" t="s">
        <v>2261</v>
      </c>
      <c r="F3" s="2463" t="s">
        <v>2234</v>
      </c>
      <c r="G3" s="2464" t="s">
        <v>2262</v>
      </c>
      <c r="H3" s="799"/>
      <c r="I3" s="799"/>
      <c r="J3" s="799"/>
      <c r="K3" s="799"/>
      <c r="L3" s="799"/>
      <c r="M3" s="799"/>
      <c r="N3" s="799"/>
      <c r="O3" s="799"/>
      <c r="P3" s="799"/>
      <c r="Q3" s="799"/>
      <c r="R3" s="799"/>
    </row>
    <row r="4" spans="1:29" ht="36">
      <c r="A4" s="2440"/>
      <c r="B4" s="323" t="s">
        <v>2235</v>
      </c>
      <c r="C4" s="3441" t="s">
        <v>3398</v>
      </c>
      <c r="D4" s="2462"/>
      <c r="E4" s="2465"/>
      <c r="F4" s="1373" t="s">
        <v>2236</v>
      </c>
      <c r="G4" s="2466" t="s">
        <v>2237</v>
      </c>
      <c r="H4" s="799"/>
      <c r="I4" s="799"/>
      <c r="J4" s="799"/>
      <c r="K4" s="799"/>
      <c r="L4" s="799"/>
      <c r="M4" s="799"/>
      <c r="N4" s="799"/>
      <c r="O4" s="799"/>
      <c r="P4" s="799"/>
      <c r="Q4" s="799"/>
      <c r="R4" s="799"/>
    </row>
    <row r="5" spans="1:29" ht="24">
      <c r="A5" s="2440"/>
      <c r="B5" s="323" t="s">
        <v>2238</v>
      </c>
      <c r="C5" s="3441" t="s">
        <v>3398</v>
      </c>
      <c r="D5" s="2462"/>
      <c r="E5" s="2465"/>
      <c r="F5" s="323" t="s">
        <v>2239</v>
      </c>
      <c r="G5" s="2466" t="s">
        <v>2240</v>
      </c>
      <c r="H5" s="799"/>
      <c r="I5" s="799"/>
      <c r="J5" s="799"/>
      <c r="K5" s="799"/>
      <c r="L5" s="799"/>
      <c r="M5" s="799"/>
      <c r="N5" s="799"/>
      <c r="O5" s="799"/>
      <c r="P5" s="799"/>
      <c r="Q5" s="799"/>
      <c r="R5" s="799"/>
    </row>
    <row r="6" spans="1:29">
      <c r="A6" s="2440"/>
      <c r="B6" s="323" t="s">
        <v>2241</v>
      </c>
      <c r="C6" s="3441" t="s">
        <v>3398</v>
      </c>
      <c r="D6" s="2462"/>
      <c r="E6" s="2465"/>
      <c r="F6" s="323" t="s">
        <v>2242</v>
      </c>
      <c r="G6" s="2466" t="s">
        <v>2243</v>
      </c>
      <c r="H6" s="799"/>
      <c r="I6" s="799"/>
      <c r="J6" s="799"/>
      <c r="K6" s="799"/>
      <c r="L6" s="799"/>
      <c r="M6" s="799"/>
      <c r="N6" s="799"/>
      <c r="O6" s="799"/>
      <c r="P6" s="799"/>
      <c r="Q6" s="799"/>
      <c r="R6" s="799"/>
    </row>
    <row r="7" spans="1:29" ht="24.75" thickBot="1">
      <c r="A7" s="2440"/>
      <c r="B7" s="323" t="s">
        <v>2239</v>
      </c>
      <c r="C7" s="3441" t="s">
        <v>3398</v>
      </c>
      <c r="D7" s="2467"/>
      <c r="E7" s="2468"/>
      <c r="F7" s="2469" t="s">
        <v>2244</v>
      </c>
      <c r="G7" s="2470" t="s">
        <v>2245</v>
      </c>
      <c r="H7" s="799"/>
      <c r="I7" s="799"/>
      <c r="J7" s="799"/>
      <c r="K7" s="799"/>
      <c r="L7" s="799"/>
      <c r="M7" s="799"/>
      <c r="N7" s="799"/>
      <c r="O7" s="799"/>
      <c r="P7" s="799"/>
      <c r="Q7" s="799"/>
      <c r="R7" s="799"/>
    </row>
    <row r="8" spans="1:29">
      <c r="A8" s="2440"/>
      <c r="B8" s="323" t="s">
        <v>2242</v>
      </c>
      <c r="C8" s="3442" t="s">
        <v>3401</v>
      </c>
      <c r="D8" s="2467"/>
      <c r="E8" s="2467"/>
      <c r="F8" s="2471"/>
      <c r="G8" s="2471"/>
      <c r="H8" s="799"/>
      <c r="I8" s="799"/>
      <c r="J8" s="799"/>
      <c r="K8" s="799"/>
      <c r="L8" s="799"/>
      <c r="M8" s="799"/>
      <c r="N8" s="799"/>
      <c r="O8" s="799"/>
      <c r="P8" s="799"/>
      <c r="Q8" s="799"/>
      <c r="R8" s="799"/>
    </row>
    <row r="9" spans="1:29">
      <c r="A9" s="2440"/>
      <c r="B9" s="323" t="s">
        <v>2246</v>
      </c>
      <c r="C9" s="3441" t="s">
        <v>3399</v>
      </c>
      <c r="D9" s="2462"/>
      <c r="E9" s="2467"/>
      <c r="F9" s="2471"/>
      <c r="G9" s="2471"/>
      <c r="H9" s="799"/>
      <c r="I9" s="799"/>
      <c r="J9" s="799"/>
      <c r="K9" s="799"/>
      <c r="L9" s="799"/>
      <c r="M9" s="799"/>
      <c r="N9" s="799"/>
      <c r="O9" s="799"/>
      <c r="P9" s="799"/>
      <c r="Q9" s="799"/>
      <c r="R9" s="799"/>
    </row>
    <row r="10" spans="1:29" s="2477" customFormat="1" ht="15" thickBot="1">
      <c r="A10" s="2441"/>
      <c r="B10" s="2472" t="s">
        <v>2247</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2264</v>
      </c>
      <c r="B13" s="2480"/>
      <c r="C13" s="2480"/>
      <c r="D13" s="2478"/>
      <c r="E13" s="2480"/>
      <c r="F13" s="2480"/>
      <c r="G13" s="2480"/>
    </row>
    <row r="14" spans="1:29" ht="15" thickBot="1">
      <c r="A14" s="2490"/>
      <c r="B14" s="2490"/>
      <c r="C14" s="2491" t="s">
        <v>2248</v>
      </c>
      <c r="D14" s="2462"/>
      <c r="E14" s="2492"/>
      <c r="F14" s="2492"/>
      <c r="G14" s="2458" t="s">
        <v>2249</v>
      </c>
    </row>
    <row r="15" spans="1:29" ht="25.5">
      <c r="A15" s="2442" t="s">
        <v>2250</v>
      </c>
      <c r="B15" s="2493" t="s">
        <v>2233</v>
      </c>
      <c r="C15" s="2494" t="str">
        <f>C3</f>
        <v>较好</v>
      </c>
      <c r="D15" s="2462"/>
      <c r="E15" s="2443" t="s">
        <v>2251</v>
      </c>
      <c r="F15" s="2493" t="s">
        <v>2252</v>
      </c>
      <c r="G15" s="2495" t="str">
        <f>G3</f>
        <v>估价对象位于XX开发区，园区建设成熟度XX，产业集聚程度XX</v>
      </c>
    </row>
    <row r="16" spans="1:29" ht="38.25">
      <c r="A16" s="2444"/>
      <c r="B16" s="2496" t="s">
        <v>2235</v>
      </c>
      <c r="C16" s="2497" t="str">
        <f>C4</f>
        <v>较好</v>
      </c>
      <c r="D16" s="2462"/>
      <c r="E16" s="2445"/>
      <c r="F16" s="2498" t="s">
        <v>2236</v>
      </c>
      <c r="G16" s="2499" t="str">
        <f>G4</f>
        <v>估价对象周边道路状况、公共交通通达情况、停车便捷程度，综合评价交通便捷度较好</v>
      </c>
    </row>
    <row r="17" spans="1:18">
      <c r="A17" s="2444"/>
      <c r="B17" s="2496" t="s">
        <v>2238</v>
      </c>
      <c r="C17" s="2497" t="str">
        <f>C5</f>
        <v>较好</v>
      </c>
      <c r="D17" s="2467"/>
      <c r="E17" s="2445"/>
      <c r="F17" s="2498" t="s">
        <v>2253</v>
      </c>
      <c r="G17" s="2500"/>
    </row>
    <row r="18" spans="1:18" ht="25.5">
      <c r="A18" s="2444"/>
      <c r="B18" s="2498" t="s">
        <v>2241</v>
      </c>
      <c r="C18" s="2499" t="str">
        <f>C6</f>
        <v>较好</v>
      </c>
      <c r="D18" s="2467"/>
      <c r="E18" s="2445"/>
      <c r="F18" s="2498" t="s">
        <v>2244</v>
      </c>
      <c r="G18" s="2499" t="str">
        <f>G7</f>
        <v>该园区内是否有污染型企业，绿化情况，卫生条件，整体环境状况判断</v>
      </c>
    </row>
    <row r="19" spans="1:18" ht="25.5">
      <c r="A19" s="2444"/>
      <c r="B19" s="2498" t="s">
        <v>2254</v>
      </c>
      <c r="C19" s="2500"/>
      <c r="D19" s="2462"/>
      <c r="E19" s="2445"/>
      <c r="F19" s="323" t="s">
        <v>2239</v>
      </c>
      <c r="G19" s="2499" t="str">
        <f>G5</f>
        <v>估价对象所在区域公共配套设施齐备情况</v>
      </c>
    </row>
    <row r="20" spans="1:18">
      <c r="A20" s="2444"/>
      <c r="B20" s="2498" t="s">
        <v>2255</v>
      </c>
      <c r="C20" s="2497" t="str">
        <f>C9</f>
        <v>较好</v>
      </c>
      <c r="D20" s="2467"/>
      <c r="E20" s="2445"/>
      <c r="F20" s="323" t="s">
        <v>2242</v>
      </c>
      <c r="G20" s="2499" t="str">
        <f>G6</f>
        <v>估价对象所在区域基础设施水平</v>
      </c>
    </row>
    <row r="21" spans="1:18">
      <c r="A21" s="2444"/>
      <c r="B21" s="323" t="s">
        <v>2239</v>
      </c>
      <c r="C21" s="2499" t="str">
        <f>C7</f>
        <v>较好</v>
      </c>
      <c r="D21" s="2462"/>
      <c r="E21" s="2445"/>
      <c r="F21" s="2498" t="s">
        <v>2256</v>
      </c>
      <c r="G21" s="2501"/>
    </row>
    <row r="22" spans="1:18" ht="13.5" customHeight="1">
      <c r="A22" s="2444"/>
      <c r="B22" s="323" t="s">
        <v>2242</v>
      </c>
      <c r="C22" s="2499" t="str">
        <f>C8</f>
        <v>七通</v>
      </c>
      <c r="D22" s="2462"/>
      <c r="E22" s="2445"/>
      <c r="F22" s="2498" t="s">
        <v>2247</v>
      </c>
      <c r="G22" s="2500"/>
    </row>
    <row r="23" spans="1:18" s="799" customFormat="1" ht="15" thickBot="1">
      <c r="A23" s="2444"/>
      <c r="B23" s="2498" t="s">
        <v>2256</v>
      </c>
      <c r="C23" s="2501"/>
      <c r="D23" s="1741"/>
      <c r="E23" s="2446"/>
      <c r="F23" s="2502" t="s">
        <v>2257</v>
      </c>
      <c r="G23" s="2503"/>
      <c r="H23" s="2487"/>
      <c r="I23" s="2488"/>
      <c r="J23" s="2487"/>
      <c r="K23" s="2487"/>
      <c r="L23" s="2488"/>
      <c r="M23" s="2487"/>
      <c r="N23" s="2487"/>
      <c r="O23" s="2488"/>
      <c r="P23" s="2487"/>
      <c r="Q23" s="2487"/>
      <c r="R23" s="2489"/>
    </row>
    <row r="24" spans="1:18" s="799" customFormat="1" ht="15" thickBot="1">
      <c r="A24" s="2447"/>
      <c r="B24" s="2502" t="s">
        <v>2258</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L18" sqref="L18"/>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32105.55</v>
      </c>
      <c r="C1" s="2662"/>
      <c r="D1" s="2662"/>
      <c r="E1" s="2662"/>
      <c r="F1" s="2662"/>
      <c r="G1" s="2663"/>
      <c r="H1" s="2664"/>
      <c r="I1" s="2664"/>
      <c r="J1" s="2664"/>
      <c r="K1" s="2664"/>
    </row>
    <row r="2" spans="1:11" ht="16.5">
      <c r="A2" s="2508" t="s">
        <v>653</v>
      </c>
      <c r="B2" s="2508">
        <f>SUM(C14:C23)</f>
        <v>0</v>
      </c>
      <c r="C2" s="2662"/>
      <c r="D2" s="2662"/>
      <c r="E2" s="2662"/>
      <c r="F2" s="2662"/>
      <c r="G2" s="2663"/>
      <c r="H2" s="2664"/>
      <c r="I2" s="2664"/>
      <c r="J2" s="2664"/>
      <c r="K2" s="2664"/>
    </row>
    <row r="3" spans="1:11" ht="16.5">
      <c r="A3" s="2508" t="s">
        <v>662</v>
      </c>
      <c r="B3" s="2510">
        <f>项目基本情况!D3</f>
        <v>45406</v>
      </c>
      <c r="C3" s="2662"/>
      <c r="D3" s="2662"/>
      <c r="E3" s="2662"/>
      <c r="F3" s="2662"/>
      <c r="G3" s="2663"/>
      <c r="H3" s="2664"/>
      <c r="I3" s="2664"/>
      <c r="J3" s="2664"/>
      <c r="K3" s="2664"/>
    </row>
    <row r="4" spans="1:11" ht="33">
      <c r="A4" s="2508" t="s">
        <v>661</v>
      </c>
      <c r="B4" s="2508" t="s">
        <v>660</v>
      </c>
      <c r="C4" s="2508" t="s">
        <v>659</v>
      </c>
      <c r="D4" s="2508" t="s">
        <v>658</v>
      </c>
      <c r="E4" s="2662"/>
      <c r="F4" s="2663"/>
      <c r="G4" s="2663"/>
      <c r="H4" s="2664"/>
      <c r="I4" s="2664"/>
      <c r="J4" s="2664"/>
      <c r="K4" s="2664"/>
    </row>
    <row r="5" spans="1:11" ht="16.5">
      <c r="A5" s="2508" t="s">
        <v>657</v>
      </c>
      <c r="B5" s="2508">
        <f ca="1">SUM(D14:D23)</f>
        <v>135050</v>
      </c>
      <c r="C5" s="2508">
        <f ca="1">IF(B5=D14,结果表!H102,ROUND(B5*10000/$B$1,0))</f>
        <v>42064</v>
      </c>
      <c r="D5" s="2508" t="e">
        <f ca="1">ROUND(B5*10000/$B$2,0)</f>
        <v>#DIV/0!</v>
      </c>
      <c r="E5" s="2662"/>
      <c r="F5" s="2663"/>
      <c r="G5" s="2663"/>
      <c r="H5" s="2664"/>
      <c r="I5" s="2664"/>
      <c r="J5" s="2664"/>
      <c r="K5" s="2664"/>
    </row>
    <row r="6" spans="1:11" ht="16.5">
      <c r="A6" s="2508" t="s">
        <v>656</v>
      </c>
      <c r="B6" s="2508">
        <f ca="1">SUM(G14:G23)</f>
        <v>135050</v>
      </c>
      <c r="C6" s="2508" t="e">
        <f ca="1">IF(B6=G14,结果表!H108,ROUND(B6*10000/$B$1,0))</f>
        <v>#VALUE!</v>
      </c>
      <c r="D6" s="2508" t="e">
        <f ca="1">ROUND(B6*10000/$B$2,0)</f>
        <v>#DIV/0!</v>
      </c>
      <c r="E6" s="2662"/>
      <c r="F6" s="2663"/>
      <c r="G6" s="2663"/>
      <c r="H6" s="2664"/>
      <c r="I6" s="2664"/>
      <c r="J6" s="2664"/>
      <c r="K6" s="2664"/>
    </row>
    <row r="7" spans="1:11" ht="16.5">
      <c r="A7" s="2508" t="s">
        <v>664</v>
      </c>
      <c r="B7" s="2508">
        <f>SUM(H14:H23)</f>
        <v>0</v>
      </c>
      <c r="C7" s="2508">
        <f ca="1">IF(B7=H14,结果表!H110,ROUND(B7*10000/$B$1,0))</f>
        <v>42064</v>
      </c>
      <c r="D7" s="2508" t="e">
        <f>ROUND(B7*10000/$B$2,0)</f>
        <v>#DIV/0!</v>
      </c>
      <c r="E7" s="2662"/>
      <c r="F7" s="2663"/>
      <c r="G7" s="2663"/>
      <c r="H7" s="2664"/>
      <c r="I7" s="2664"/>
      <c r="J7" s="2664"/>
      <c r="K7" s="2664"/>
    </row>
    <row r="8" spans="1:11" ht="16.5">
      <c r="A8" s="2508" t="s">
        <v>587</v>
      </c>
      <c r="B8" s="2508">
        <f ca="1">SUM(I14:I23)</f>
        <v>134982</v>
      </c>
      <c r="C8" s="2508">
        <f ca="1">IF(B8=I14,结果表!H112,ROUND(B8*10000/$B$1,0))</f>
        <v>42043</v>
      </c>
      <c r="D8" s="2508" t="e">
        <f ca="1">ROUND(B8*10000/$B$2,0)</f>
        <v>#DIV/0!</v>
      </c>
      <c r="E8" s="2662"/>
      <c r="F8" s="2663"/>
      <c r="G8" s="2663"/>
      <c r="H8" s="2664"/>
      <c r="I8" s="2664"/>
      <c r="J8" s="2664"/>
      <c r="K8" s="2664"/>
    </row>
    <row r="9" spans="1:11" ht="16.5">
      <c r="A9" s="2508" t="s">
        <v>655</v>
      </c>
      <c r="B9" s="2516"/>
      <c r="C9" s="2662"/>
      <c r="D9" s="2662"/>
      <c r="E9" s="2662"/>
      <c r="F9" s="2663"/>
      <c r="G9" s="2663"/>
      <c r="H9" s="2664"/>
      <c r="I9" s="2664"/>
      <c r="J9" s="2664"/>
      <c r="K9" s="2664"/>
    </row>
    <row r="10" spans="1:11" ht="16.5">
      <c r="A10" s="2508" t="s">
        <v>654</v>
      </c>
      <c r="B10" s="2508">
        <f>IF(E10="",0,ROUND(B1*(E10*365/G10)/10000,0))</f>
        <v>0</v>
      </c>
      <c r="C10" s="2508" t="s">
        <v>3337</v>
      </c>
      <c r="D10" s="2508" t="s">
        <v>3338</v>
      </c>
      <c r="E10" s="3417"/>
      <c r="F10" s="3421" t="s">
        <v>3339</v>
      </c>
      <c r="G10" s="3418"/>
      <c r="H10" s="2664"/>
      <c r="I10" s="2664"/>
      <c r="J10" s="2664"/>
      <c r="K10" s="2664"/>
    </row>
    <row r="11" spans="1:11" ht="16.5">
      <c r="A11" s="2508" t="s">
        <v>670</v>
      </c>
      <c r="B11" s="251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11" t="s">
        <v>669</v>
      </c>
      <c r="B13" s="2512" t="s">
        <v>666</v>
      </c>
      <c r="C13" s="2512" t="s">
        <v>668</v>
      </c>
      <c r="D13" s="2512" t="s">
        <v>667</v>
      </c>
      <c r="E13" s="2508" t="s">
        <v>659</v>
      </c>
      <c r="F13" s="2508" t="s">
        <v>658</v>
      </c>
      <c r="G13" s="2512" t="s">
        <v>652</v>
      </c>
      <c r="H13" s="2512" t="s">
        <v>663</v>
      </c>
      <c r="I13" s="2512" t="s">
        <v>651</v>
      </c>
      <c r="J13" s="2663"/>
      <c r="K13" s="2664"/>
    </row>
    <row r="14" spans="1:11" ht="16.5">
      <c r="A14" s="2513" t="s">
        <v>650</v>
      </c>
      <c r="B14" s="2514">
        <f>结果表!B118</f>
        <v>32105.55</v>
      </c>
      <c r="C14" s="2514"/>
      <c r="D14" s="2514">
        <f ca="1">结果表!H118</f>
        <v>135050</v>
      </c>
      <c r="E14" s="2514">
        <f ca="1">ROUND(D14*10000/B14,0)</f>
        <v>42064</v>
      </c>
      <c r="F14" s="2514" t="e">
        <f ca="1">ROUND(D14*10000/C14,0)</f>
        <v>#DIV/0!</v>
      </c>
      <c r="G14" s="2514">
        <f ca="1">D14</f>
        <v>135050</v>
      </c>
      <c r="H14" s="2514"/>
      <c r="I14" s="2514">
        <f ca="1">结果表!H111</f>
        <v>134982</v>
      </c>
      <c r="J14" s="2663"/>
      <c r="K14" s="2664"/>
    </row>
    <row r="15" spans="1:11" ht="16.5">
      <c r="A15" s="2513" t="s">
        <v>649</v>
      </c>
      <c r="B15" s="2515"/>
      <c r="C15" s="2515"/>
      <c r="D15" s="2515"/>
      <c r="E15" s="2514" t="e">
        <f t="shared" ref="E15:E23" si="0">ROUND(D15*10000/B15,0)</f>
        <v>#DIV/0!</v>
      </c>
      <c r="F15" s="2514" t="e">
        <f t="shared" ref="F15:F23" si="1">ROUND(D15*10000/C15,0)</f>
        <v>#DIV/0!</v>
      </c>
      <c r="G15" s="1331"/>
      <c r="H15" s="1331"/>
      <c r="I15" s="2515"/>
      <c r="J15" s="2663"/>
      <c r="K15" s="2664"/>
    </row>
    <row r="16" spans="1:11" ht="16.5">
      <c r="A16" s="2513" t="s">
        <v>648</v>
      </c>
      <c r="B16" s="2515"/>
      <c r="C16" s="2515"/>
      <c r="D16" s="2515"/>
      <c r="E16" s="2514" t="e">
        <f t="shared" si="0"/>
        <v>#DIV/0!</v>
      </c>
      <c r="F16" s="2514" t="e">
        <f t="shared" si="1"/>
        <v>#DIV/0!</v>
      </c>
      <c r="G16" s="1331"/>
      <c r="H16" s="1331"/>
      <c r="I16" s="2515"/>
      <c r="J16" s="2664"/>
      <c r="K16" s="2664"/>
    </row>
    <row r="17" spans="1:11" ht="16.5">
      <c r="A17" s="2513" t="s">
        <v>647</v>
      </c>
      <c r="B17" s="2515"/>
      <c r="C17" s="2515"/>
      <c r="D17" s="2515"/>
      <c r="E17" s="2514" t="e">
        <f t="shared" si="0"/>
        <v>#DIV/0!</v>
      </c>
      <c r="F17" s="2514" t="e">
        <f t="shared" si="1"/>
        <v>#DIV/0!</v>
      </c>
      <c r="G17" s="1331"/>
      <c r="H17" s="1331"/>
      <c r="I17" s="2515"/>
      <c r="J17" s="2664"/>
      <c r="K17" s="2664"/>
    </row>
    <row r="18" spans="1:11" ht="16.5">
      <c r="A18" s="2513" t="s">
        <v>646</v>
      </c>
      <c r="B18" s="2515"/>
      <c r="C18" s="2515"/>
      <c r="D18" s="2515"/>
      <c r="E18" s="2514" t="e">
        <f t="shared" si="0"/>
        <v>#DIV/0!</v>
      </c>
      <c r="F18" s="2514" t="e">
        <f t="shared" si="1"/>
        <v>#DIV/0!</v>
      </c>
      <c r="G18" s="2515"/>
      <c r="H18" s="2515"/>
      <c r="I18" s="2515"/>
      <c r="J18" s="2664"/>
      <c r="K18" s="2664"/>
    </row>
    <row r="19" spans="1:11" ht="16.5">
      <c r="A19" s="2513" t="s">
        <v>645</v>
      </c>
      <c r="B19" s="2515"/>
      <c r="C19" s="2515"/>
      <c r="D19" s="2515"/>
      <c r="E19" s="2514" t="e">
        <f t="shared" si="0"/>
        <v>#DIV/0!</v>
      </c>
      <c r="F19" s="2514" t="e">
        <f t="shared" si="1"/>
        <v>#DIV/0!</v>
      </c>
      <c r="G19" s="2515"/>
      <c r="H19" s="2515"/>
      <c r="I19" s="2515"/>
      <c r="J19" s="2664"/>
      <c r="K19" s="2664"/>
    </row>
    <row r="20" spans="1:11" ht="16.5">
      <c r="A20" s="2513" t="s">
        <v>644</v>
      </c>
      <c r="B20" s="2515"/>
      <c r="C20" s="2515"/>
      <c r="D20" s="2515"/>
      <c r="E20" s="2514" t="e">
        <f t="shared" si="0"/>
        <v>#DIV/0!</v>
      </c>
      <c r="F20" s="2514" t="e">
        <f t="shared" si="1"/>
        <v>#DIV/0!</v>
      </c>
      <c r="G20" s="2515"/>
      <c r="H20" s="2515"/>
      <c r="I20" s="2515"/>
      <c r="J20" s="2664"/>
      <c r="K20" s="2664"/>
    </row>
    <row r="21" spans="1:11" ht="16.5">
      <c r="A21" s="2513" t="s">
        <v>643</v>
      </c>
      <c r="B21" s="2515"/>
      <c r="C21" s="2515"/>
      <c r="D21" s="2515"/>
      <c r="E21" s="2514" t="e">
        <f t="shared" si="0"/>
        <v>#DIV/0!</v>
      </c>
      <c r="F21" s="2514" t="e">
        <f t="shared" si="1"/>
        <v>#DIV/0!</v>
      </c>
      <c r="G21" s="2515"/>
      <c r="H21" s="2515"/>
      <c r="I21" s="2515"/>
      <c r="J21" s="2664"/>
      <c r="K21" s="2664"/>
    </row>
    <row r="22" spans="1:11" ht="16.5">
      <c r="A22" s="2513" t="s">
        <v>642</v>
      </c>
      <c r="B22" s="2515"/>
      <c r="C22" s="2515"/>
      <c r="D22" s="2515"/>
      <c r="E22" s="2514" t="e">
        <f t="shared" si="0"/>
        <v>#DIV/0!</v>
      </c>
      <c r="F22" s="2514" t="e">
        <f t="shared" si="1"/>
        <v>#DIV/0!</v>
      </c>
      <c r="G22" s="2515"/>
      <c r="H22" s="2515"/>
      <c r="I22" s="2515"/>
      <c r="J22" s="2664"/>
      <c r="K22" s="2664"/>
    </row>
    <row r="23" spans="1:11" ht="16.5">
      <c r="A23" s="2513" t="s">
        <v>641</v>
      </c>
      <c r="B23" s="2515"/>
      <c r="C23" s="2515"/>
      <c r="D23" s="2515"/>
      <c r="E23" s="2516" t="e">
        <f t="shared" si="0"/>
        <v>#DIV/0!</v>
      </c>
      <c r="F23" s="2516" t="e">
        <f t="shared" si="1"/>
        <v>#DIV/0!</v>
      </c>
      <c r="G23" s="2515"/>
      <c r="H23" s="2515"/>
      <c r="I23" s="2515"/>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738" t="str">
        <f>项目基本情况!S2</f>
        <v>北京市朝阳区朝阳门外大街5号院1号楼房地产</v>
      </c>
      <c r="B2" s="3739"/>
      <c r="C2" s="3739"/>
      <c r="D2" s="3739"/>
      <c r="E2" s="3739"/>
      <c r="F2" s="3739"/>
      <c r="G2" s="3739"/>
      <c r="H2" s="3739"/>
      <c r="I2" s="3740"/>
    </row>
    <row r="3" spans="1:12" ht="12.75">
      <c r="A3" s="3742" t="s">
        <v>1263</v>
      </c>
      <c r="B3" s="3743"/>
      <c r="C3" s="3743"/>
      <c r="D3" s="3743"/>
      <c r="E3" s="3743"/>
      <c r="F3" s="3743"/>
      <c r="G3" s="3743"/>
      <c r="H3" s="3743"/>
      <c r="I3" s="3743"/>
    </row>
    <row r="4" spans="1:12" ht="14.25">
      <c r="A4" s="1754" t="s">
        <v>1264</v>
      </c>
      <c r="B4" s="1755" t="s">
        <v>1265</v>
      </c>
      <c r="C4" s="1756" t="s">
        <v>3568</v>
      </c>
      <c r="D4" s="1756" t="s">
        <v>3390</v>
      </c>
      <c r="E4" s="3747" t="s">
        <v>1266</v>
      </c>
      <c r="F4" s="3748"/>
      <c r="G4" s="3748"/>
      <c r="H4" s="3748"/>
      <c r="I4" s="374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86" t="s">
        <v>1267</v>
      </c>
      <c r="B5" s="3741">
        <v>25</v>
      </c>
      <c r="C5" s="3744"/>
      <c r="D5" s="3732"/>
      <c r="E5" s="131" t="s">
        <v>1268</v>
      </c>
      <c r="F5" s="1757"/>
      <c r="G5" s="1757"/>
      <c r="H5" s="1757"/>
      <c r="I5" s="1373"/>
    </row>
    <row r="6" spans="1:12" ht="12.75">
      <c r="A6" s="3686"/>
      <c r="B6" s="3741"/>
      <c r="C6" s="3746"/>
      <c r="D6" s="3732"/>
      <c r="E6" s="131" t="s">
        <v>1269</v>
      </c>
      <c r="F6" s="1757"/>
      <c r="G6" s="1757"/>
      <c r="H6" s="1757"/>
      <c r="I6" s="1373"/>
    </row>
    <row r="7" spans="1:12" ht="12.75">
      <c r="A7" s="3686"/>
      <c r="B7" s="3741"/>
      <c r="C7" s="3745"/>
      <c r="D7" s="3732"/>
      <c r="E7" s="131" t="s">
        <v>1270</v>
      </c>
      <c r="F7" s="1757"/>
      <c r="G7" s="1757"/>
      <c r="H7" s="1757"/>
      <c r="I7" s="1373"/>
    </row>
    <row r="8" spans="1:12" ht="12.75">
      <c r="A8" s="3686" t="s">
        <v>1271</v>
      </c>
      <c r="B8" s="3741">
        <v>15</v>
      </c>
      <c r="C8" s="3744"/>
      <c r="D8" s="3732"/>
      <c r="E8" s="131" t="s">
        <v>1272</v>
      </c>
      <c r="F8" s="1757"/>
      <c r="G8" s="1757"/>
      <c r="H8" s="1757"/>
      <c r="I8" s="1373"/>
    </row>
    <row r="9" spans="1:12" ht="12.75">
      <c r="A9" s="3686"/>
      <c r="B9" s="3741"/>
      <c r="C9" s="3745"/>
      <c r="D9" s="3732"/>
      <c r="E9" s="131" t="s">
        <v>1273</v>
      </c>
      <c r="F9" s="1757"/>
      <c r="G9" s="1757"/>
      <c r="H9" s="1757"/>
      <c r="I9" s="1373"/>
    </row>
    <row r="10" spans="1:12" ht="12.75">
      <c r="A10" s="3686" t="s">
        <v>1274</v>
      </c>
      <c r="B10" s="3741">
        <v>15</v>
      </c>
      <c r="C10" s="3744"/>
      <c r="D10" s="3732"/>
      <c r="E10" s="131" t="s">
        <v>1275</v>
      </c>
      <c r="F10" s="1757"/>
      <c r="G10" s="1757"/>
      <c r="H10" s="1757"/>
      <c r="I10" s="1373"/>
    </row>
    <row r="11" spans="1:12" ht="12.75">
      <c r="A11" s="3686"/>
      <c r="B11" s="3741"/>
      <c r="C11" s="3745"/>
      <c r="D11" s="3732"/>
      <c r="E11" s="131" t="s">
        <v>1276</v>
      </c>
      <c r="F11" s="1757"/>
      <c r="G11" s="1757"/>
      <c r="H11" s="1757"/>
      <c r="I11" s="1373"/>
    </row>
    <row r="12" spans="1:12" ht="12.75">
      <c r="A12" s="3686" t="s">
        <v>1277</v>
      </c>
      <c r="B12" s="3741">
        <v>15</v>
      </c>
      <c r="C12" s="3744"/>
      <c r="D12" s="3732"/>
      <c r="E12" s="131" t="s">
        <v>1278</v>
      </c>
      <c r="F12" s="1757"/>
      <c r="G12" s="1757"/>
      <c r="H12" s="1757"/>
      <c r="I12" s="1373"/>
    </row>
    <row r="13" spans="1:12" ht="12.75">
      <c r="A13" s="3686"/>
      <c r="B13" s="3741"/>
      <c r="C13" s="3745"/>
      <c r="D13" s="3732"/>
      <c r="E13" s="131" t="s">
        <v>1279</v>
      </c>
      <c r="F13" s="1757"/>
      <c r="G13" s="1757"/>
      <c r="H13" s="1757"/>
      <c r="I13" s="1373"/>
    </row>
    <row r="14" spans="1:12" ht="12.75">
      <c r="A14" s="3686" t="s">
        <v>1280</v>
      </c>
      <c r="B14" s="3741">
        <v>30</v>
      </c>
      <c r="C14" s="3744">
        <v>7</v>
      </c>
      <c r="D14" s="3732">
        <v>3</v>
      </c>
      <c r="E14" s="131" t="s">
        <v>1281</v>
      </c>
      <c r="F14" s="1757"/>
      <c r="G14" s="1757"/>
      <c r="H14" s="1757"/>
      <c r="I14" s="1373"/>
    </row>
    <row r="15" spans="1:12" ht="12.75">
      <c r="A15" s="3686"/>
      <c r="B15" s="3741"/>
      <c r="C15" s="3746"/>
      <c r="D15" s="3732"/>
      <c r="E15" s="131" t="s">
        <v>1282</v>
      </c>
      <c r="F15" s="1757"/>
      <c r="G15" s="1757"/>
      <c r="H15" s="1757"/>
      <c r="I15" s="1373"/>
    </row>
    <row r="16" spans="1:12" ht="12.75">
      <c r="A16" s="3686"/>
      <c r="B16" s="3741"/>
      <c r="C16" s="3745"/>
      <c r="D16" s="3732"/>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763" t="s">
        <v>2113</v>
      </c>
      <c r="F18" s="3764"/>
      <c r="G18" s="3764"/>
      <c r="H18" s="3764"/>
      <c r="I18" s="3764"/>
      <c r="J18" s="3536" t="s">
        <v>4643</v>
      </c>
      <c r="K18" s="302" t="s">
        <v>1288</v>
      </c>
      <c r="L18" s="302">
        <f>IF(C1="",'数据-汇总表'!E3,SUMIF(项目类型,C1,'数据-汇总表'!E17:E26)+SUMIF(项目类型,C1,'数据-汇总表'!I17:I26))</f>
        <v>32105.55</v>
      </c>
      <c r="M18" s="302">
        <f>IF(C1="",'数据-汇总表'!E3,SUMIF(项目类型,C1,'数据-汇总表'!E17:E26))</f>
        <v>32105.55</v>
      </c>
    </row>
    <row r="19" spans="1:36" ht="15">
      <c r="A19" s="1761" t="s">
        <v>1289</v>
      </c>
      <c r="B19" s="1762" t="s">
        <v>1290</v>
      </c>
      <c r="C19" s="134">
        <f ca="1">SUMIF(INDIRECT("'"&amp;C4&amp;"'"&amp;"!A:A"),结果表!B19,INDIRECT("'"&amp;C4&amp;"'"&amp;"!B:B"))</f>
        <v>155985</v>
      </c>
      <c r="D19" s="135">
        <f ca="1">SUMIF(INDIRECT("'"&amp;D4&amp;"'"&amp;"!A:A"),结果表!B19,INDIRECT("'"&amp;D4&amp;"'"&amp;"!B:B"))</f>
        <v>86200</v>
      </c>
      <c r="E19" s="1761" t="s">
        <v>1291</v>
      </c>
      <c r="F19" s="1762" t="s">
        <v>1290</v>
      </c>
      <c r="G19" s="136">
        <f ca="1">ROUND(C19*$C$18+D19*$D$18,0)</f>
        <v>135050</v>
      </c>
      <c r="H19" s="1763" t="s">
        <v>1292</v>
      </c>
      <c r="I19" s="129"/>
      <c r="J19" s="725">
        <v>210377</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48585</v>
      </c>
      <c r="D20" s="138">
        <f ca="1">SUMIF(INDIRECT("'"&amp;D4&amp;"'"&amp;"!A:A"),结果表!B20,INDIRECT("'"&amp;D4&amp;"'"&amp;"!B:B"))</f>
        <v>26849</v>
      </c>
      <c r="E20" s="1764"/>
      <c r="F20" s="1026" t="s">
        <v>1294</v>
      </c>
      <c r="G20" s="139">
        <f ca="1">ROUND(C20*$C$18+D20*$D$18,0)</f>
        <v>42064</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0.80957076566125297</v>
      </c>
      <c r="E22" s="129"/>
      <c r="F22" s="129"/>
      <c r="G22" s="129"/>
      <c r="H22" s="129"/>
      <c r="I22" s="129"/>
    </row>
    <row r="23" spans="1:36" ht="13.5" thickBot="1">
      <c r="A23" s="1747"/>
      <c r="B23" s="1747"/>
      <c r="C23" s="1747"/>
      <c r="D23" s="1747"/>
      <c r="E23" s="129"/>
      <c r="F23" s="129"/>
      <c r="G23" s="129"/>
      <c r="H23" s="129"/>
      <c r="I23" s="129"/>
      <c r="K23" s="725">
        <v>175000</v>
      </c>
    </row>
    <row r="24" spans="1:36" ht="14.25">
      <c r="A24" s="3756" t="s">
        <v>1298</v>
      </c>
      <c r="B24" s="1762" t="s">
        <v>1290</v>
      </c>
      <c r="C24" s="136">
        <f>IF(B30=0,0,D30)</f>
        <v>0</v>
      </c>
      <c r="D24" s="1769"/>
      <c r="E24" s="129"/>
      <c r="F24" s="129"/>
      <c r="G24" s="129"/>
      <c r="H24" s="129"/>
      <c r="I24" s="129"/>
      <c r="K24" s="725">
        <f>K23/L18</f>
        <v>5.4507709726199991</v>
      </c>
    </row>
    <row r="25" spans="1:36" ht="14.25">
      <c r="A25" s="3757"/>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2114</v>
      </c>
      <c r="F30" s="129"/>
      <c r="G30" s="129"/>
      <c r="H30" s="129"/>
      <c r="I30" s="129"/>
    </row>
    <row r="31" spans="1:36" s="2309" customFormat="1" ht="26.45" customHeight="1" thickTop="1" thickBot="1">
      <c r="A31" s="2304"/>
      <c r="B31" s="2305"/>
      <c r="C31" s="2305"/>
      <c r="D31" s="2305"/>
      <c r="E31" s="2305"/>
      <c r="F31" s="2305"/>
      <c r="G31" s="2305"/>
      <c r="H31" s="2305"/>
      <c r="I31" s="2306" t="s">
        <v>2115</v>
      </c>
      <c r="J31" s="266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135050</v>
      </c>
      <c r="D32" s="1775" t="s">
        <v>3570</v>
      </c>
      <c r="E32" s="129"/>
      <c r="F32" s="129"/>
      <c r="G32" s="129"/>
      <c r="H32" s="129"/>
      <c r="I32" s="129"/>
    </row>
    <row r="33" spans="1:15" ht="15">
      <c r="A33" s="786" t="s">
        <v>1305</v>
      </c>
      <c r="B33" s="1776"/>
      <c r="C33" s="1777" t="s">
        <v>4689</v>
      </c>
      <c r="D33" s="1778" t="s">
        <v>3390</v>
      </c>
      <c r="E33" s="1779" t="s">
        <v>1306</v>
      </c>
      <c r="F33" s="1780" t="str">
        <f>IF(D32="楼面单价","取值（单价）","取值（总价）")</f>
        <v>取值（总价）</v>
      </c>
      <c r="G33" s="129"/>
      <c r="H33" s="129"/>
      <c r="I33" s="129"/>
    </row>
    <row r="34" spans="1:15" ht="15">
      <c r="A34" s="1781"/>
      <c r="B34" s="1782" t="s">
        <v>1307</v>
      </c>
      <c r="C34" s="148">
        <f ca="1">IF(C33="自定义",F34,C32-C35)</f>
        <v>107095</v>
      </c>
      <c r="D34" s="861">
        <f ca="1">IF(C33="自定义",ROUND(C34/C32,3),IF(C33="收益比率",SUMIF(INDIRECT("'"&amp;D33&amp;"'"&amp;"!b:b"),"土地收益比率",INDIRECT("'"&amp;D33&amp;"'"&amp;"!c:c")),SUMIF(INDIRECT("'"&amp;D33&amp;"'"&amp;"!b:b"),"土地成本比率",INDIRECT("'"&amp;D33&amp;"'"&amp;"!c:c"))))</f>
        <v>0.79300000000000004</v>
      </c>
      <c r="E34" s="1783" t="s">
        <v>1308</v>
      </c>
      <c r="F34" s="1330"/>
      <c r="G34" s="129"/>
      <c r="H34" s="129"/>
      <c r="I34" s="129"/>
    </row>
    <row r="35" spans="1:15" ht="15.75" thickBot="1">
      <c r="A35" s="1784"/>
      <c r="B35" s="1785" t="s">
        <v>1309</v>
      </c>
      <c r="C35" s="1170">
        <f ca="1">IF(C33="自定义",F35,ROUND(C32*D35,0))</f>
        <v>27955</v>
      </c>
      <c r="D35" s="1171">
        <f ca="1">IF(C33="自定义",ROUND(C35/C32,3),IF(C33="收益比率",SUMIF(INDIRECT("'"&amp;D33&amp;"'"&amp;"!b:b"),"建筑物收益比率",INDIRECT("'"&amp;D33&amp;"'"&amp;"!c:c")),SUMIF(INDIRECT("'"&amp;D33&amp;"'"&amp;"!b:b"),"建筑物成本比率",INDIRECT("'"&amp;D33&amp;"'"&amp;"!c:c"))))</f>
        <v>0.20699999999999999</v>
      </c>
      <c r="E35" s="1786" t="s">
        <v>1310</v>
      </c>
      <c r="F35" s="154"/>
      <c r="G35" s="129"/>
      <c r="H35" s="129"/>
      <c r="I35" s="129"/>
    </row>
    <row r="36" spans="1:15" ht="15.75" thickBot="1">
      <c r="A36" s="3733" t="s">
        <v>1311</v>
      </c>
      <c r="B36" s="1787" t="s">
        <v>1312</v>
      </c>
      <c r="C36" s="145"/>
      <c r="D36" s="1788"/>
      <c r="E36" s="1789"/>
      <c r="F36" s="1790"/>
      <c r="G36" s="129"/>
      <c r="H36" s="129"/>
      <c r="I36" s="129"/>
    </row>
    <row r="37" spans="1:15" ht="15.75" thickBot="1">
      <c r="A37" s="3734"/>
      <c r="B37" s="1674" t="s">
        <v>1313</v>
      </c>
      <c r="C37" s="147"/>
      <c r="D37" s="1139"/>
      <c r="E37" s="1139"/>
      <c r="F37" s="1790"/>
      <c r="G37" s="129"/>
      <c r="H37" s="129"/>
      <c r="I37" s="129"/>
    </row>
    <row r="38" spans="1:15" ht="15.75" thickBot="1">
      <c r="A38" s="3735"/>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753" t="s">
        <v>1325</v>
      </c>
      <c r="B45" s="3754"/>
      <c r="C45" s="3755"/>
      <c r="D45" s="155">
        <f ca="1">ROUND(H101*F45,0)</f>
        <v>135050</v>
      </c>
      <c r="E45" s="156" t="s">
        <v>1326</v>
      </c>
      <c r="F45" s="157">
        <v>1</v>
      </c>
      <c r="G45" s="158" t="s">
        <v>1327</v>
      </c>
      <c r="H45" s="129"/>
      <c r="I45" s="129"/>
      <c r="J45" s="3672" t="s">
        <v>1328</v>
      </c>
      <c r="K45" s="3672"/>
      <c r="L45" s="3672"/>
      <c r="M45" s="3672"/>
      <c r="N45" s="3672"/>
      <c r="O45" s="3672"/>
    </row>
    <row r="46" spans="1:15" ht="14.25" customHeight="1">
      <c r="A46" s="3750" t="s">
        <v>1329</v>
      </c>
      <c r="B46" s="3751"/>
      <c r="C46" s="3751"/>
      <c r="D46" s="3751"/>
      <c r="E46" s="3751"/>
      <c r="F46" s="3751"/>
      <c r="G46" s="3752"/>
      <c r="H46" s="1806"/>
      <c r="I46" s="159"/>
      <c r="J46" s="2519">
        <v>1</v>
      </c>
      <c r="K46" s="3673" t="s">
        <v>1330</v>
      </c>
      <c r="L46" s="3673"/>
      <c r="M46" s="3674"/>
      <c r="N46" s="3674"/>
      <c r="O46" s="3674"/>
    </row>
    <row r="47" spans="1:15" ht="12" customHeight="1">
      <c r="A47" s="160" t="s">
        <v>1331</v>
      </c>
      <c r="B47" s="161"/>
      <c r="C47" s="162"/>
      <c r="D47" s="1087" t="s">
        <v>1332</v>
      </c>
      <c r="E47" s="302" t="s">
        <v>1333</v>
      </c>
      <c r="F47" s="163" t="s">
        <v>1334</v>
      </c>
      <c r="G47" s="2523" t="s">
        <v>1335</v>
      </c>
      <c r="H47" s="2524"/>
      <c r="I47" s="159"/>
      <c r="J47" s="170">
        <v>2</v>
      </c>
      <c r="K47" s="3675" t="s">
        <v>4644</v>
      </c>
      <c r="L47" s="3675"/>
      <c r="M47" s="3676">
        <f>'数据-取费表'!B2</f>
        <v>45406</v>
      </c>
      <c r="N47" s="3676"/>
      <c r="O47" s="3676"/>
    </row>
    <row r="48" spans="1:15" ht="25.5">
      <c r="A48" s="3736" t="s">
        <v>1336</v>
      </c>
      <c r="B48" s="3737"/>
      <c r="C48" s="3737"/>
      <c r="D48" s="2324">
        <f ca="1">IF(H48="情况1",0,IF(H48="情况2",D52,IF(H48="情况3",D53,IF(H48="情况4",D54))))</f>
        <v>0</v>
      </c>
      <c r="E48" s="2334" t="str">
        <f>IF(H48="情况4","(销售额-原购置价)×税（费）率","销售额×税（费）率")</f>
        <v>(销售额-原购置价)×税（费）率</v>
      </c>
      <c r="F48" s="2525">
        <f>IF(H48="情况1","免征",'数据-取费表'!B41)</f>
        <v>5.6000000000000001E-2</v>
      </c>
      <c r="G48" s="2526" t="s">
        <v>1337</v>
      </c>
      <c r="H48" s="2527" t="s">
        <v>4625</v>
      </c>
      <c r="I48" s="1806"/>
      <c r="J48" s="170">
        <v>3</v>
      </c>
      <c r="K48" s="3675" t="s">
        <v>4645</v>
      </c>
      <c r="L48" s="3675"/>
      <c r="M48" s="3677">
        <f ca="1">H101</f>
        <v>135050</v>
      </c>
      <c r="N48" s="3677"/>
      <c r="O48" s="3677"/>
    </row>
    <row r="49" spans="1:35" ht="25.5" customHeight="1">
      <c r="A49" s="2333" t="s">
        <v>1338</v>
      </c>
      <c r="B49" s="3722" t="s">
        <v>1339</v>
      </c>
      <c r="C49" s="3722"/>
      <c r="D49" s="1590">
        <v>0</v>
      </c>
      <c r="E49" s="324" t="s">
        <v>1340</v>
      </c>
      <c r="F49" s="2422" t="s">
        <v>28</v>
      </c>
      <c r="G49" s="3705"/>
      <c r="H49" s="2310" t="s">
        <v>2116</v>
      </c>
      <c r="I49" s="2311"/>
      <c r="J49" s="170">
        <v>4</v>
      </c>
      <c r="K49" s="3675" t="str">
        <f>IF(项目基本情况!E8="房地产抵押价值","房地产抵押价值","抵押担保权已注销时的房地产抵押价值")</f>
        <v>抵押担保权已注销时的房地产抵押价值</v>
      </c>
      <c r="L49" s="3675"/>
      <c r="M49" s="3677">
        <f ca="1">IF(项目基本情况!E8="房地产抵押价值",H107,H109)</f>
        <v>135050</v>
      </c>
      <c r="N49" s="3677"/>
      <c r="O49" s="3677"/>
    </row>
    <row r="50" spans="1:35" ht="25.5" customHeight="1">
      <c r="A50" s="2528"/>
      <c r="B50" s="3722" t="s">
        <v>1341</v>
      </c>
      <c r="C50" s="3722"/>
      <c r="D50" s="2529"/>
      <c r="E50" s="332"/>
      <c r="F50" s="2422"/>
      <c r="G50" s="3706"/>
      <c r="H50" s="2312" t="s">
        <v>2117</v>
      </c>
      <c r="I50" s="2311"/>
      <c r="J50" s="3677" t="s">
        <v>4646</v>
      </c>
      <c r="K50" s="3677"/>
      <c r="L50" s="3677"/>
      <c r="M50" s="3677"/>
      <c r="N50" s="3677"/>
      <c r="O50" s="3677"/>
    </row>
    <row r="51" spans="1:35" ht="20.45" customHeight="1">
      <c r="A51" s="2530"/>
      <c r="B51" s="3722" t="s">
        <v>1342</v>
      </c>
      <c r="C51" s="3722"/>
      <c r="D51" s="1087"/>
      <c r="E51" s="327"/>
      <c r="F51" s="2422"/>
      <c r="G51" s="3707"/>
      <c r="H51" s="2312" t="s">
        <v>2118</v>
      </c>
      <c r="I51" s="2311"/>
      <c r="J51" s="174" t="s">
        <v>4647</v>
      </c>
      <c r="K51" s="3675" t="s">
        <v>4648</v>
      </c>
      <c r="L51" s="3675"/>
      <c r="M51" s="174" t="s">
        <v>4649</v>
      </c>
      <c r="N51" s="174" t="s">
        <v>4650</v>
      </c>
      <c r="O51" s="174" t="s">
        <v>4651</v>
      </c>
    </row>
    <row r="52" spans="1:35" ht="24" customHeight="1">
      <c r="A52" s="2335" t="s">
        <v>1343</v>
      </c>
      <c r="B52" s="3722" t="s">
        <v>1344</v>
      </c>
      <c r="C52" s="3722"/>
      <c r="D52" s="1087">
        <f ca="1">ROUND(D45*'数据-取费表'!B41/(1+'数据-取费表'!C42),0)</f>
        <v>7203</v>
      </c>
      <c r="E52" s="2334" t="s">
        <v>1345</v>
      </c>
      <c r="F52" s="2531">
        <f>'数据-取费表'!B41</f>
        <v>5.6000000000000001E-2</v>
      </c>
      <c r="G52" s="2532"/>
      <c r="H52" s="2521"/>
      <c r="I52" s="1807"/>
      <c r="J52" s="170">
        <v>1</v>
      </c>
      <c r="K52" s="3699" t="s">
        <v>4652</v>
      </c>
      <c r="L52" s="3699"/>
      <c r="M52" s="170">
        <f ca="1">D48</f>
        <v>0</v>
      </c>
      <c r="N52" s="170" t="str">
        <f>E48</f>
        <v>(销售额-原购置价)×税（费）率</v>
      </c>
      <c r="O52" s="3537">
        <f>F48</f>
        <v>5.6000000000000001E-2</v>
      </c>
    </row>
    <row r="53" spans="1:35" ht="12" customHeight="1">
      <c r="A53" s="2335" t="s">
        <v>1346</v>
      </c>
      <c r="B53" s="3723" t="s">
        <v>2268</v>
      </c>
      <c r="C53" s="3724"/>
      <c r="D53" s="1087">
        <f ca="1">ROUND(D45*'数据-取费表'!B41/(1+'数据-取费表'!C42),0)</f>
        <v>7203</v>
      </c>
      <c r="E53" s="2334" t="s">
        <v>1345</v>
      </c>
      <c r="F53" s="2531">
        <f>'数据-取费表'!B41</f>
        <v>5.6000000000000001E-2</v>
      </c>
      <c r="G53" s="2532"/>
      <c r="H53" s="2521"/>
      <c r="I53" s="1807"/>
      <c r="J53" s="170">
        <v>2</v>
      </c>
      <c r="K53" s="3699" t="s">
        <v>4653</v>
      </c>
      <c r="L53" s="3699"/>
      <c r="M53" s="170">
        <f t="shared" ref="M53:O54" ca="1" si="0">D55</f>
        <v>68</v>
      </c>
      <c r="N53" s="170" t="str">
        <f t="shared" si="0"/>
        <v>销售额×税（费）率</v>
      </c>
      <c r="O53" s="3537">
        <f t="shared" si="0"/>
        <v>5.0000000000000001E-4</v>
      </c>
    </row>
    <row r="54" spans="1:35" ht="12" customHeight="1">
      <c r="A54" s="2335" t="s">
        <v>1347</v>
      </c>
      <c r="B54" s="3723" t="s">
        <v>2269</v>
      </c>
      <c r="C54" s="3724"/>
      <c r="D54" s="1087">
        <f ca="1">C68</f>
        <v>0</v>
      </c>
      <c r="E54" s="327" t="s">
        <v>1348</v>
      </c>
      <c r="F54" s="2531">
        <f>'数据-取费表'!B41</f>
        <v>5.6000000000000001E-2</v>
      </c>
      <c r="G54" s="2532"/>
      <c r="H54" s="2533"/>
      <c r="I54" s="1807"/>
      <c r="J54" s="170">
        <v>3</v>
      </c>
      <c r="K54" s="3699" t="s">
        <v>4654</v>
      </c>
      <c r="L54" s="3699"/>
      <c r="M54" s="170">
        <f t="shared" ca="1" si="0"/>
        <v>0</v>
      </c>
      <c r="N54" s="170" t="str">
        <f t="shared" si="0"/>
        <v>增值额×税（费）率</v>
      </c>
      <c r="O54" s="3538" t="str">
        <f t="shared" si="0"/>
        <v>——</v>
      </c>
    </row>
    <row r="55" spans="1:35" ht="24" customHeight="1">
      <c r="A55" s="3759" t="s">
        <v>1349</v>
      </c>
      <c r="B55" s="3737"/>
      <c r="C55" s="3737"/>
      <c r="D55" s="2324">
        <f ca="1">IF(H55="个人住宅",0,ROUND(D45*I55,0))</f>
        <v>68</v>
      </c>
      <c r="E55" s="2334" t="s">
        <v>1350</v>
      </c>
      <c r="F55" s="2531">
        <f>IF(H55="正常",I55,"免征")</f>
        <v>5.0000000000000001E-4</v>
      </c>
      <c r="G55" s="2532"/>
      <c r="H55" s="2527" t="s">
        <v>3547</v>
      </c>
      <c r="I55" s="165">
        <f>'数据-取费表'!B49</f>
        <v>5.0000000000000001E-4</v>
      </c>
      <c r="J55" s="170" t="str">
        <f>IF(H59="非个人房产","",4)</f>
        <v/>
      </c>
      <c r="K55" s="3699" t="str">
        <f>IF(H59="非个人房产","——","个人所得税")</f>
        <v>——</v>
      </c>
      <c r="L55" s="3699"/>
      <c r="M55" s="2030" t="str">
        <f>D59</f>
        <v>——</v>
      </c>
      <c r="N55" s="2030" t="str">
        <f>E59</f>
        <v>——</v>
      </c>
      <c r="O55" s="3539" t="str">
        <f>F59</f>
        <v>——</v>
      </c>
    </row>
    <row r="56" spans="1:35" ht="24.75">
      <c r="A56" s="3759" t="s">
        <v>1351</v>
      </c>
      <c r="B56" s="3737"/>
      <c r="C56" s="3737"/>
      <c r="D56" s="2324">
        <f ca="1">IF(H56="个人住宅",D57,D58)</f>
        <v>0</v>
      </c>
      <c r="E56" s="2334" t="s">
        <v>1352</v>
      </c>
      <c r="F56" s="2531" t="str">
        <f>IF(H56="正常",F58,"免征")</f>
        <v>——</v>
      </c>
      <c r="G56" s="2534" t="s">
        <v>1353</v>
      </c>
      <c r="H56" s="2535" t="s">
        <v>3547</v>
      </c>
      <c r="I56" s="1808"/>
      <c r="J56" s="170" t="str">
        <f>IF(项目基本情况!K6="上海银行",IF(J55="",4,J55+1),"")</f>
        <v/>
      </c>
      <c r="K56" s="3680" t="str">
        <f>IF(项目基本情况!K6="上海银行","其他处置费用","")</f>
        <v/>
      </c>
      <c r="L56" s="3681"/>
      <c r="M56" s="170" t="str">
        <f>IF(项目基本情况!K6="上海银行",M69,"")</f>
        <v/>
      </c>
      <c r="N56" s="3680" t="str">
        <f>IF(项目基本情况!K6="上海银行","包含处置中涉及的律师、诉讼、拍卖、评估等费用","")</f>
        <v/>
      </c>
      <c r="O56" s="3683"/>
    </row>
    <row r="57" spans="1:35" ht="12.75">
      <c r="A57" s="2335" t="s">
        <v>1338</v>
      </c>
      <c r="B57" s="3723" t="s">
        <v>1354</v>
      </c>
      <c r="C57" s="3724"/>
      <c r="D57" s="1590">
        <v>0</v>
      </c>
      <c r="E57" s="324" t="s">
        <v>1340</v>
      </c>
      <c r="F57" s="302"/>
      <c r="G57" s="2532"/>
      <c r="H57" s="2536"/>
      <c r="I57" s="1808"/>
      <c r="J57" s="3699">
        <f>IF(AND(J55="",J56=""),4,IF(项目基本情况!K6="上海银行",结果表!J56+1,结果表!J55+1))</f>
        <v>4</v>
      </c>
      <c r="K57" s="3699" t="s">
        <v>4655</v>
      </c>
      <c r="L57" s="2558" t="s">
        <v>4656</v>
      </c>
      <c r="M57" s="3540"/>
      <c r="N57" s="3541">
        <f ca="1">SUMIF(M52:M56,"&lt;9e307")</f>
        <v>68</v>
      </c>
      <c r="O57" s="3542"/>
      <c r="P57" s="2666">
        <f ca="1">N57/M49</f>
        <v>5.03517215845983E-4</v>
      </c>
    </row>
    <row r="58" spans="1:35" ht="24.75">
      <c r="A58" s="2335" t="s">
        <v>1343</v>
      </c>
      <c r="B58" s="3723" t="s">
        <v>1355</v>
      </c>
      <c r="C58" s="3722"/>
      <c r="D58" s="2324">
        <f ca="1">IF(H58="转让取得",C81,C97)</f>
        <v>0</v>
      </c>
      <c r="E58" s="2334" t="s">
        <v>1352</v>
      </c>
      <c r="F58" s="302" t="s">
        <v>28</v>
      </c>
      <c r="G58" s="2532"/>
      <c r="H58" s="2535" t="s">
        <v>4626</v>
      </c>
      <c r="I58" s="1808"/>
      <c r="J58" s="3699"/>
      <c r="K58" s="3699"/>
      <c r="L58" s="2558" t="s">
        <v>4657</v>
      </c>
      <c r="M58" s="2558"/>
      <c r="N58" s="3543" t="str">
        <f ca="1">NUMBERSTRING(INT(N57*10000),2)&amp;"元整"</f>
        <v>陆拾捌万元整</v>
      </c>
      <c r="O58" s="2097"/>
    </row>
    <row r="59" spans="1:35" ht="24.75" thickBot="1">
      <c r="A59" s="3703" t="s">
        <v>1356</v>
      </c>
      <c r="B59" s="3704"/>
      <c r="C59" s="3704"/>
      <c r="D59" s="2537" t="str">
        <f>IF(H59="非个人房产","——",IF(H59="个人住宅（满五唯一有凭证）",0,IF(H59="个人其他（无凭证）",ROUND(D45*F59,0),ROUND(C67*F59,0))))</f>
        <v>——</v>
      </c>
      <c r="E59" s="2538" t="str">
        <f>IF(H59="非个人房产","——",IF(H59="个人其他（无凭证）","销售额×税（费）率",IF(H59="个人住宅（满五唯一有凭证）","免征","差额计税")))</f>
        <v>——</v>
      </c>
      <c r="F59" s="2539" t="str">
        <f>IF(OR(H59="非个人房产",H59="个人住宅（满五唯一有凭证）"),"——",IF(H59="个人其他（有凭证）",20%,1%))</f>
        <v>——</v>
      </c>
      <c r="G59" s="2540" t="s">
        <v>1353</v>
      </c>
      <c r="H59" s="2314" t="s">
        <v>4627</v>
      </c>
      <c r="I59" s="2313" t="s">
        <v>2119</v>
      </c>
      <c r="J59" s="3701">
        <f>J57+1</f>
        <v>5</v>
      </c>
      <c r="K59" s="3699" t="s">
        <v>4658</v>
      </c>
      <c r="L59" s="170" t="s">
        <v>4656</v>
      </c>
      <c r="M59" s="3544"/>
      <c r="N59" s="3545">
        <f ca="1">M49-N57</f>
        <v>134982</v>
      </c>
      <c r="O59" s="3546"/>
    </row>
    <row r="60" spans="1:35" ht="12" customHeight="1">
      <c r="A60" s="1809"/>
      <c r="B60" s="1747"/>
      <c r="C60" s="1747"/>
      <c r="D60" s="1747"/>
      <c r="E60" s="1578"/>
      <c r="F60" s="1808"/>
      <c r="G60" s="1808"/>
      <c r="H60" s="1810"/>
      <c r="I60" s="129"/>
      <c r="J60" s="3702"/>
      <c r="K60" s="3699"/>
      <c r="L60" s="2558" t="s">
        <v>4657</v>
      </c>
      <c r="M60" s="2558"/>
      <c r="N60" s="3543" t="str">
        <f ca="1">NUMBERSTRING(INT(N59*10000),2)&amp;"元整"</f>
        <v>壹拾叁亿肆仟玖佰捌拾贰万元整</v>
      </c>
      <c r="O60" s="2097"/>
    </row>
    <row r="61" spans="1:35" ht="13.5" thickBot="1">
      <c r="A61" s="3758" t="s">
        <v>1357</v>
      </c>
      <c r="B61" s="3758"/>
      <c r="C61" s="3758"/>
      <c r="D61" s="3758"/>
      <c r="E61" s="3758"/>
      <c r="F61" s="1808"/>
      <c r="G61" s="1808"/>
      <c r="H61" s="1810"/>
      <c r="I61" s="129"/>
      <c r="J61" s="170">
        <f>J59+1</f>
        <v>6</v>
      </c>
      <c r="K61" s="3699" t="s">
        <v>4659</v>
      </c>
      <c r="L61" s="3699"/>
      <c r="M61" s="3547"/>
      <c r="N61" s="3548">
        <f ca="1">ROUND(N59*10000/'数据-汇总表'!E3,0)</f>
        <v>42043</v>
      </c>
      <c r="O61" s="3549"/>
    </row>
    <row r="62" spans="1:35" ht="12.75">
      <c r="A62" s="3718" t="s">
        <v>1358</v>
      </c>
      <c r="B62" s="3719"/>
      <c r="C62" s="2021"/>
      <c r="D62" s="2021" t="s">
        <v>1359</v>
      </c>
      <c r="E62" s="166" t="s">
        <v>1360</v>
      </c>
      <c r="F62" s="1808"/>
      <c r="G62" s="1808"/>
      <c r="H62" s="1810"/>
      <c r="I62" s="129"/>
    </row>
    <row r="63" spans="1:35" ht="12.75">
      <c r="A63" s="173" t="s">
        <v>330</v>
      </c>
      <c r="B63" s="167" t="s">
        <v>1361</v>
      </c>
      <c r="C63" s="2541">
        <f ca="1">ROUND((C64+C65)/(1+'数据-取费表'!C42),0)</f>
        <v>128619</v>
      </c>
      <c r="D63" s="167"/>
      <c r="E63" s="168"/>
      <c r="F63" s="1808"/>
      <c r="G63" s="1808"/>
      <c r="H63" s="1810"/>
      <c r="I63" s="129"/>
      <c r="J63" s="3682" t="s">
        <v>1362</v>
      </c>
      <c r="K63" s="1332" t="s">
        <v>1363</v>
      </c>
      <c r="L63" s="1332">
        <f ca="1">IF(M49&gt;10000,M49*0.5%,IF(AND(M49&gt;1000,M49&lt;=10000),M49*1%,IF(AND(M49&gt;100,M49&lt;=1000),M49*3%,IF(AND(M49&gt;10,M49&lt;=100),M49*5%,M49*8%))))</f>
        <v>675.25</v>
      </c>
      <c r="M63" s="302">
        <f ca="1">ROUND(L63,1)</f>
        <v>675.3</v>
      </c>
      <c r="N63" s="2520"/>
      <c r="Z63" s="1752"/>
      <c r="AI63" s="1753"/>
    </row>
    <row r="64" spans="1:35" ht="14.25" customHeight="1">
      <c r="A64" s="169" t="s">
        <v>325</v>
      </c>
      <c r="B64" s="170" t="s">
        <v>1364</v>
      </c>
      <c r="C64" s="2542">
        <f ca="1">D45</f>
        <v>135050</v>
      </c>
      <c r="D64" s="170" t="s">
        <v>26</v>
      </c>
      <c r="E64" s="172"/>
      <c r="F64" s="1808"/>
      <c r="G64" s="1808"/>
      <c r="H64" s="1810"/>
      <c r="I64" s="129"/>
      <c r="J64" s="3682"/>
      <c r="K64" s="1332" t="s">
        <v>1365</v>
      </c>
      <c r="L64" s="1332">
        <f ca="1">IF(M49&gt;2000,M49*0.5%,IF(AND(M49&gt;1000,M49&lt;=2000),M49*0.6%,IF(AND(M49&gt;500,M49&lt;=1000),M49*0.7%,IF(AND(M49&gt;200,M49&lt;=500),M49*0.8%,IF(AND(M49&gt;100,M49&lt;=200),M49*0.9%,IF(AND(M49&gt;50,M49&lt;=100),M49*1%,IF(AND(M49&gt;20,M49&lt;=50),M49*1.5%,IF(AND(M49&gt;10,M49&lt;=20),M49*2%,IF(AND(M49&gt;1,M49&lt;=10),M49*2.5%)))))))))</f>
        <v>675.25</v>
      </c>
      <c r="M64" s="302">
        <f t="shared" ref="M64:M65" ca="1" si="1">ROUND(L64,1)</f>
        <v>675.3</v>
      </c>
      <c r="N64" s="2521" t="s">
        <v>1366</v>
      </c>
      <c r="Z64" s="1752"/>
      <c r="AI64" s="1753"/>
    </row>
    <row r="65" spans="1:35" ht="14.25" customHeight="1">
      <c r="A65" s="169" t="s">
        <v>326</v>
      </c>
      <c r="B65" s="170" t="s">
        <v>1367</v>
      </c>
      <c r="C65" s="2543"/>
      <c r="D65" s="170"/>
      <c r="E65" s="172"/>
      <c r="F65" s="1808"/>
      <c r="G65" s="1808"/>
      <c r="H65" s="1810"/>
      <c r="I65" s="129"/>
      <c r="J65" s="3682"/>
      <c r="K65" s="1332" t="s">
        <v>1368</v>
      </c>
      <c r="L65" s="1332">
        <f ca="1">IF(M49&gt;1000,M49*0.1%,IF(AND(M49&gt;500,M49&lt;=1000),M49*0.5%,IF(AND(M49&gt;50,M49&lt;=500),M49*1%,IF(AND(M49&gt;1,M49&lt;=50),M49*1.5%))))</f>
        <v>135.05000000000001</v>
      </c>
      <c r="M65" s="302">
        <f t="shared" ca="1" si="1"/>
        <v>135.1</v>
      </c>
      <c r="N65" s="2521" t="s">
        <v>1366</v>
      </c>
      <c r="Z65" s="1752"/>
      <c r="AI65" s="1753"/>
    </row>
    <row r="66" spans="1:35" ht="14.25" customHeight="1">
      <c r="A66" s="173" t="s">
        <v>327</v>
      </c>
      <c r="B66" s="174" t="s">
        <v>1369</v>
      </c>
      <c r="C66" s="2544">
        <v>137000</v>
      </c>
      <c r="D66" s="174" t="s">
        <v>26</v>
      </c>
      <c r="E66" s="1338" t="s">
        <v>671</v>
      </c>
      <c r="F66" s="1808"/>
      <c r="G66" s="1808"/>
      <c r="H66" s="1810"/>
      <c r="I66" s="129"/>
      <c r="J66" s="3682"/>
      <c r="K66" s="1332" t="s">
        <v>1370</v>
      </c>
      <c r="L66" s="1332">
        <f ca="1">M49*0.5%</f>
        <v>675.25</v>
      </c>
      <c r="M66" s="302">
        <f ca="1">IF(L66&gt;0.5,0.5,ROUND(L66,0))</f>
        <v>0.5</v>
      </c>
      <c r="N66" s="2521" t="s">
        <v>1371</v>
      </c>
      <c r="Z66" s="1752"/>
      <c r="AI66" s="1753"/>
    </row>
    <row r="67" spans="1:35" ht="14.25" customHeight="1">
      <c r="A67" s="173" t="s">
        <v>328</v>
      </c>
      <c r="B67" s="174" t="s">
        <v>1372</v>
      </c>
      <c r="C67" s="2545">
        <f ca="1">C63-C66</f>
        <v>-8381</v>
      </c>
      <c r="D67" s="170" t="s">
        <v>26</v>
      </c>
      <c r="E67" s="172"/>
      <c r="F67" s="1808"/>
      <c r="G67" s="1808"/>
      <c r="H67" s="1810"/>
      <c r="I67" s="129"/>
      <c r="J67" s="3682"/>
      <c r="K67" s="1332" t="s">
        <v>1373</v>
      </c>
      <c r="L67" s="1332">
        <f ca="1">IF(M49&gt;=10000,(8.25+(M49-10000)*0.01%),IF(AND(M49&gt;=8000,M49&lt;10000),(7.85+(M49-8000)*0.02%),IF(AND(M49&gt;=5000,M49&lt;8000),(6.65+(M49-5000)*0.04%),IF(AND(M49&gt;=2000,M49&lt;5000),(4.25+(PM49-2000)*0.08%),IF(AND(M49&gt;=1000,M49&lt;2000),(2.75+(M49-1000)*0.15%),IF(AND(M49&gt;=100,M49&lt;1000),(0.5+(M49-100)*0.25%),IF(AND(M49&gt;0,M49&lt;100),M49*0.5%)))))))</f>
        <v>20.755000000000003</v>
      </c>
      <c r="M67" s="302">
        <f ca="1">ROUND(L67*0.9,1)</f>
        <v>18.7</v>
      </c>
      <c r="N67" s="2520"/>
      <c r="Z67" s="1752"/>
      <c r="AI67" s="1753"/>
    </row>
    <row r="68" spans="1:35" ht="14.25" customHeight="1" thickBot="1">
      <c r="A68" s="176" t="s">
        <v>329</v>
      </c>
      <c r="B68" s="177" t="s">
        <v>1374</v>
      </c>
      <c r="C68" s="2546">
        <f ca="1">IF(C67&lt;=0,0,ROUND(C67*D68,0))</f>
        <v>0</v>
      </c>
      <c r="D68" s="2547">
        <f>'数据-取费表'!B41</f>
        <v>5.6000000000000001E-2</v>
      </c>
      <c r="E68" s="178"/>
      <c r="F68" s="1808"/>
      <c r="G68" s="1808"/>
      <c r="H68" s="1810"/>
      <c r="I68" s="129"/>
      <c r="J68" s="3682"/>
      <c r="K68" s="1332" t="s">
        <v>1375</v>
      </c>
      <c r="L68" s="1332">
        <f ca="1">IF(M49&gt;10000,M49*0.5%,IF(AND(M49&gt;5000,M49&lt;=10000),M49*1%,IF(AND(M49&gt;1000,M49&lt;=5000),M49*2%,IF(AND(M49&gt;200,M49&lt;=1000),M49*3%,M49*5%))))</f>
        <v>675.25</v>
      </c>
      <c r="M68" s="302">
        <f ca="1">ROUND(L68,1)</f>
        <v>675.3</v>
      </c>
      <c r="N68" s="2520"/>
      <c r="Z68" s="1752"/>
      <c r="AI68" s="1753"/>
    </row>
    <row r="69" spans="1:35" s="1772" customFormat="1" ht="16.5" customHeight="1">
      <c r="A69" s="1811"/>
      <c r="B69" s="1812"/>
      <c r="C69" s="1813"/>
      <c r="D69" s="1814"/>
      <c r="E69" s="1815"/>
      <c r="F69" s="1578"/>
      <c r="G69" s="1578"/>
      <c r="H69" s="1577"/>
      <c r="I69" s="1747"/>
      <c r="J69" s="3682"/>
      <c r="K69" s="1332" t="s">
        <v>1376</v>
      </c>
      <c r="L69" s="1332"/>
      <c r="M69" s="302">
        <f ca="1">ROUND(SUM(M63:M68),0)</f>
        <v>2180</v>
      </c>
      <c r="N69" s="2522">
        <f ca="1">M69/M49</f>
        <v>1.61421695668271E-2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26" t="s">
        <v>1377</v>
      </c>
      <c r="B70" s="3727"/>
      <c r="C70" s="3727"/>
      <c r="D70" s="3727"/>
      <c r="E70" s="3727"/>
      <c r="F70" s="3727"/>
      <c r="G70" s="3727"/>
      <c r="H70" s="3727"/>
      <c r="I70" s="1816"/>
      <c r="J70" s="2667"/>
      <c r="K70" s="2667"/>
      <c r="L70" s="2667"/>
      <c r="M70" s="266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18" t="s">
        <v>1358</v>
      </c>
      <c r="B71" s="3719"/>
      <c r="C71" s="2021"/>
      <c r="D71" s="2021" t="s">
        <v>1359</v>
      </c>
      <c r="E71" s="179" t="s">
        <v>1360</v>
      </c>
      <c r="F71" s="180"/>
      <c r="G71" s="180"/>
      <c r="H71" s="181"/>
      <c r="I71" s="1820"/>
      <c r="J71" s="2667"/>
      <c r="K71" s="2667"/>
      <c r="L71" s="2667"/>
      <c r="M71" s="266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5">
        <f ca="1">ROUND(D45/(1+'数据-取费表'!C42),0)</f>
        <v>128619</v>
      </c>
      <c r="D72" s="170" t="s">
        <v>26</v>
      </c>
      <c r="E72" s="2331"/>
      <c r="F72" s="2330"/>
      <c r="G72" s="2330"/>
      <c r="H72" s="182"/>
      <c r="I72" s="1820"/>
      <c r="J72" s="2667"/>
      <c r="K72" s="2667"/>
      <c r="L72" s="2667"/>
      <c r="M72" s="266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5">
        <f ca="1">C74+C78</f>
        <v>141951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141179</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8">
        <f>C66</f>
        <v>137000</v>
      </c>
      <c r="D75" s="170" t="s">
        <v>26</v>
      </c>
      <c r="E75" s="184" t="s">
        <v>1382</v>
      </c>
      <c r="F75" s="2549" t="s">
        <v>4628</v>
      </c>
      <c r="G75" s="184" t="s">
        <v>1383</v>
      </c>
      <c r="H75" s="2550">
        <v>11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51">
        <v>0.05</v>
      </c>
      <c r="E76" s="3723" t="s">
        <v>1385</v>
      </c>
      <c r="F76" s="3722"/>
      <c r="G76" s="3722"/>
      <c r="H76" s="37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4179</v>
      </c>
      <c r="D77" s="2552">
        <f>'数据-取费表'!B48+'数据-取费表'!B49</f>
        <v>3.0499999999999999E-2</v>
      </c>
      <c r="E77" s="2324" t="s">
        <v>1387</v>
      </c>
      <c r="F77" s="186"/>
      <c r="G77" s="1822" t="s">
        <v>4629</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3">
        <f ca="1">ROUND(D45*D78/(1+'数据-取费表'!C42),0)</f>
        <v>772</v>
      </c>
      <c r="D78" s="2554">
        <f>'数据-取费表'!B43</f>
        <v>6.000000000000001E-3</v>
      </c>
      <c r="E78" s="3715" t="s">
        <v>1389</v>
      </c>
      <c r="F78" s="3716"/>
      <c r="G78" s="3716"/>
      <c r="H78" s="371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5">
        <f ca="1">C72-C73</f>
        <v>-13332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5">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6">
        <f ca="1">ROUND(IF(C79&lt;=0,0,IF(C80&gt;=200%,C79*60%-C73*35%,IF(C80&gt;=100%,C79*50%-C73*15%,IF(C80&gt;=50%,C79*40%-C73*5%,IF(C80&lt;50%,C79*30%,0))))),0)</f>
        <v>0</v>
      </c>
      <c r="D81" s="255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726" t="s">
        <v>1393</v>
      </c>
      <c r="B83" s="3727"/>
      <c r="C83" s="3727"/>
      <c r="D83" s="3727"/>
      <c r="E83" s="3727"/>
      <c r="F83" s="3727"/>
      <c r="G83" s="3727"/>
      <c r="H83" s="37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718" t="s">
        <v>1358</v>
      </c>
      <c r="B84" s="3719"/>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5">
        <f ca="1">ROUND(D45/(1+'数据-取费表'!C42),0)</f>
        <v>128619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5">
        <f ca="1">IF(H88="仅含出让金",C87+C90+C91+C92+C93+C94,C87+C91+C92+C93+C94)</f>
        <v>772</v>
      </c>
      <c r="D86" s="255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3">
        <f>C88+C89</f>
        <v>0</v>
      </c>
      <c r="D87" s="255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9"/>
      <c r="D88" s="2554"/>
      <c r="E88" s="193" t="s">
        <v>1396</v>
      </c>
      <c r="F88" s="2327"/>
      <c r="G88" s="194" t="s">
        <v>1397</v>
      </c>
      <c r="H88" s="1824"/>
      <c r="I88" s="1821"/>
      <c r="J88" s="2517" t="s">
        <v>2265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3">
        <f>ROUND(C88*D89,0)</f>
        <v>0</v>
      </c>
      <c r="D89" s="2554">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9"/>
      <c r="D90" s="2554"/>
      <c r="E90" s="193" t="str">
        <f>IF(H88="-","土地取得成本中已包含该笔费用"," ")</f>
        <v xml:space="preserve"> </v>
      </c>
      <c r="F90" s="2327"/>
      <c r="G90" s="3684" t="s">
        <v>2111</v>
      </c>
      <c r="H90" s="3685"/>
      <c r="I90" s="1821"/>
      <c r="J90" s="2517" t="s">
        <v>2266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3">
        <f>IF(H91="——",成本法!C33,I91)</f>
        <v>0</v>
      </c>
      <c r="D91" s="2554"/>
      <c r="E91" s="3715" t="s">
        <v>1402</v>
      </c>
      <c r="F91" s="3716"/>
      <c r="G91" s="371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3">
        <f>ROUND((C87+C90+C91)*D92,0)</f>
        <v>0</v>
      </c>
      <c r="D92" s="2560"/>
      <c r="E92" s="3715" t="s">
        <v>1405</v>
      </c>
      <c r="F92" s="3716"/>
      <c r="G92" s="3716"/>
      <c r="H92" s="3717"/>
      <c r="I92" s="1821"/>
      <c r="J92" s="2518" t="s">
        <v>2267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3">
        <f ca="1">ROUND(D45*D93/(1+'数据-取费表'!C42),0)</f>
        <v>772</v>
      </c>
      <c r="D93" s="2554">
        <f>'数据-取费表'!B43</f>
        <v>6.000000000000001E-3</v>
      </c>
      <c r="E93" s="3715" t="s">
        <v>1389</v>
      </c>
      <c r="F93" s="3716"/>
      <c r="G93" s="3716"/>
      <c r="H93" s="371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9">
        <f>ROUND((C87+C90+C91)*D94,0)</f>
        <v>0</v>
      </c>
      <c r="D94" s="2554">
        <v>0.2</v>
      </c>
      <c r="E94" s="3760" t="s">
        <v>1409</v>
      </c>
      <c r="F94" s="3761"/>
      <c r="G94" s="3761"/>
      <c r="H94" s="37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5">
        <f ca="1">ROUND(C85-C86,0)</f>
        <v>127847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5">
        <f ca="1">IF(C95&lt;=0,0,C95/C86)</f>
        <v>165.60492227979276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6">
        <f ca="1">ROUND(IF(C95&lt;=0,0,IF(C96&gt;=200%,C95*60%-C86*35%,IF(C96&gt;=100%,C95*50%-C86*15%,IF(C96&gt;=50%,C95*40%-C86*5%,IF(C96&lt;50%,C95*30%,0))))),0)</f>
        <v>76438</v>
      </c>
      <c r="D97" s="255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64" t="s">
        <v>1411</v>
      </c>
      <c r="B100" s="3665"/>
      <c r="C100" s="3665"/>
      <c r="D100" s="3700"/>
      <c r="E100" s="3665" t="s">
        <v>1412</v>
      </c>
      <c r="F100" s="3665"/>
      <c r="G100" s="3665"/>
      <c r="H100" s="3700"/>
      <c r="I100" s="129"/>
    </row>
    <row r="101" spans="1:35" ht="18.75" customHeight="1">
      <c r="A101" s="3708" t="s">
        <v>1413</v>
      </c>
      <c r="B101" s="3709"/>
      <c r="C101" s="2562" t="str">
        <f>C4</f>
        <v>比较法-办公</v>
      </c>
      <c r="D101" s="2563" t="str">
        <f>D4</f>
        <v>收益法-办公</v>
      </c>
      <c r="E101" s="3678" t="s">
        <v>1414</v>
      </c>
      <c r="F101" s="3679"/>
      <c r="G101" s="1827" t="s">
        <v>1415</v>
      </c>
      <c r="H101" s="2572">
        <f ca="1">H118</f>
        <v>135050</v>
      </c>
      <c r="I101" s="129"/>
    </row>
    <row r="102" spans="1:35" ht="18.75" customHeight="1">
      <c r="A102" s="3710" t="s">
        <v>1416</v>
      </c>
      <c r="B102" s="2561" t="s">
        <v>1415</v>
      </c>
      <c r="C102" s="2562">
        <f ca="1">IF(D32="楼面单价",ROUND(C19,0),C19)</f>
        <v>155985</v>
      </c>
      <c r="D102" s="2563">
        <f ca="1">IF(D32="楼面单价",ROUND(D19,0),D19)</f>
        <v>86200</v>
      </c>
      <c r="E102" s="3678"/>
      <c r="F102" s="3679"/>
      <c r="G102" s="1827" t="s">
        <v>1417</v>
      </c>
      <c r="H102" s="2532">
        <f ca="1">I118</f>
        <v>42064</v>
      </c>
      <c r="I102" s="129"/>
    </row>
    <row r="103" spans="1:35" ht="42.75" customHeight="1">
      <c r="A103" s="3710"/>
      <c r="B103" s="2561" t="s">
        <v>1417</v>
      </c>
      <c r="C103" s="2564">
        <f ca="1">C20</f>
        <v>48585</v>
      </c>
      <c r="D103" s="2565">
        <f ca="1">D20</f>
        <v>26849</v>
      </c>
      <c r="E103" s="3670" t="s">
        <v>4641</v>
      </c>
      <c r="F103" s="3671"/>
      <c r="G103" s="1828" t="s">
        <v>1418</v>
      </c>
      <c r="H103" s="2572">
        <f>IF(D36="正常操作",H104+H105+H106,H105+H106)</f>
        <v>0</v>
      </c>
      <c r="I103" s="129"/>
    </row>
    <row r="104" spans="1:35" ht="18.75" customHeight="1">
      <c r="A104" s="3710" t="s">
        <v>1419</v>
      </c>
      <c r="B104" s="2566" t="s">
        <v>1415</v>
      </c>
      <c r="C104" s="2567">
        <f ca="1">H118</f>
        <v>135050</v>
      </c>
      <c r="D104" s="2568"/>
      <c r="E104" s="1674" t="s">
        <v>1420</v>
      </c>
      <c r="F104" s="1666"/>
      <c r="G104" s="1828" t="s">
        <v>1418</v>
      </c>
      <c r="H104" s="2573">
        <f>IF(D36="同一抵押权人同一抵押物续贷",C36&amp;"（续贷，未扣减，详见特别提示）",C36)</f>
        <v>0</v>
      </c>
      <c r="I104" s="129"/>
    </row>
    <row r="105" spans="1:35" ht="18.75" customHeight="1" thickBot="1">
      <c r="A105" s="3720"/>
      <c r="B105" s="2569" t="s">
        <v>1417</v>
      </c>
      <c r="C105" s="2570">
        <f ca="1">I118</f>
        <v>42064</v>
      </c>
      <c r="D105" s="2571"/>
      <c r="E105" s="1674" t="s">
        <v>1421</v>
      </c>
      <c r="F105" s="1666"/>
      <c r="G105" s="1828" t="s">
        <v>1418</v>
      </c>
      <c r="H105" s="2574">
        <f>C37</f>
        <v>0</v>
      </c>
      <c r="I105" s="129"/>
    </row>
    <row r="106" spans="1:35" ht="18.75" customHeight="1">
      <c r="A106" s="1747" t="s">
        <v>1422</v>
      </c>
      <c r="B106" s="1747"/>
      <c r="C106" s="1747"/>
      <c r="D106" s="1747"/>
      <c r="E106" s="1829" t="s">
        <v>1423</v>
      </c>
      <c r="F106" s="1666"/>
      <c r="G106" s="1828" t="s">
        <v>1418</v>
      </c>
      <c r="H106" s="2574">
        <f>C38</f>
        <v>0</v>
      </c>
      <c r="I106" s="129"/>
    </row>
    <row r="107" spans="1:35" ht="18.75" customHeight="1">
      <c r="A107" s="129"/>
      <c r="B107" s="129"/>
      <c r="C107" s="129"/>
      <c r="D107" s="129"/>
      <c r="E107" s="3711" t="str">
        <f>IF(项目基本情况!E8="已注销","——","3.房地产抵押价值")</f>
        <v>——</v>
      </c>
      <c r="F107" s="3679"/>
      <c r="G107" s="1827" t="s">
        <v>1415</v>
      </c>
      <c r="H107" s="2572" t="str">
        <f>IF(E107="——","——",H101-H103)</f>
        <v>——</v>
      </c>
      <c r="I107" s="129"/>
    </row>
    <row r="108" spans="1:35" ht="18.75" customHeight="1">
      <c r="A108" s="129"/>
      <c r="B108" s="129"/>
      <c r="C108" s="129"/>
      <c r="D108" s="129"/>
      <c r="E108" s="3711"/>
      <c r="F108" s="3679"/>
      <c r="G108" s="1827" t="s">
        <v>1417</v>
      </c>
      <c r="H108" s="2532" t="e">
        <f ca="1">IF(H107=H101,H102,ROUND(H107*10000/'数据-汇总表'!E3,0))</f>
        <v>#VALUE!</v>
      </c>
      <c r="I108" s="129"/>
    </row>
    <row r="109" spans="1:35" ht="18.75" customHeight="1">
      <c r="A109" s="129"/>
      <c r="B109" s="129"/>
      <c r="C109" s="129"/>
      <c r="D109" s="129"/>
      <c r="E109" s="3711" t="str">
        <f>IF(项目基本情况!E8="已注销及未注销","4.抵押担保权已注销时的房地产抵押价值",IF(项目基本情况!E8="已注销","3.抵押担保权已注销时的房地产抵押价值","——"))</f>
        <v>3.抵押担保权已注销时的房地产抵押价值</v>
      </c>
      <c r="F109" s="3679"/>
      <c r="G109" s="1827" t="s">
        <v>1415</v>
      </c>
      <c r="H109" s="2575">
        <f ca="1">IF(E109="——","——",H101-H105-H106)</f>
        <v>135050</v>
      </c>
      <c r="I109" s="129"/>
    </row>
    <row r="110" spans="1:35" ht="18.75" customHeight="1">
      <c r="A110" s="129"/>
      <c r="B110" s="129"/>
      <c r="C110" s="129"/>
      <c r="D110" s="129"/>
      <c r="E110" s="3711"/>
      <c r="F110" s="3679"/>
      <c r="G110" s="1827" t="s">
        <v>1417</v>
      </c>
      <c r="H110" s="2532">
        <f ca="1">IF(H109="——","——",ROUND(H109*10000/'数据-汇总表'!E3,0))</f>
        <v>42064</v>
      </c>
      <c r="I110" s="129"/>
    </row>
    <row r="111" spans="1:35" ht="18.75" customHeight="1">
      <c r="A111" s="129"/>
      <c r="B111" s="129"/>
      <c r="C111" s="129"/>
      <c r="D111" s="129"/>
      <c r="E111" s="3712" t="str">
        <f>IF(项目基本情况!E9="抵押净值",IF(OR(项目基本情况!E8="已注销",项目基本情况!E8="房地产抵押价值"),"4.抵押净值","5.抵押净值"),"——")</f>
        <v>4.抵押净值</v>
      </c>
      <c r="F111" s="3698"/>
      <c r="G111" s="1827" t="s">
        <v>1415</v>
      </c>
      <c r="H111" s="2572">
        <f ca="1">IF(E111="——","——",N59)</f>
        <v>134982</v>
      </c>
      <c r="I111" s="129"/>
    </row>
    <row r="112" spans="1:35" ht="18.75" customHeight="1" thickBot="1">
      <c r="A112" s="129"/>
      <c r="B112" s="129"/>
      <c r="C112" s="129"/>
      <c r="D112" s="129"/>
      <c r="E112" s="3713"/>
      <c r="F112" s="3714"/>
      <c r="G112" s="1830" t="s">
        <v>1417</v>
      </c>
      <c r="H112" s="2576">
        <f ca="1">IF(E111="——","——",N61)</f>
        <v>42043</v>
      </c>
      <c r="I112" s="129"/>
    </row>
    <row r="113" spans="1:27" ht="18.75" customHeight="1">
      <c r="A113" s="129"/>
      <c r="B113" s="129"/>
      <c r="C113" s="129"/>
      <c r="D113" s="129"/>
      <c r="E113" s="3721" t="s">
        <v>1422</v>
      </c>
      <c r="F113" s="3721"/>
      <c r="G113" s="3721"/>
      <c r="H113" s="3721"/>
      <c r="I113" s="129"/>
    </row>
    <row r="114" spans="1:27" ht="3.75" customHeight="1">
      <c r="A114" s="1747"/>
      <c r="B114" s="1747"/>
      <c r="C114" s="1747"/>
      <c r="D114" s="1747"/>
      <c r="E114" s="1809"/>
      <c r="F114" s="1809"/>
      <c r="G114" s="1809"/>
      <c r="H114" s="1809"/>
      <c r="I114" s="1747"/>
    </row>
    <row r="115" spans="1:27" ht="18.75" customHeight="1">
      <c r="A115" s="3729" t="s">
        <v>1424</v>
      </c>
      <c r="B115" s="3730"/>
      <c r="C115" s="3730"/>
      <c r="D115" s="3730"/>
      <c r="E115" s="3730"/>
      <c r="F115" s="3730"/>
      <c r="G115" s="3730"/>
      <c r="H115" s="3730"/>
      <c r="I115" s="3731"/>
    </row>
    <row r="116" spans="1:27" ht="27" customHeight="1">
      <c r="A116" s="3686" t="s">
        <v>1425</v>
      </c>
      <c r="B116" s="3690" t="s">
        <v>1426</v>
      </c>
      <c r="C116" s="3690" t="s">
        <v>1427</v>
      </c>
      <c r="D116" s="3696" t="s">
        <v>1428</v>
      </c>
      <c r="E116" s="3697"/>
      <c r="F116" s="3728" t="s">
        <v>1429</v>
      </c>
      <c r="G116" s="3728"/>
      <c r="H116" s="3686" t="s">
        <v>1430</v>
      </c>
      <c r="I116" s="3686"/>
    </row>
    <row r="117" spans="1:27" ht="18.75" customHeight="1">
      <c r="A117" s="3686"/>
      <c r="B117" s="3691"/>
      <c r="C117" s="3691"/>
      <c r="D117" s="2329" t="s">
        <v>1431</v>
      </c>
      <c r="E117" s="2329" t="s">
        <v>1432</v>
      </c>
      <c r="F117" s="2329" t="s">
        <v>1431</v>
      </c>
      <c r="G117" s="2329" t="s">
        <v>1433</v>
      </c>
      <c r="H117" s="2329" t="s">
        <v>1431</v>
      </c>
      <c r="I117" s="2329" t="s">
        <v>1433</v>
      </c>
    </row>
    <row r="118" spans="1:27" ht="24.75" customHeight="1">
      <c r="A118" s="2577" t="str">
        <f>项目基本情况!S2</f>
        <v>北京市朝阳区朝阳门外大街5号院1号楼房地产</v>
      </c>
      <c r="B118" s="2329">
        <f>M18</f>
        <v>32105.55</v>
      </c>
      <c r="C118" s="2329">
        <f>M19</f>
        <v>0</v>
      </c>
      <c r="D118" s="2329">
        <f ca="1">ROUND(IF(D32="总价",C34,E118*B118/10000),0)</f>
        <v>107095</v>
      </c>
      <c r="E118" s="2329">
        <f ca="1">ROUND(IF(C33="自定义",IF(D32="楼面单价",C34,D118*10000/B118),I118-G118),0)</f>
        <v>33357</v>
      </c>
      <c r="F118" s="2329">
        <f ca="1">ROUND(IF(D32="总价",C35,G118*B118/10000),0)</f>
        <v>27955</v>
      </c>
      <c r="G118" s="2329">
        <f ca="1">ROUND(IF(D32="楼面单价",C35,F118*10000/B118),0)</f>
        <v>8707</v>
      </c>
      <c r="H118" s="2329">
        <f ca="1">ROUND(IF(D32="总价",C32,I118*B118/10000),0)</f>
        <v>135050</v>
      </c>
      <c r="I118" s="2329">
        <f ca="1">ROUND(IF(D32="楼面单价",C32,H118*10000/B118),0)</f>
        <v>42064</v>
      </c>
    </row>
    <row r="119" spans="1:27" ht="18.75" customHeight="1">
      <c r="A119" s="3686" t="s">
        <v>1434</v>
      </c>
      <c r="B119" s="3686"/>
      <c r="C119" s="3686"/>
      <c r="D119" s="3692" t="str">
        <f ca="1">NUMBERSTRING(INT(D118*10000),2)&amp;"元整"</f>
        <v>壹拾亿柒仟零玖拾伍万元整</v>
      </c>
      <c r="E119" s="3693"/>
      <c r="F119" s="3692" t="str">
        <f ca="1">NUMBERSTRING(INT(F118*10000),2)&amp;"元整"</f>
        <v>贰亿柒仟玖佰伍拾伍万元整</v>
      </c>
      <c r="G119" s="3693"/>
      <c r="H119" s="3692" t="str">
        <f ca="1">NUMBERSTRING(INT(H118*10000),2)&amp;"元整"</f>
        <v>壹拾叁亿伍仟零伍拾万元整</v>
      </c>
      <c r="I119" s="3693"/>
    </row>
    <row r="120" spans="1:27" ht="18.75" customHeight="1">
      <c r="A120" s="3687" t="str">
        <f>IF(项目基本情况!B9="房地产市场价值","",MID(E103,3,LEN(E103)-2))</f>
        <v>估价师知悉的除抵押担保权以外的法定优先受偿款</v>
      </c>
      <c r="B120" s="3688"/>
      <c r="C120" s="3689"/>
      <c r="D120" s="3687">
        <f>H103</f>
        <v>0</v>
      </c>
      <c r="E120" s="3688"/>
      <c r="F120" s="3688"/>
      <c r="G120" s="3688"/>
      <c r="H120" s="3688"/>
      <c r="I120" s="3689"/>
      <c r="J120" s="1752"/>
      <c r="K120" s="1752" t="str">
        <f>IF(D120=0,"故，本次评估不存在"&amp;A120,"故，本次评估"&amp;A120&amp;"为人民币"&amp;D120&amp;"万元整。")</f>
        <v>故，本次评估不存在估价师知悉的除抵押担保权以外的法定优先受偿款</v>
      </c>
      <c r="L120" s="1752"/>
      <c r="M120" s="1752"/>
      <c r="N120" s="1752"/>
      <c r="O120" s="1752"/>
      <c r="P120" s="1752"/>
      <c r="Q120" s="1752"/>
      <c r="R120" s="1752"/>
      <c r="S120" s="1752"/>
    </row>
    <row r="121" spans="1:27" ht="18.75" customHeight="1">
      <c r="A121" s="3692" t="s">
        <v>1434</v>
      </c>
      <c r="B121" s="3694"/>
      <c r="C121" s="3693"/>
      <c r="D121" s="3692" t="str">
        <f>IF(D120=0,"零元整",NUMBERSTRING(INT(D120*10000),2)&amp;"元整")</f>
        <v>零元整</v>
      </c>
      <c r="E121" s="3694"/>
      <c r="F121" s="3694"/>
      <c r="G121" s="3694"/>
      <c r="H121" s="3694"/>
      <c r="I121" s="3693"/>
      <c r="AA121" s="725"/>
    </row>
    <row r="122" spans="1:27" ht="18.75" customHeight="1">
      <c r="A122" s="3698" t="str">
        <f>IF(项目基本情况!B9="房地产市场价值","",MID(E107,3,LEN(E107)-2))</f>
        <v/>
      </c>
      <c r="B122" s="3698"/>
      <c r="C122" s="3698"/>
      <c r="D122" s="3687" t="str">
        <f>H107</f>
        <v>——</v>
      </c>
      <c r="E122" s="3688"/>
      <c r="F122" s="3688"/>
      <c r="G122" s="3688"/>
      <c r="H122" s="3688"/>
      <c r="I122" s="3689"/>
      <c r="AA122" s="725"/>
    </row>
    <row r="123" spans="1:27" ht="18.75" customHeight="1">
      <c r="A123" s="3686" t="s">
        <v>1434</v>
      </c>
      <c r="B123" s="3686"/>
      <c r="C123" s="3686"/>
      <c r="D123" s="3692" t="e">
        <f>NUMBERSTRING(INT(D122*10000),2)&amp;"元整"</f>
        <v>#VALUE!</v>
      </c>
      <c r="E123" s="3694"/>
      <c r="F123" s="3694"/>
      <c r="G123" s="3694"/>
      <c r="H123" s="3694"/>
      <c r="I123" s="3693"/>
      <c r="AA123" s="725"/>
    </row>
    <row r="124" spans="1:27" ht="18.75" customHeight="1">
      <c r="A124" s="3698" t="str">
        <f>IF(项目基本情况!B9="房地产市场价值","",MID(E109,3,LEN(E109)-2))</f>
        <v>抵押担保权已注销时的房地产抵押价值</v>
      </c>
      <c r="B124" s="3698"/>
      <c r="C124" s="3698"/>
      <c r="D124" s="3687">
        <f ca="1">H109</f>
        <v>135050</v>
      </c>
      <c r="E124" s="3688"/>
      <c r="F124" s="3688"/>
      <c r="G124" s="3688"/>
      <c r="H124" s="3688"/>
      <c r="I124" s="3689"/>
      <c r="AA124" s="725"/>
    </row>
    <row r="125" spans="1:27" ht="18.75" customHeight="1">
      <c r="A125" s="3686" t="s">
        <v>1434</v>
      </c>
      <c r="B125" s="3686"/>
      <c r="C125" s="3686"/>
      <c r="D125" s="3692" t="str">
        <f ca="1">NUMBERSTRING(INT(D124*10000),2)&amp;"元整"</f>
        <v>壹拾叁亿伍仟零伍拾万元整</v>
      </c>
      <c r="E125" s="3694"/>
      <c r="F125" s="3694"/>
      <c r="G125" s="3694"/>
      <c r="H125" s="3694"/>
      <c r="I125" s="3693"/>
      <c r="AA125" s="725"/>
    </row>
    <row r="126" spans="1:27" ht="18.75" customHeight="1">
      <c r="A126" s="3698" t="str">
        <f>IF(项目基本情况!B9="房地产市场价值","",MID(E111,3,LEN(E111)-2))</f>
        <v>抵押净值</v>
      </c>
      <c r="B126" s="3698"/>
      <c r="C126" s="3698"/>
      <c r="D126" s="3687">
        <f ca="1">H111</f>
        <v>134982</v>
      </c>
      <c r="E126" s="3688"/>
      <c r="F126" s="3688"/>
      <c r="G126" s="3688"/>
      <c r="H126" s="3688"/>
      <c r="I126" s="3689"/>
      <c r="AA126" s="725"/>
    </row>
    <row r="127" spans="1:27" ht="18.75" customHeight="1">
      <c r="A127" s="3686" t="s">
        <v>1434</v>
      </c>
      <c r="B127" s="3686"/>
      <c r="C127" s="3686"/>
      <c r="D127" s="3692" t="str">
        <f ca="1">NUMBERSTRING(INT(D126*10000),2)&amp;"元整"</f>
        <v>壹拾叁亿肆仟玖佰捌拾贰万元整</v>
      </c>
      <c r="E127" s="3694"/>
      <c r="F127" s="3694"/>
      <c r="G127" s="3694"/>
      <c r="H127" s="3694"/>
      <c r="I127" s="3693"/>
      <c r="AA127" s="725"/>
    </row>
    <row r="128" spans="1:27" ht="21.75" customHeight="1">
      <c r="A128" s="3695" t="s">
        <v>1435</v>
      </c>
      <c r="B128" s="3695"/>
      <c r="C128" s="3695"/>
      <c r="D128" s="3695"/>
      <c r="E128" s="3695"/>
      <c r="F128" s="3695"/>
      <c r="G128" s="3695"/>
      <c r="H128" s="3695"/>
      <c r="I128" s="3695"/>
      <c r="AA128" s="725"/>
    </row>
    <row r="129" spans="1:35" ht="21.75" customHeight="1">
      <c r="A129" s="1831" t="s">
        <v>1436</v>
      </c>
      <c r="B129" s="1832"/>
      <c r="C129" s="1833" t="s">
        <v>1437</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1438</v>
      </c>
      <c r="G135" s="1848"/>
      <c r="H135" s="1848"/>
      <c r="I135" s="1849" t="s">
        <v>1439</v>
      </c>
    </row>
    <row r="136" spans="1:35" ht="21.75" customHeight="1">
      <c r="A136" s="725"/>
      <c r="B136" s="1850"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1441</v>
      </c>
    </row>
    <row r="139" spans="1:35" ht="21.75" customHeight="1">
      <c r="A139" s="725"/>
      <c r="B139" s="1850" t="s">
        <v>1442</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1441</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81" t="str">
        <f>项目基本情况!B1</f>
        <v>北京市朝阳区朝阳门外大街5号院1号楼房地产抵押价值预评估</v>
      </c>
      <c r="C37" s="3581"/>
      <c r="D37" s="3581"/>
      <c r="E37" s="3581"/>
      <c r="F37" s="3581"/>
      <c r="G37" s="3581"/>
      <c r="H37" s="3581"/>
      <c r="I37" s="35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O132"/>
  <sheetViews>
    <sheetView view="pageBreakPreview" topLeftCell="A2" zoomScale="80" zoomScaleNormal="70" zoomScaleSheetLayoutView="80" workbookViewId="0">
      <selection activeCell="N18" sqref="N1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09" t="s">
        <v>3566</v>
      </c>
      <c r="F1" s="1879" t="s">
        <v>3567</v>
      </c>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155985</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48585</v>
      </c>
      <c r="C3" s="354" t="s">
        <v>1750</v>
      </c>
      <c r="D3" s="353">
        <f>IF(D1="",'数据-汇总表'!E3,SUMIF('数据-汇总表'!$C19:$C33,D1,'数据-汇总表'!$E19:$E33))</f>
        <v>32105.55</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1751</v>
      </c>
      <c r="B4" s="356"/>
      <c r="C4" s="3786" t="s">
        <v>1752</v>
      </c>
      <c r="D4" s="3787"/>
      <c r="E4" s="3788" t="s">
        <v>1753</v>
      </c>
      <c r="F4" s="3789"/>
      <c r="G4" s="3786" t="s">
        <v>1754</v>
      </c>
      <c r="H4" s="3787"/>
      <c r="I4" s="3786" t="s">
        <v>1755</v>
      </c>
      <c r="J4" s="3787"/>
      <c r="K4" s="559" t="s">
        <v>1756</v>
      </c>
      <c r="L4" s="2691"/>
      <c r="M4" s="2692"/>
      <c r="N4" s="2692"/>
      <c r="O4" s="2692"/>
      <c r="P4" s="3790" t="s">
        <v>1757</v>
      </c>
      <c r="Q4" s="3791"/>
      <c r="R4" s="3770" t="s">
        <v>1753</v>
      </c>
      <c r="S4" s="3771"/>
      <c r="T4" s="3770" t="s">
        <v>1754</v>
      </c>
      <c r="U4" s="3771"/>
      <c r="V4" s="3798" t="s">
        <v>1755</v>
      </c>
      <c r="W4" s="3798"/>
      <c r="X4" s="1958"/>
      <c r="Y4" s="3770" t="s">
        <v>1757</v>
      </c>
      <c r="Z4" s="3771"/>
      <c r="AA4" s="3765" t="s">
        <v>1753</v>
      </c>
      <c r="AB4" s="3765" t="s">
        <v>1754</v>
      </c>
      <c r="AC4" s="3783" t="s">
        <v>1755</v>
      </c>
    </row>
    <row r="5" spans="1:29" ht="15">
      <c r="A5" s="358"/>
      <c r="B5" s="359"/>
      <c r="C5" s="3776" t="s">
        <v>1655</v>
      </c>
      <c r="D5" s="3777"/>
      <c r="E5" s="3774" t="s">
        <v>4693</v>
      </c>
      <c r="F5" s="3775"/>
      <c r="G5" s="3776" t="s">
        <v>4701</v>
      </c>
      <c r="H5" s="3777"/>
      <c r="I5" s="3776" t="str">
        <f>'2022年大宗'!B91</f>
        <v>诺德中心</v>
      </c>
      <c r="J5" s="3777"/>
      <c r="K5" s="559"/>
      <c r="L5" s="2691"/>
      <c r="M5" s="2692"/>
      <c r="N5" s="2692"/>
      <c r="O5" s="2692"/>
      <c r="P5" s="3792"/>
      <c r="Q5" s="3793"/>
      <c r="R5" s="3772"/>
      <c r="S5" s="3773"/>
      <c r="T5" s="3772"/>
      <c r="U5" s="3773"/>
      <c r="V5" s="3799"/>
      <c r="W5" s="3799"/>
      <c r="X5" s="1355"/>
      <c r="Y5" s="3772"/>
      <c r="Z5" s="3773"/>
      <c r="AA5" s="3766"/>
      <c r="AB5" s="3766"/>
      <c r="AC5" s="3784"/>
    </row>
    <row r="6" spans="1:29" ht="15.75" thickBot="1">
      <c r="A6" s="360"/>
      <c r="B6" s="361"/>
      <c r="C6" s="3778" t="s">
        <v>1659</v>
      </c>
      <c r="D6" s="3779"/>
      <c r="E6" s="3780" t="s">
        <v>1659</v>
      </c>
      <c r="F6" s="3781"/>
      <c r="G6" s="3778" t="s">
        <v>1659</v>
      </c>
      <c r="H6" s="3779"/>
      <c r="I6" s="3778" t="s">
        <v>1659</v>
      </c>
      <c r="J6" s="3779"/>
      <c r="K6" s="559" t="s">
        <v>1660</v>
      </c>
      <c r="L6" s="2691"/>
      <c r="M6" s="2692"/>
      <c r="N6" s="2692"/>
      <c r="O6" s="2692"/>
      <c r="P6" s="3794"/>
      <c r="Q6" s="3795"/>
      <c r="R6" s="3772"/>
      <c r="S6" s="3773"/>
      <c r="T6" s="3796"/>
      <c r="U6" s="3797"/>
      <c r="V6" s="3799"/>
      <c r="W6" s="3799"/>
      <c r="X6" s="1355"/>
      <c r="Y6" s="3796"/>
      <c r="Z6" s="3797"/>
      <c r="AA6" s="3767"/>
      <c r="AB6" s="3767"/>
      <c r="AC6" s="3785"/>
    </row>
    <row r="7" spans="1:29" s="108" customFormat="1" ht="15.75" thickBot="1">
      <c r="A7" s="362" t="s">
        <v>1661</v>
      </c>
      <c r="B7" s="363"/>
      <c r="C7" s="364">
        <f>'数据-取费表'!B2</f>
        <v>45406</v>
      </c>
      <c r="D7" s="365">
        <v>100</v>
      </c>
      <c r="E7" s="366">
        <v>44835</v>
      </c>
      <c r="F7" s="367">
        <v>97</v>
      </c>
      <c r="G7" s="366" t="s">
        <v>3523</v>
      </c>
      <c r="H7" s="365">
        <v>97</v>
      </c>
      <c r="I7" s="366">
        <v>44652</v>
      </c>
      <c r="J7" s="365">
        <f>SUMIF(59:59,YEAR(I7)&amp;"-"&amp;MONTH(I7),60:60)</f>
        <v>98</v>
      </c>
      <c r="K7" s="560"/>
      <c r="L7" s="2693"/>
      <c r="M7" s="2694"/>
      <c r="N7" s="2694"/>
      <c r="O7" s="2694"/>
      <c r="P7" s="3800" t="s">
        <v>1662</v>
      </c>
      <c r="Q7" s="3801"/>
      <c r="R7" s="701" t="s">
        <v>14</v>
      </c>
      <c r="S7" s="702">
        <f t="shared" ref="S7:S15" si="0">F7</f>
        <v>97</v>
      </c>
      <c r="T7" s="701" t="s">
        <v>14</v>
      </c>
      <c r="U7" s="702">
        <f t="shared" ref="U7:U15" si="1">H7</f>
        <v>97</v>
      </c>
      <c r="V7" s="701" t="s">
        <v>14</v>
      </c>
      <c r="W7" s="702">
        <f t="shared" ref="W7:W15" si="2">J7</f>
        <v>98</v>
      </c>
      <c r="X7" s="703"/>
      <c r="Y7" s="3768" t="s">
        <v>1662</v>
      </c>
      <c r="Z7" s="3769"/>
      <c r="AA7" s="704">
        <f>D7/F7</f>
        <v>1.0309278350515463</v>
      </c>
      <c r="AB7" s="704">
        <f>D7/H7</f>
        <v>1.0309278350515463</v>
      </c>
      <c r="AC7" s="1959">
        <f>D7/J7</f>
        <v>1.0204081632653061</v>
      </c>
    </row>
    <row r="8" spans="1:29" s="108" customFormat="1" ht="15.75" thickBot="1">
      <c r="A8" s="362" t="s">
        <v>1663</v>
      </c>
      <c r="B8" s="363"/>
      <c r="C8" s="368" t="s">
        <v>3547</v>
      </c>
      <c r="D8" s="365">
        <v>100</v>
      </c>
      <c r="E8" s="368" t="s">
        <v>3547</v>
      </c>
      <c r="F8" s="367">
        <f>SUMIF(62:62,E8,63:63)-SUMIF(62:62,C8,63:63)+100</f>
        <v>100</v>
      </c>
      <c r="G8" s="368" t="s">
        <v>3547</v>
      </c>
      <c r="H8" s="365">
        <f>SUMIF(62:62,G8,63:63)-SUMIF(62:62,C8,63:63)+100</f>
        <v>100</v>
      </c>
      <c r="I8" s="368" t="s">
        <v>3547</v>
      </c>
      <c r="J8" s="365">
        <f>SUMIF(62:62,I8,63:63)-SUMIF(62:62,C8,63:63)+100</f>
        <v>100</v>
      </c>
      <c r="K8" s="560"/>
      <c r="L8" s="2693"/>
      <c r="M8" s="2694"/>
      <c r="N8" s="2694"/>
      <c r="O8" s="2694"/>
      <c r="P8" s="3800" t="s">
        <v>1665</v>
      </c>
      <c r="Q8" s="3769"/>
      <c r="R8" s="701" t="s">
        <v>14</v>
      </c>
      <c r="S8" s="702">
        <f t="shared" si="0"/>
        <v>100</v>
      </c>
      <c r="T8" s="701" t="s">
        <v>14</v>
      </c>
      <c r="U8" s="702">
        <f t="shared" si="1"/>
        <v>100</v>
      </c>
      <c r="V8" s="701" t="s">
        <v>14</v>
      </c>
      <c r="W8" s="702">
        <f t="shared" si="2"/>
        <v>100</v>
      </c>
      <c r="X8" s="703"/>
      <c r="Y8" s="3768" t="s">
        <v>1665</v>
      </c>
      <c r="Z8" s="3769"/>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3"/>
      <c r="M9" s="2694"/>
      <c r="N9" s="2694"/>
      <c r="O9" s="2694"/>
      <c r="P9" s="3782" t="s">
        <v>1668</v>
      </c>
      <c r="Q9" s="1343" t="str">
        <f t="shared" ref="Q9:Q15" si="6">B9</f>
        <v>用途</v>
      </c>
      <c r="R9" s="701" t="s">
        <v>14</v>
      </c>
      <c r="S9" s="702">
        <f t="shared" si="0"/>
        <v>100</v>
      </c>
      <c r="T9" s="701" t="s">
        <v>14</v>
      </c>
      <c r="U9" s="702">
        <f t="shared" si="1"/>
        <v>100</v>
      </c>
      <c r="V9" s="701" t="s">
        <v>14</v>
      </c>
      <c r="W9" s="702">
        <f t="shared" si="2"/>
        <v>100</v>
      </c>
      <c r="X9" s="703"/>
      <c r="Y9" s="3741" t="s">
        <v>1669</v>
      </c>
      <c r="Z9" s="52" t="str">
        <f t="shared" ref="Z9:Z15" si="7">Q9</f>
        <v>用途</v>
      </c>
      <c r="AA9" s="704">
        <f t="shared" si="3"/>
        <v>1</v>
      </c>
      <c r="AB9" s="704">
        <f t="shared" si="4"/>
        <v>1</v>
      </c>
      <c r="AC9" s="1959">
        <f t="shared" si="5"/>
        <v>1</v>
      </c>
    </row>
    <row r="10" spans="1:29" s="378" customFormat="1" ht="27">
      <c r="A10" s="374"/>
      <c r="B10" s="375" t="s">
        <v>1670</v>
      </c>
      <c r="C10" s="3410" t="s">
        <v>4690</v>
      </c>
      <c r="D10" s="127">
        <v>100</v>
      </c>
      <c r="E10" s="3410" t="s">
        <v>4692</v>
      </c>
      <c r="F10" s="127">
        <f>SUMIF(66:66,E10,67:67)-SUMIF(66:66,C10,67:67)+100</f>
        <v>102</v>
      </c>
      <c r="G10" s="3411" t="str">
        <f>E66</f>
        <v>20-30</v>
      </c>
      <c r="H10" s="127">
        <f>SUMIF(66:66,G10,67:67)-SUMIF(66:66,C10,67:67)+100</f>
        <v>100</v>
      </c>
      <c r="I10" s="3410" t="s">
        <v>4632</v>
      </c>
      <c r="J10" s="127">
        <f>SUMIF(66:66,I10,67:67)-SUMIF(66:66,C10,67:67)+100</f>
        <v>101</v>
      </c>
      <c r="K10" s="560"/>
      <c r="L10" s="2695"/>
      <c r="M10" s="2696"/>
      <c r="N10" s="2696"/>
      <c r="O10" s="2696"/>
      <c r="P10" s="3782"/>
      <c r="Q10" s="1343" t="str">
        <f t="shared" si="6"/>
        <v>土地使用年限（年）</v>
      </c>
      <c r="R10" s="701" t="s">
        <v>14</v>
      </c>
      <c r="S10" s="702">
        <f t="shared" si="0"/>
        <v>102</v>
      </c>
      <c r="T10" s="701" t="s">
        <v>14</v>
      </c>
      <c r="U10" s="702">
        <f t="shared" si="1"/>
        <v>100</v>
      </c>
      <c r="V10" s="701" t="s">
        <v>14</v>
      </c>
      <c r="W10" s="702">
        <f t="shared" si="2"/>
        <v>101</v>
      </c>
      <c r="X10" s="703"/>
      <c r="Y10" s="3741"/>
      <c r="Z10" s="52" t="str">
        <f t="shared" si="7"/>
        <v>土地使用年限（年）</v>
      </c>
      <c r="AA10" s="704">
        <f t="shared" si="3"/>
        <v>0.98039215686274506</v>
      </c>
      <c r="AB10" s="704">
        <f t="shared" si="4"/>
        <v>1</v>
      </c>
      <c r="AC10" s="1959">
        <f t="shared" si="5"/>
        <v>0.99009900990099009</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82"/>
      <c r="Q11" s="1343" t="str">
        <f t="shared" si="6"/>
        <v>容积率</v>
      </c>
      <c r="R11" s="701" t="s">
        <v>14</v>
      </c>
      <c r="S11" s="702">
        <f t="shared" si="0"/>
        <v>100</v>
      </c>
      <c r="T11" s="701" t="s">
        <v>14</v>
      </c>
      <c r="U11" s="702">
        <f t="shared" si="1"/>
        <v>100</v>
      </c>
      <c r="V11" s="701" t="s">
        <v>14</v>
      </c>
      <c r="W11" s="702">
        <f t="shared" si="2"/>
        <v>100</v>
      </c>
      <c r="X11" s="703"/>
      <c r="Y11" s="3741"/>
      <c r="Z11" s="52"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82"/>
      <c r="Q12" s="1343">
        <f t="shared" si="6"/>
        <v>0</v>
      </c>
      <c r="R12" s="701" t="s">
        <v>14</v>
      </c>
      <c r="S12" s="702">
        <f t="shared" si="0"/>
        <v>100</v>
      </c>
      <c r="T12" s="701" t="s">
        <v>14</v>
      </c>
      <c r="U12" s="702">
        <f t="shared" si="1"/>
        <v>100</v>
      </c>
      <c r="V12" s="701" t="s">
        <v>14</v>
      </c>
      <c r="W12" s="702">
        <f t="shared" si="2"/>
        <v>100</v>
      </c>
      <c r="X12" s="703"/>
      <c r="Y12" s="3741"/>
      <c r="Z12" s="52">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82"/>
      <c r="Q13" s="1343">
        <f t="shared" si="6"/>
        <v>0</v>
      </c>
      <c r="R13" s="701" t="s">
        <v>14</v>
      </c>
      <c r="S13" s="702">
        <f t="shared" si="0"/>
        <v>100</v>
      </c>
      <c r="T13" s="701" t="s">
        <v>14</v>
      </c>
      <c r="U13" s="702">
        <f t="shared" si="1"/>
        <v>100</v>
      </c>
      <c r="V13" s="701" t="s">
        <v>14</v>
      </c>
      <c r="W13" s="702">
        <f t="shared" si="2"/>
        <v>100</v>
      </c>
      <c r="X13" s="703"/>
      <c r="Y13" s="3741"/>
      <c r="Z13" s="52">
        <f t="shared" si="7"/>
        <v>0</v>
      </c>
      <c r="AA13" s="704">
        <f t="shared" si="3"/>
        <v>1</v>
      </c>
      <c r="AB13" s="704">
        <f t="shared" si="4"/>
        <v>1</v>
      </c>
      <c r="AC13" s="1959">
        <f t="shared" si="5"/>
        <v>1</v>
      </c>
    </row>
    <row r="14" spans="1:29" ht="15.75" thickBot="1">
      <c r="A14" s="387"/>
      <c r="B14" s="1895" t="s">
        <v>672</v>
      </c>
      <c r="C14" s="388" t="s">
        <v>3554</v>
      </c>
      <c r="D14" s="389">
        <v>100</v>
      </c>
      <c r="E14" s="576" t="s">
        <v>3554</v>
      </c>
      <c r="F14" s="389">
        <f>SUMIF(75:75,E14,76:76)-SUMIF(75:75,C14,76:76)+100</f>
        <v>100</v>
      </c>
      <c r="G14" s="1960" t="s">
        <v>3554</v>
      </c>
      <c r="H14" s="389">
        <f>SUMIF(75:75,G14,76:76)-SUMIF(75:75,C14,76:76)+100</f>
        <v>100</v>
      </c>
      <c r="I14" s="383" t="s">
        <v>3554</v>
      </c>
      <c r="J14" s="389">
        <f>SUMIF(75:75,I14,76:76)-SUMIF(75:75,C14,76:76)+100</f>
        <v>100</v>
      </c>
      <c r="K14" s="562"/>
      <c r="L14" s="2698"/>
      <c r="M14" s="2692"/>
      <c r="N14" s="2692"/>
      <c r="O14" s="2692"/>
      <c r="P14" s="3782"/>
      <c r="Q14" s="1343" t="str">
        <f t="shared" si="6"/>
        <v>用途</v>
      </c>
      <c r="R14" s="701" t="s">
        <v>14</v>
      </c>
      <c r="S14" s="702">
        <f t="shared" si="0"/>
        <v>100</v>
      </c>
      <c r="T14" s="701" t="s">
        <v>14</v>
      </c>
      <c r="U14" s="702">
        <f t="shared" si="1"/>
        <v>100</v>
      </c>
      <c r="V14" s="701" t="s">
        <v>14</v>
      </c>
      <c r="W14" s="702">
        <f t="shared" si="2"/>
        <v>100</v>
      </c>
      <c r="X14" s="703"/>
      <c r="Y14" s="3741"/>
      <c r="Z14" s="52" t="str">
        <f t="shared" si="7"/>
        <v>用途</v>
      </c>
      <c r="AA14" s="704">
        <f t="shared" si="3"/>
        <v>1</v>
      </c>
      <c r="AB14" s="704">
        <f t="shared" si="4"/>
        <v>1</v>
      </c>
      <c r="AC14" s="1959">
        <f t="shared" si="5"/>
        <v>1</v>
      </c>
    </row>
    <row r="15" spans="1:29" ht="15">
      <c r="A15" s="391" t="s">
        <v>1672</v>
      </c>
      <c r="B15" s="577" t="s">
        <v>1793</v>
      </c>
      <c r="C15" s="1961" t="str">
        <f>估价对象房地状况!C5</f>
        <v>较好</v>
      </c>
      <c r="D15" s="392">
        <v>100</v>
      </c>
      <c r="E15" s="395" t="s">
        <v>3396</v>
      </c>
      <c r="F15" s="392">
        <f>SUMIF(77:77,E16,78:78)-SUMIF(77:77,C16,78:78)+100</f>
        <v>100</v>
      </c>
      <c r="G15" s="393"/>
      <c r="H15" s="392">
        <f>SUMIF(77:77,G16,78:78)-SUMIF(77:77,C16,78:78)+100</f>
        <v>100</v>
      </c>
      <c r="I15" s="393" t="s">
        <v>3396</v>
      </c>
      <c r="J15" s="392">
        <f>SUMIF(77:77,I16,78:78)-SUMIF(77:77,C16,78:78)+100</f>
        <v>97</v>
      </c>
      <c r="K15" s="563">
        <v>3</v>
      </c>
      <c r="L15" s="2698"/>
      <c r="M15" s="2692"/>
      <c r="N15" s="2692"/>
      <c r="O15" s="2692"/>
      <c r="P15" s="3802" t="s">
        <v>1673</v>
      </c>
      <c r="Q15" s="1352" t="str">
        <f t="shared" si="6"/>
        <v>办公集聚程度</v>
      </c>
      <c r="R15" s="705" t="s">
        <v>14</v>
      </c>
      <c r="S15" s="706">
        <f t="shared" si="0"/>
        <v>100</v>
      </c>
      <c r="T15" s="705" t="s">
        <v>14</v>
      </c>
      <c r="U15" s="706">
        <f t="shared" si="1"/>
        <v>100</v>
      </c>
      <c r="V15" s="705" t="s">
        <v>14</v>
      </c>
      <c r="W15" s="706">
        <f t="shared" si="2"/>
        <v>97</v>
      </c>
      <c r="X15" s="1355"/>
      <c r="Y15" s="3804" t="s">
        <v>1673</v>
      </c>
      <c r="Z15" s="1356" t="str">
        <f t="shared" si="7"/>
        <v>办公集聚程度</v>
      </c>
      <c r="AA15" s="1353">
        <f t="shared" si="3"/>
        <v>1</v>
      </c>
      <c r="AB15" s="1353">
        <f t="shared" si="4"/>
        <v>1</v>
      </c>
      <c r="AC15" s="1962">
        <f t="shared" si="5"/>
        <v>1.0309278350515463</v>
      </c>
    </row>
    <row r="16" spans="1:29" ht="15">
      <c r="A16" s="379"/>
      <c r="B16" s="578"/>
      <c r="C16" s="398" t="s">
        <v>3396</v>
      </c>
      <c r="D16" s="399"/>
      <c r="E16" s="398" t="s">
        <v>3396</v>
      </c>
      <c r="F16" s="399"/>
      <c r="G16" s="398" t="s">
        <v>3396</v>
      </c>
      <c r="H16" s="401"/>
      <c r="I16" s="398" t="s">
        <v>3555</v>
      </c>
      <c r="J16" s="399"/>
      <c r="K16" s="564"/>
      <c r="L16" s="2698"/>
      <c r="M16" s="2692"/>
      <c r="N16" s="2692"/>
      <c r="O16" s="2692"/>
      <c r="P16" s="3803"/>
      <c r="Q16" s="1352"/>
      <c r="R16" s="705"/>
      <c r="S16" s="706"/>
      <c r="T16" s="705"/>
      <c r="U16" s="706"/>
      <c r="V16" s="705"/>
      <c r="W16" s="706"/>
      <c r="X16" s="1355"/>
      <c r="Y16" s="3805"/>
      <c r="Z16" s="1356"/>
      <c r="AA16" s="1353">
        <v>1</v>
      </c>
      <c r="AB16" s="1353">
        <v>1</v>
      </c>
      <c r="AC16" s="1962">
        <v>1</v>
      </c>
    </row>
    <row r="17" spans="1:29" ht="15">
      <c r="A17" s="379"/>
      <c r="B17" s="579" t="s">
        <v>1258</v>
      </c>
      <c r="C17" s="1963" t="str">
        <f>估价对象房地状况!C6</f>
        <v>较好</v>
      </c>
      <c r="D17" s="401">
        <v>100</v>
      </c>
      <c r="E17" s="405" t="s">
        <v>3555</v>
      </c>
      <c r="F17" s="401">
        <f>SUMIF(79:79,E18,80:80)-SUMIF(79:79,C18,80:80)+100</f>
        <v>97</v>
      </c>
      <c r="G17" s="403" t="s">
        <v>3396</v>
      </c>
      <c r="H17" s="406">
        <f>SUMIF(79:79,G18,80:80)-SUMIF(79:79,C18,80:80)+100</f>
        <v>100</v>
      </c>
      <c r="I17" s="403" t="s">
        <v>3396</v>
      </c>
      <c r="J17" s="406">
        <f>SUMIF(79:79,I18,80:80)-SUMIF(79:79,C18,80:80)+100</f>
        <v>100</v>
      </c>
      <c r="K17" s="563">
        <v>3</v>
      </c>
      <c r="L17" s="2698"/>
      <c r="M17" s="2692"/>
      <c r="N17" s="2692"/>
      <c r="O17" s="2692"/>
      <c r="P17" s="3803"/>
      <c r="Q17" s="1352" t="str">
        <f>B17</f>
        <v>交通便捷度</v>
      </c>
      <c r="R17" s="705" t="s">
        <v>14</v>
      </c>
      <c r="S17" s="706">
        <f>F17</f>
        <v>97</v>
      </c>
      <c r="T17" s="705" t="s">
        <v>14</v>
      </c>
      <c r="U17" s="706">
        <f>H17</f>
        <v>100</v>
      </c>
      <c r="V17" s="705" t="s">
        <v>14</v>
      </c>
      <c r="W17" s="706">
        <f>J17</f>
        <v>100</v>
      </c>
      <c r="X17" s="1355"/>
      <c r="Y17" s="3805"/>
      <c r="Z17" s="1356" t="str">
        <f>Q17</f>
        <v>交通便捷度</v>
      </c>
      <c r="AA17" s="1353">
        <f t="shared" si="3"/>
        <v>1.0309278350515463</v>
      </c>
      <c r="AB17" s="1353">
        <f t="shared" si="4"/>
        <v>1</v>
      </c>
      <c r="AC17" s="1962">
        <f t="shared" si="5"/>
        <v>1</v>
      </c>
    </row>
    <row r="18" spans="1:29" ht="15">
      <c r="A18" s="379"/>
      <c r="B18" s="580"/>
      <c r="C18" s="398" t="s">
        <v>3396</v>
      </c>
      <c r="D18" s="401"/>
      <c r="E18" s="1897" t="s">
        <v>3555</v>
      </c>
      <c r="F18" s="401"/>
      <c r="G18" s="398" t="s">
        <v>3396</v>
      </c>
      <c r="H18" s="399"/>
      <c r="I18" s="1897" t="s">
        <v>3396</v>
      </c>
      <c r="J18" s="399"/>
      <c r="K18" s="564"/>
      <c r="L18" s="2698"/>
      <c r="M18" s="2692"/>
      <c r="N18" s="2692"/>
      <c r="O18" s="2692"/>
      <c r="P18" s="3803"/>
      <c r="Q18" s="1352"/>
      <c r="R18" s="705"/>
      <c r="S18" s="706"/>
      <c r="T18" s="705"/>
      <c r="U18" s="706"/>
      <c r="V18" s="705"/>
      <c r="W18" s="706"/>
      <c r="X18" s="1355"/>
      <c r="Y18" s="3805"/>
      <c r="Z18" s="1356"/>
      <c r="AA18" s="1353">
        <v>1</v>
      </c>
      <c r="AB18" s="1353">
        <v>1</v>
      </c>
      <c r="AC18" s="1962">
        <v>1</v>
      </c>
    </row>
    <row r="19" spans="1:29" ht="15">
      <c r="A19" s="379"/>
      <c r="B19" s="579" t="s">
        <v>1794</v>
      </c>
      <c r="C19" s="1963" t="str">
        <f>估价对象房地状况!C7</f>
        <v>较好</v>
      </c>
      <c r="D19" s="406">
        <v>100</v>
      </c>
      <c r="E19" s="410" t="s">
        <v>3555</v>
      </c>
      <c r="F19" s="406">
        <f>SUMIF(81:81,E20,82:82)-SUMIF(81:81,C20,82:82)+100</f>
        <v>97</v>
      </c>
      <c r="G19" s="403" t="s">
        <v>3396</v>
      </c>
      <c r="H19" s="401">
        <f>SUMIF(81:81,G20,82:82)-SUMIF(81:81,C20,82:82)+100</f>
        <v>100</v>
      </c>
      <c r="I19" s="410" t="s">
        <v>3555</v>
      </c>
      <c r="J19" s="401">
        <f>SUMIF(81:81,I20,82:82)-SUMIF(81:81,C20,82:82)+100</f>
        <v>97</v>
      </c>
      <c r="K19" s="563">
        <v>3</v>
      </c>
      <c r="L19" s="2698"/>
      <c r="M19" s="2692"/>
      <c r="N19" s="2692"/>
      <c r="O19" s="2692"/>
      <c r="P19" s="3803"/>
      <c r="Q19" s="1352" t="str">
        <f>B19</f>
        <v>公共配套设施</v>
      </c>
      <c r="R19" s="705" t="s">
        <v>14</v>
      </c>
      <c r="S19" s="706">
        <f>F19</f>
        <v>97</v>
      </c>
      <c r="T19" s="705" t="s">
        <v>14</v>
      </c>
      <c r="U19" s="706">
        <f>H19</f>
        <v>100</v>
      </c>
      <c r="V19" s="705" t="s">
        <v>14</v>
      </c>
      <c r="W19" s="706">
        <f>J19</f>
        <v>97</v>
      </c>
      <c r="X19" s="1355"/>
      <c r="Y19" s="3805"/>
      <c r="Z19" s="1356" t="str">
        <f>Q19</f>
        <v>公共配套设施</v>
      </c>
      <c r="AA19" s="1353">
        <f t="shared" si="3"/>
        <v>1.0309278350515463</v>
      </c>
      <c r="AB19" s="1353">
        <f t="shared" si="4"/>
        <v>1</v>
      </c>
      <c r="AC19" s="1962">
        <f t="shared" si="5"/>
        <v>1.0309278350515463</v>
      </c>
    </row>
    <row r="20" spans="1:29" ht="15">
      <c r="A20" s="379"/>
      <c r="B20" s="580"/>
      <c r="C20" s="398" t="s">
        <v>3396</v>
      </c>
      <c r="D20" s="399"/>
      <c r="E20" s="398" t="s">
        <v>3555</v>
      </c>
      <c r="F20" s="399"/>
      <c r="G20" s="398" t="s">
        <v>3396</v>
      </c>
      <c r="H20" s="399"/>
      <c r="I20" s="1897" t="s">
        <v>3555</v>
      </c>
      <c r="J20" s="399"/>
      <c r="K20" s="564"/>
      <c r="L20" s="2698"/>
      <c r="M20" s="2692"/>
      <c r="N20" s="2692"/>
      <c r="O20" s="2692"/>
      <c r="P20" s="3803"/>
      <c r="Q20" s="1352"/>
      <c r="R20" s="705"/>
      <c r="S20" s="706"/>
      <c r="T20" s="705"/>
      <c r="U20" s="706"/>
      <c r="V20" s="705"/>
      <c r="W20" s="706"/>
      <c r="X20" s="1355"/>
      <c r="Y20" s="3805"/>
      <c r="Z20" s="1356"/>
      <c r="AA20" s="1353">
        <v>1</v>
      </c>
      <c r="AB20" s="1353">
        <v>1</v>
      </c>
      <c r="AC20" s="1962">
        <v>1</v>
      </c>
    </row>
    <row r="21" spans="1:29" ht="15">
      <c r="A21" s="379"/>
      <c r="B21" s="581" t="s">
        <v>1795</v>
      </c>
      <c r="C21" s="1963" t="str">
        <f>估价对象房地状况!C8</f>
        <v>七通</v>
      </c>
      <c r="D21" s="401">
        <v>100</v>
      </c>
      <c r="E21" s="410" t="s">
        <v>3400</v>
      </c>
      <c r="F21" s="406">
        <f>SUMIF(83:83,E22,84:84)-SUMIF(83:83,C22,84:84)+100</f>
        <v>100</v>
      </c>
      <c r="G21" s="408"/>
      <c r="H21" s="401">
        <f>SUMIF(83:83,G22,84:84)-SUMIF(83:83,C22,84:84)+100</f>
        <v>100</v>
      </c>
      <c r="I21" s="408" t="s">
        <v>3400</v>
      </c>
      <c r="J21" s="401">
        <f>SUMIF(83:83,I22,84:84)-SUMIF(83:83,C22,84:84)+100</f>
        <v>100</v>
      </c>
      <c r="K21" s="563">
        <v>1</v>
      </c>
      <c r="L21" s="2698"/>
      <c r="M21" s="2692"/>
      <c r="N21" s="2692"/>
      <c r="O21" s="2692"/>
      <c r="P21" s="3803"/>
      <c r="Q21" s="1352" t="str">
        <f>B21</f>
        <v>基础设施水平</v>
      </c>
      <c r="R21" s="705" t="s">
        <v>14</v>
      </c>
      <c r="S21" s="706">
        <f>F21</f>
        <v>100</v>
      </c>
      <c r="T21" s="705" t="s">
        <v>14</v>
      </c>
      <c r="U21" s="706">
        <f>H21</f>
        <v>100</v>
      </c>
      <c r="V21" s="705" t="s">
        <v>14</v>
      </c>
      <c r="W21" s="706">
        <f>J21</f>
        <v>100</v>
      </c>
      <c r="X21" s="1355"/>
      <c r="Y21" s="3805"/>
      <c r="Z21" s="1356" t="str">
        <f>Q21</f>
        <v>基础设施水平</v>
      </c>
      <c r="AA21" s="1353">
        <f t="shared" ref="AA21" si="8">D21/F21</f>
        <v>1</v>
      </c>
      <c r="AB21" s="1353">
        <f t="shared" ref="AB21" si="9">D21/H21</f>
        <v>1</v>
      </c>
      <c r="AC21" s="1962">
        <f t="shared" ref="AC21" si="10">D21/J21</f>
        <v>1</v>
      </c>
    </row>
    <row r="22" spans="1:29" ht="15">
      <c r="A22" s="379"/>
      <c r="B22" s="581"/>
      <c r="C22" s="1964" t="s">
        <v>3400</v>
      </c>
      <c r="D22" s="399"/>
      <c r="E22" s="398" t="s">
        <v>3400</v>
      </c>
      <c r="F22" s="399"/>
      <c r="G22" s="1904" t="s">
        <v>3400</v>
      </c>
      <c r="H22" s="399"/>
      <c r="I22" s="1904" t="s">
        <v>3400</v>
      </c>
      <c r="J22" s="399"/>
      <c r="K22" s="1130"/>
      <c r="L22" s="2698"/>
      <c r="M22" s="2692"/>
      <c r="N22" s="2692"/>
      <c r="O22" s="2692"/>
      <c r="P22" s="3803"/>
      <c r="Q22" s="1352"/>
      <c r="R22" s="705"/>
      <c r="S22" s="706"/>
      <c r="T22" s="705"/>
      <c r="U22" s="706"/>
      <c r="V22" s="705"/>
      <c r="W22" s="706"/>
      <c r="X22" s="1355"/>
      <c r="Y22" s="3805"/>
      <c r="Z22" s="1356"/>
      <c r="AA22" s="1353">
        <v>1</v>
      </c>
      <c r="AB22" s="1353">
        <v>1</v>
      </c>
      <c r="AC22" s="1962">
        <v>1</v>
      </c>
    </row>
    <row r="23" spans="1:29" ht="15">
      <c r="A23" s="379"/>
      <c r="B23" s="579" t="s">
        <v>1796</v>
      </c>
      <c r="C23" s="1963" t="str">
        <f>估价对象房地状况!C9</f>
        <v>较好</v>
      </c>
      <c r="D23" s="401">
        <v>100</v>
      </c>
      <c r="E23" s="405" t="s">
        <v>3396</v>
      </c>
      <c r="F23" s="401">
        <f>SUMIF(85:85,E24,86:86)-SUMIF(85:85,C24,86:86)+100</f>
        <v>97</v>
      </c>
      <c r="G23" s="403" t="s">
        <v>3396</v>
      </c>
      <c r="H23" s="401">
        <f>SUMIF(85:85,G24,86:86)-SUMIF(85:85,C24,86:86)+100</f>
        <v>100</v>
      </c>
      <c r="I23" s="403" t="s">
        <v>3555</v>
      </c>
      <c r="J23" s="401">
        <f>SUMIF(85:85,I24,86:86)-SUMIF(85:85,C24,86:86)+100</f>
        <v>97</v>
      </c>
      <c r="K23" s="563">
        <v>3</v>
      </c>
      <c r="L23" s="2698"/>
      <c r="M23" s="2692"/>
      <c r="N23" s="2692"/>
      <c r="O23" s="2692"/>
      <c r="P23" s="3803"/>
      <c r="Q23" s="1352" t="str">
        <f>B23</f>
        <v>环境质量</v>
      </c>
      <c r="R23" s="705" t="s">
        <v>14</v>
      </c>
      <c r="S23" s="706">
        <f>F23</f>
        <v>97</v>
      </c>
      <c r="T23" s="705" t="s">
        <v>14</v>
      </c>
      <c r="U23" s="706">
        <f>H23</f>
        <v>100</v>
      </c>
      <c r="V23" s="705" t="s">
        <v>14</v>
      </c>
      <c r="W23" s="706">
        <f>J23</f>
        <v>97</v>
      </c>
      <c r="X23" s="1355"/>
      <c r="Y23" s="3805"/>
      <c r="Z23" s="1356" t="str">
        <f>Q23</f>
        <v>环境质量</v>
      </c>
      <c r="AA23" s="1353">
        <f t="shared" si="3"/>
        <v>1.0309278350515463</v>
      </c>
      <c r="AB23" s="1353">
        <f t="shared" si="4"/>
        <v>1</v>
      </c>
      <c r="AC23" s="1962">
        <f t="shared" si="5"/>
        <v>1.0309278350515463</v>
      </c>
    </row>
    <row r="24" spans="1:29" ht="15">
      <c r="A24" s="379"/>
      <c r="B24" s="581"/>
      <c r="C24" s="1904" t="s">
        <v>3396</v>
      </c>
      <c r="D24" s="399"/>
      <c r="E24" s="1897" t="s">
        <v>3555</v>
      </c>
      <c r="F24" s="399"/>
      <c r="G24" s="1898" t="s">
        <v>3396</v>
      </c>
      <c r="H24" s="399"/>
      <c r="I24" s="1898" t="s">
        <v>3555</v>
      </c>
      <c r="J24" s="399"/>
      <c r="K24" s="564"/>
      <c r="L24" s="2698"/>
      <c r="M24" s="2692"/>
      <c r="N24" s="2692"/>
      <c r="O24" s="2692"/>
      <c r="P24" s="3803"/>
      <c r="Q24" s="1352"/>
      <c r="R24" s="705"/>
      <c r="S24" s="706"/>
      <c r="T24" s="705"/>
      <c r="U24" s="706"/>
      <c r="V24" s="705"/>
      <c r="W24" s="706"/>
      <c r="X24" s="1355"/>
      <c r="Y24" s="3805"/>
      <c r="Z24" s="1356"/>
      <c r="AA24" s="1353">
        <v>1</v>
      </c>
      <c r="AB24" s="1353">
        <v>1</v>
      </c>
      <c r="AC24" s="1962">
        <v>1</v>
      </c>
    </row>
    <row r="25" spans="1:29" ht="27">
      <c r="A25" s="358"/>
      <c r="B25" s="579" t="s">
        <v>1797</v>
      </c>
      <c r="C25" s="1908"/>
      <c r="D25" s="386">
        <v>100</v>
      </c>
      <c r="E25" s="385"/>
      <c r="F25" s="386">
        <f>SUMIF(87:87,E26,88:88)-SUMIF(87:87,C26,88:88)+100</f>
        <v>98</v>
      </c>
      <c r="G25" s="1908"/>
      <c r="H25" s="386">
        <f>SUMIF(87:87,G26,88:88)-SUMIF(87:87,C26,88:88)+100</f>
        <v>100</v>
      </c>
      <c r="I25" s="385"/>
      <c r="J25" s="386">
        <f>SUMIF(87:87,I26,88:88)-SUMIF(87:87,C26,88:88)+100</f>
        <v>98</v>
      </c>
      <c r="K25" s="563">
        <v>2</v>
      </c>
      <c r="L25" s="2698"/>
      <c r="M25" s="2692"/>
      <c r="N25" s="2692"/>
      <c r="O25" s="2692"/>
      <c r="P25" s="3803"/>
      <c r="Q25" s="1352" t="str">
        <f>B25</f>
        <v>毗邻道路的类型与等级</v>
      </c>
      <c r="R25" s="705" t="s">
        <v>14</v>
      </c>
      <c r="S25" s="706">
        <f>F25</f>
        <v>98</v>
      </c>
      <c r="T25" s="705" t="s">
        <v>14</v>
      </c>
      <c r="U25" s="706">
        <f>H25</f>
        <v>100</v>
      </c>
      <c r="V25" s="705" t="s">
        <v>14</v>
      </c>
      <c r="W25" s="706">
        <f>J25</f>
        <v>98</v>
      </c>
      <c r="X25" s="1355"/>
      <c r="Y25" s="3805"/>
      <c r="Z25" s="1356" t="str">
        <f>Q25</f>
        <v>毗邻道路的类型与等级</v>
      </c>
      <c r="AA25" s="1353">
        <f t="shared" si="3"/>
        <v>1.0204081632653061</v>
      </c>
      <c r="AB25" s="1353">
        <f t="shared" si="4"/>
        <v>1</v>
      </c>
      <c r="AC25" s="1962">
        <f t="shared" si="5"/>
        <v>1.0204081632653061</v>
      </c>
    </row>
    <row r="26" spans="1:29" ht="15">
      <c r="A26" s="358"/>
      <c r="B26" s="580"/>
      <c r="C26" s="582" t="s">
        <v>4696</v>
      </c>
      <c r="D26" s="386"/>
      <c r="E26" s="565" t="s">
        <v>4698</v>
      </c>
      <c r="F26" s="386"/>
      <c r="G26" s="582" t="s">
        <v>4696</v>
      </c>
      <c r="H26" s="386"/>
      <c r="I26" s="565" t="s">
        <v>4698</v>
      </c>
      <c r="J26" s="386"/>
      <c r="K26" s="564"/>
      <c r="L26" s="2698"/>
      <c r="M26" s="2692"/>
      <c r="N26" s="2692"/>
      <c r="O26" s="2692"/>
      <c r="P26" s="3803"/>
      <c r="Q26" s="1352"/>
      <c r="R26" s="705"/>
      <c r="S26" s="706"/>
      <c r="T26" s="705"/>
      <c r="U26" s="706"/>
      <c r="V26" s="705"/>
      <c r="W26" s="706"/>
      <c r="X26" s="1355"/>
      <c r="Y26" s="3805"/>
      <c r="Z26" s="1356"/>
      <c r="AA26" s="1353">
        <v>1</v>
      </c>
      <c r="AB26" s="1353">
        <v>1</v>
      </c>
      <c r="AC26" s="1962">
        <v>1</v>
      </c>
    </row>
    <row r="27" spans="1:29" ht="15">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803"/>
      <c r="Q27" s="1352" t="str">
        <f t="shared" ref="Q27:Q47" si="11">B27</f>
        <v>楼层</v>
      </c>
      <c r="R27" s="705" t="s">
        <v>14</v>
      </c>
      <c r="S27" s="706">
        <f>F27</f>
        <v>100</v>
      </c>
      <c r="T27" s="705" t="s">
        <v>14</v>
      </c>
      <c r="U27" s="706">
        <f>H27</f>
        <v>100</v>
      </c>
      <c r="V27" s="705" t="s">
        <v>14</v>
      </c>
      <c r="W27" s="706">
        <f>J27</f>
        <v>100</v>
      </c>
      <c r="X27" s="1355"/>
      <c r="Y27" s="3805"/>
      <c r="Z27" s="1356" t="str">
        <f>Q27</f>
        <v>楼层</v>
      </c>
      <c r="AA27" s="1353">
        <f t="shared" si="3"/>
        <v>1</v>
      </c>
      <c r="AB27" s="1353">
        <f t="shared" si="4"/>
        <v>1</v>
      </c>
      <c r="AC27" s="1962">
        <f t="shared" si="5"/>
        <v>1</v>
      </c>
    </row>
    <row r="28" spans="1:29" s="108" customFormat="1" ht="15.75"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803"/>
      <c r="Q28" s="1343" t="str">
        <f t="shared" si="11"/>
        <v>朝向</v>
      </c>
      <c r="R28" s="701" t="s">
        <v>14</v>
      </c>
      <c r="S28" s="702">
        <f>F28</f>
        <v>100</v>
      </c>
      <c r="T28" s="701" t="s">
        <v>14</v>
      </c>
      <c r="U28" s="702">
        <f>H28</f>
        <v>100</v>
      </c>
      <c r="V28" s="701" t="s">
        <v>14</v>
      </c>
      <c r="W28" s="702">
        <f>J28</f>
        <v>100</v>
      </c>
      <c r="X28" s="703"/>
      <c r="Y28" s="3805"/>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803"/>
      <c r="Q29" s="1352">
        <f t="shared" si="11"/>
        <v>111</v>
      </c>
      <c r="R29" s="705" t="s">
        <v>14</v>
      </c>
      <c r="S29" s="706">
        <f t="shared" ref="S29:S47" si="12">F29</f>
        <v>100</v>
      </c>
      <c r="T29" s="705" t="s">
        <v>14</v>
      </c>
      <c r="U29" s="706">
        <f t="shared" ref="U29:U47" si="13">H29</f>
        <v>100</v>
      </c>
      <c r="V29" s="705" t="s">
        <v>14</v>
      </c>
      <c r="W29" s="706">
        <f t="shared" ref="W29:W47" si="14">J29</f>
        <v>100</v>
      </c>
      <c r="X29" s="1355"/>
      <c r="Y29" s="3805"/>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803"/>
      <c r="Q30" s="1352">
        <f t="shared" si="11"/>
        <v>111</v>
      </c>
      <c r="R30" s="705" t="s">
        <v>14</v>
      </c>
      <c r="S30" s="706">
        <f t="shared" si="12"/>
        <v>100</v>
      </c>
      <c r="T30" s="705" t="s">
        <v>14</v>
      </c>
      <c r="U30" s="706">
        <f t="shared" si="13"/>
        <v>100</v>
      </c>
      <c r="V30" s="705" t="s">
        <v>14</v>
      </c>
      <c r="W30" s="706">
        <f t="shared" si="14"/>
        <v>100</v>
      </c>
      <c r="X30" s="1355"/>
      <c r="Y30" s="3805"/>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803"/>
      <c r="Q31" s="1352">
        <f t="shared" si="11"/>
        <v>111</v>
      </c>
      <c r="R31" s="705" t="s">
        <v>14</v>
      </c>
      <c r="S31" s="706">
        <f t="shared" si="12"/>
        <v>100</v>
      </c>
      <c r="T31" s="705" t="s">
        <v>14</v>
      </c>
      <c r="U31" s="706">
        <f t="shared" si="13"/>
        <v>100</v>
      </c>
      <c r="V31" s="705" t="s">
        <v>14</v>
      </c>
      <c r="W31" s="706">
        <f t="shared" si="14"/>
        <v>100</v>
      </c>
      <c r="X31" s="1355"/>
      <c r="Y31" s="3805"/>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803"/>
      <c r="Q32" s="1352">
        <f t="shared" si="11"/>
        <v>111</v>
      </c>
      <c r="R32" s="705" t="s">
        <v>14</v>
      </c>
      <c r="S32" s="706">
        <f t="shared" si="12"/>
        <v>100</v>
      </c>
      <c r="T32" s="705" t="s">
        <v>14</v>
      </c>
      <c r="U32" s="706">
        <f t="shared" si="13"/>
        <v>100</v>
      </c>
      <c r="V32" s="705" t="s">
        <v>14</v>
      </c>
      <c r="W32" s="706">
        <f t="shared" si="14"/>
        <v>100</v>
      </c>
      <c r="X32" s="1355"/>
      <c r="Y32" s="3805"/>
      <c r="Z32" s="1356">
        <f t="shared" si="15"/>
        <v>111</v>
      </c>
      <c r="AA32" s="1353">
        <f t="shared" si="3"/>
        <v>1</v>
      </c>
      <c r="AB32" s="1353">
        <f t="shared" si="4"/>
        <v>1</v>
      </c>
      <c r="AC32" s="1962">
        <f t="shared" si="5"/>
        <v>1</v>
      </c>
    </row>
    <row r="33" spans="1:29" ht="15">
      <c r="A33" s="391" t="s">
        <v>1676</v>
      </c>
      <c r="B33" s="63" t="s">
        <v>1799</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v>2</v>
      </c>
      <c r="L33" s="2698"/>
      <c r="M33" s="2692"/>
      <c r="N33" s="2692"/>
      <c r="O33" s="2692"/>
      <c r="P33" s="3806" t="s">
        <v>1678</v>
      </c>
      <c r="Q33" s="1352" t="str">
        <f t="shared" si="11"/>
        <v>建筑类型</v>
      </c>
      <c r="R33" s="705" t="s">
        <v>14</v>
      </c>
      <c r="S33" s="706">
        <f t="shared" si="12"/>
        <v>100</v>
      </c>
      <c r="T33" s="705" t="s">
        <v>14</v>
      </c>
      <c r="U33" s="706">
        <f t="shared" si="13"/>
        <v>100</v>
      </c>
      <c r="V33" s="705" t="s">
        <v>14</v>
      </c>
      <c r="W33" s="706">
        <f t="shared" si="14"/>
        <v>100</v>
      </c>
      <c r="X33" s="1355"/>
      <c r="Y33" s="3809" t="s">
        <v>1678</v>
      </c>
      <c r="Z33" s="1356" t="str">
        <f t="shared" si="15"/>
        <v>建筑类型</v>
      </c>
      <c r="AA33" s="1353">
        <f t="shared" si="3"/>
        <v>1</v>
      </c>
      <c r="AB33" s="1353">
        <f t="shared" si="4"/>
        <v>1</v>
      </c>
      <c r="AC33" s="1962">
        <f t="shared" si="5"/>
        <v>1</v>
      </c>
    </row>
    <row r="34" spans="1:29" s="422" customFormat="1" ht="15">
      <c r="A34" s="419"/>
      <c r="B34" s="375" t="s">
        <v>1679</v>
      </c>
      <c r="C34" s="420">
        <f>'数据-汇总表'!E3</f>
        <v>32105.55</v>
      </c>
      <c r="D34" s="127">
        <v>100</v>
      </c>
      <c r="E34" s="381">
        <v>32299</v>
      </c>
      <c r="F34" s="376">
        <f>LOOKUP(E34,104:104,105:105)-LOOKUP(C34,104:104,105:105)+100</f>
        <v>100</v>
      </c>
      <c r="G34" s="380">
        <v>38000</v>
      </c>
      <c r="H34" s="127">
        <f>LOOKUP(G34,104:104,105:105)-LOOKUP(C34,104:104,105:105)+100</f>
        <v>100</v>
      </c>
      <c r="I34" s="380">
        <v>6461</v>
      </c>
      <c r="J34" s="127">
        <f>LOOKUP(I34,104:104,105:105)-LOOKUP(C34,104:104,105:105)+100</f>
        <v>104</v>
      </c>
      <c r="K34" s="562"/>
      <c r="L34" s="2697"/>
      <c r="M34" s="2699"/>
      <c r="N34" s="2699"/>
      <c r="O34" s="2699"/>
      <c r="P34" s="3807"/>
      <c r="Q34" s="707" t="str">
        <f t="shared" si="11"/>
        <v>项目建筑规模</v>
      </c>
      <c r="R34" s="708" t="s">
        <v>14</v>
      </c>
      <c r="S34" s="709">
        <f t="shared" si="12"/>
        <v>100</v>
      </c>
      <c r="T34" s="708" t="s">
        <v>14</v>
      </c>
      <c r="U34" s="709">
        <f t="shared" si="13"/>
        <v>100</v>
      </c>
      <c r="V34" s="708" t="s">
        <v>14</v>
      </c>
      <c r="W34" s="709">
        <f t="shared" si="14"/>
        <v>104</v>
      </c>
      <c r="X34" s="710"/>
      <c r="Y34" s="3809"/>
      <c r="Z34" s="711" t="str">
        <f t="shared" si="15"/>
        <v>项目建筑规模</v>
      </c>
      <c r="AA34" s="1353">
        <f t="shared" si="3"/>
        <v>1</v>
      </c>
      <c r="AB34" s="1353">
        <f t="shared" si="4"/>
        <v>1</v>
      </c>
      <c r="AC34" s="1962">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8"/>
      <c r="M35" s="2692"/>
      <c r="N35" s="2692"/>
      <c r="O35" s="2692"/>
      <c r="P35" s="3807"/>
      <c r="Q35" s="1352" t="str">
        <f t="shared" si="11"/>
        <v>建筑结构</v>
      </c>
      <c r="R35" s="705" t="s">
        <v>14</v>
      </c>
      <c r="S35" s="706">
        <f t="shared" si="12"/>
        <v>100</v>
      </c>
      <c r="T35" s="705" t="s">
        <v>14</v>
      </c>
      <c r="U35" s="706">
        <f t="shared" si="13"/>
        <v>100</v>
      </c>
      <c r="V35" s="705" t="s">
        <v>14</v>
      </c>
      <c r="W35" s="706">
        <f t="shared" si="14"/>
        <v>100</v>
      </c>
      <c r="X35" s="1355"/>
      <c r="Y35" s="3809"/>
      <c r="Z35" s="1356" t="str">
        <f t="shared" si="15"/>
        <v>建筑结构</v>
      </c>
      <c r="AA35" s="1353">
        <f t="shared" si="3"/>
        <v>1</v>
      </c>
      <c r="AB35" s="1353">
        <f t="shared" si="4"/>
        <v>1</v>
      </c>
      <c r="AC35" s="1962">
        <f t="shared" si="5"/>
        <v>1</v>
      </c>
    </row>
    <row r="36" spans="1:29" ht="15">
      <c r="A36" s="423"/>
      <c r="B36" s="375" t="s">
        <v>1767</v>
      </c>
      <c r="C36" s="411" t="s">
        <v>3551</v>
      </c>
      <c r="D36" s="386">
        <v>100</v>
      </c>
      <c r="E36" s="411" t="s">
        <v>3551</v>
      </c>
      <c r="F36" s="412">
        <f>SUMIF(108:108,E36,109:109)-SUMIF(108:108,C36,109:109)+100</f>
        <v>100</v>
      </c>
      <c r="G36" s="411" t="s">
        <v>3551</v>
      </c>
      <c r="H36" s="386">
        <f>SUMIF(108:108,G36,109:109)-SUMIF(108:108,C36,109:109)+100</f>
        <v>100</v>
      </c>
      <c r="I36" s="411" t="s">
        <v>3551</v>
      </c>
      <c r="J36" s="386">
        <f>SUMIF(108:108,I36,109:109)-SUMIF(108:108,C36,109:109)+100</f>
        <v>100</v>
      </c>
      <c r="K36" s="561">
        <v>2</v>
      </c>
      <c r="L36" s="2698"/>
      <c r="M36" s="2692"/>
      <c r="N36" s="2692"/>
      <c r="O36" s="2692"/>
      <c r="P36" s="3807"/>
      <c r="Q36" s="1352" t="str">
        <f t="shared" si="11"/>
        <v>公共部分装修</v>
      </c>
      <c r="R36" s="705" t="s">
        <v>14</v>
      </c>
      <c r="S36" s="706">
        <f t="shared" si="12"/>
        <v>100</v>
      </c>
      <c r="T36" s="705" t="s">
        <v>14</v>
      </c>
      <c r="U36" s="706">
        <f t="shared" si="13"/>
        <v>100</v>
      </c>
      <c r="V36" s="705" t="s">
        <v>14</v>
      </c>
      <c r="W36" s="706">
        <f t="shared" si="14"/>
        <v>100</v>
      </c>
      <c r="X36" s="1355"/>
      <c r="Y36" s="3809"/>
      <c r="Z36" s="1356" t="str">
        <f t="shared" si="15"/>
        <v>公共部分装修</v>
      </c>
      <c r="AA36" s="1353">
        <f t="shared" si="3"/>
        <v>1</v>
      </c>
      <c r="AB36" s="1353">
        <f t="shared" si="4"/>
        <v>1</v>
      </c>
      <c r="AC36" s="1962">
        <f t="shared" si="5"/>
        <v>1</v>
      </c>
    </row>
    <row r="37" spans="1:29" ht="15">
      <c r="A37" s="423"/>
      <c r="B37" s="375" t="s">
        <v>1768</v>
      </c>
      <c r="C37" s="425">
        <f>'数据-取费表'!N6</f>
        <v>0.79</v>
      </c>
      <c r="D37" s="386">
        <v>100</v>
      </c>
      <c r="E37" s="425">
        <v>0.95</v>
      </c>
      <c r="F37" s="412">
        <f>LOOKUP(E37,111:111,112:112)-LOOKUP(C37,111:111,112:112)+100</f>
        <v>102</v>
      </c>
      <c r="G37" s="425">
        <v>0.85</v>
      </c>
      <c r="H37" s="412">
        <f>LOOKUP(G37,111:111,112:112)-LOOKUP(C37,111:111,112:112)+100</f>
        <v>101</v>
      </c>
      <c r="I37" s="425">
        <v>0.89</v>
      </c>
      <c r="J37" s="386">
        <f>LOOKUP(I37,111:111,112:112)-LOOKUP(C37,111:111,112:112)+100</f>
        <v>101</v>
      </c>
      <c r="K37" s="561">
        <v>1</v>
      </c>
      <c r="L37" s="2698"/>
      <c r="M37" s="2692"/>
      <c r="N37" s="2692"/>
      <c r="O37" s="2692"/>
      <c r="P37" s="3807"/>
      <c r="Q37" s="1352" t="str">
        <f t="shared" si="11"/>
        <v>成新度</v>
      </c>
      <c r="R37" s="705" t="s">
        <v>14</v>
      </c>
      <c r="S37" s="706">
        <f t="shared" si="12"/>
        <v>102</v>
      </c>
      <c r="T37" s="705" t="s">
        <v>14</v>
      </c>
      <c r="U37" s="706">
        <f t="shared" si="13"/>
        <v>101</v>
      </c>
      <c r="V37" s="705" t="s">
        <v>14</v>
      </c>
      <c r="W37" s="706">
        <f t="shared" si="14"/>
        <v>101</v>
      </c>
      <c r="X37" s="1355"/>
      <c r="Y37" s="3809"/>
      <c r="Z37" s="1356" t="str">
        <f t="shared" si="15"/>
        <v>成新度</v>
      </c>
      <c r="AA37" s="1353">
        <f t="shared" si="3"/>
        <v>0.98039215686274506</v>
      </c>
      <c r="AB37" s="1353">
        <f t="shared" si="4"/>
        <v>0.99009900990099009</v>
      </c>
      <c r="AC37" s="1962">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3"/>
      <c r="M38" s="2694"/>
      <c r="N38" s="2694"/>
      <c r="O38" s="2694"/>
      <c r="P38" s="3807"/>
      <c r="Q38" s="1343" t="str">
        <f t="shared" si="11"/>
        <v>写字楼等级</v>
      </c>
      <c r="R38" s="701" t="s">
        <v>14</v>
      </c>
      <c r="S38" s="702">
        <f t="shared" si="12"/>
        <v>100</v>
      </c>
      <c r="T38" s="701" t="s">
        <v>14</v>
      </c>
      <c r="U38" s="702">
        <f t="shared" si="13"/>
        <v>100</v>
      </c>
      <c r="V38" s="701" t="s">
        <v>14</v>
      </c>
      <c r="W38" s="702">
        <f t="shared" si="14"/>
        <v>100</v>
      </c>
      <c r="X38" s="703"/>
      <c r="Y38" s="3809"/>
      <c r="Z38" s="52" t="str">
        <f t="shared" si="15"/>
        <v>写字楼等级</v>
      </c>
      <c r="AA38" s="704">
        <f t="shared" si="3"/>
        <v>1</v>
      </c>
      <c r="AB38" s="704">
        <f t="shared" si="4"/>
        <v>1</v>
      </c>
      <c r="AC38" s="1959">
        <f t="shared" si="5"/>
        <v>1</v>
      </c>
    </row>
    <row r="39" spans="1:29" ht="15">
      <c r="A39" s="423"/>
      <c r="B39" s="375" t="s">
        <v>1801</v>
      </c>
      <c r="C39" s="411" t="s">
        <v>3552</v>
      </c>
      <c r="D39" s="386">
        <v>100</v>
      </c>
      <c r="E39" s="411" t="s">
        <v>3552</v>
      </c>
      <c r="F39" s="412">
        <f>SUMIF(115:115,E39,116:116)-SUMIF(115:115,C39,116:116)+100</f>
        <v>100</v>
      </c>
      <c r="G39" s="411" t="s">
        <v>3552</v>
      </c>
      <c r="H39" s="386">
        <f>SUMIF(115:115,G39,116:116)-SUMIF(115:115,C39,116:116)+100</f>
        <v>100</v>
      </c>
      <c r="I39" s="411" t="s">
        <v>3552</v>
      </c>
      <c r="J39" s="386">
        <f>SUMIF(115:115,I39,116:116)-SUMIF(115:115,C39,116:116)+100</f>
        <v>100</v>
      </c>
      <c r="K39" s="561">
        <v>2</v>
      </c>
      <c r="L39" s="2698"/>
      <c r="M39" s="2692"/>
      <c r="N39" s="2692"/>
      <c r="O39" s="2692"/>
      <c r="P39" s="3807" t="s">
        <v>1678</v>
      </c>
      <c r="Q39" s="1352" t="str">
        <f t="shared" si="11"/>
        <v>物业管理</v>
      </c>
      <c r="R39" s="705" t="s">
        <v>14</v>
      </c>
      <c r="S39" s="706">
        <f t="shared" si="12"/>
        <v>100</v>
      </c>
      <c r="T39" s="705" t="s">
        <v>14</v>
      </c>
      <c r="U39" s="706">
        <f t="shared" si="13"/>
        <v>100</v>
      </c>
      <c r="V39" s="705" t="s">
        <v>14</v>
      </c>
      <c r="W39" s="706">
        <f t="shared" si="14"/>
        <v>100</v>
      </c>
      <c r="X39" s="1355"/>
      <c r="Y39" s="3809" t="s">
        <v>1678</v>
      </c>
      <c r="Z39" s="1356" t="str">
        <f t="shared" si="15"/>
        <v>物业管理</v>
      </c>
      <c r="AA39" s="1353">
        <f t="shared" si="3"/>
        <v>1</v>
      </c>
      <c r="AB39" s="135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8"/>
      <c r="M40" s="2692"/>
      <c r="N40" s="2692"/>
      <c r="O40" s="2692"/>
      <c r="P40" s="3807"/>
      <c r="Q40" s="1352" t="str">
        <f t="shared" si="11"/>
        <v>市政基础设施</v>
      </c>
      <c r="R40" s="705" t="s">
        <v>14</v>
      </c>
      <c r="S40" s="706">
        <f t="shared" si="12"/>
        <v>100</v>
      </c>
      <c r="T40" s="705" t="s">
        <v>14</v>
      </c>
      <c r="U40" s="706">
        <f t="shared" si="13"/>
        <v>100</v>
      </c>
      <c r="V40" s="705" t="s">
        <v>14</v>
      </c>
      <c r="W40" s="706">
        <f t="shared" si="14"/>
        <v>100</v>
      </c>
      <c r="X40" s="1355"/>
      <c r="Y40" s="3809"/>
      <c r="Z40" s="1356" t="str">
        <f t="shared" si="15"/>
        <v>市政基础设施</v>
      </c>
      <c r="AA40" s="1353">
        <f t="shared" si="3"/>
        <v>1</v>
      </c>
      <c r="AB40" s="1353">
        <f t="shared" si="4"/>
        <v>1</v>
      </c>
      <c r="AC40" s="1962">
        <f t="shared" si="5"/>
        <v>1</v>
      </c>
    </row>
    <row r="41" spans="1:29" ht="15">
      <c r="A41" s="423"/>
      <c r="B41" s="375" t="s">
        <v>1771</v>
      </c>
      <c r="C41" s="565" t="s">
        <v>3553</v>
      </c>
      <c r="D41" s="386">
        <v>100</v>
      </c>
      <c r="E41" s="565" t="s">
        <v>3553</v>
      </c>
      <c r="F41" s="412">
        <f>SUMIF(119:119,E41,120:120)-SUMIF(119:119,C41,120:120)+100</f>
        <v>100</v>
      </c>
      <c r="G41" s="565" t="s">
        <v>3553</v>
      </c>
      <c r="H41" s="386">
        <f>SUMIF(119:119,G41,120:120)-SUMIF(119:119,C41,120:120)+100</f>
        <v>100</v>
      </c>
      <c r="I41" s="565" t="s">
        <v>3553</v>
      </c>
      <c r="J41" s="386">
        <f>SUMIF(119:119,I41,120:120)-SUMIF(119:119,C41,120:120)+100</f>
        <v>100</v>
      </c>
      <c r="K41" s="561">
        <v>2</v>
      </c>
      <c r="L41" s="2698"/>
      <c r="M41" s="2692"/>
      <c r="N41" s="2692"/>
      <c r="O41" s="2692"/>
      <c r="P41" s="3807"/>
      <c r="Q41" s="1352" t="str">
        <f t="shared" si="11"/>
        <v>层高</v>
      </c>
      <c r="R41" s="705" t="s">
        <v>14</v>
      </c>
      <c r="S41" s="706">
        <f t="shared" si="12"/>
        <v>100</v>
      </c>
      <c r="T41" s="705" t="s">
        <v>14</v>
      </c>
      <c r="U41" s="706">
        <f t="shared" si="13"/>
        <v>100</v>
      </c>
      <c r="V41" s="705" t="s">
        <v>14</v>
      </c>
      <c r="W41" s="706">
        <f t="shared" si="14"/>
        <v>100</v>
      </c>
      <c r="X41" s="1355"/>
      <c r="Y41" s="3809"/>
      <c r="Z41" s="1356" t="str">
        <f t="shared" si="15"/>
        <v>层高</v>
      </c>
      <c r="AA41" s="1353">
        <f t="shared" si="3"/>
        <v>1</v>
      </c>
      <c r="AB41" s="1353">
        <f t="shared" si="4"/>
        <v>1</v>
      </c>
      <c r="AC41" s="1962">
        <f t="shared" si="5"/>
        <v>1</v>
      </c>
    </row>
    <row r="42" spans="1:29" s="422" customFormat="1" ht="15">
      <c r="A42" s="419"/>
      <c r="B42" s="135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807"/>
      <c r="Q42" s="707" t="str">
        <f t="shared" si="11"/>
        <v>单套建筑面积</v>
      </c>
      <c r="R42" s="708" t="s">
        <v>14</v>
      </c>
      <c r="S42" s="709">
        <f t="shared" si="12"/>
        <v>100</v>
      </c>
      <c r="T42" s="708" t="s">
        <v>14</v>
      </c>
      <c r="U42" s="709">
        <f t="shared" si="13"/>
        <v>100</v>
      </c>
      <c r="V42" s="708" t="s">
        <v>14</v>
      </c>
      <c r="W42" s="709">
        <f t="shared" si="14"/>
        <v>100</v>
      </c>
      <c r="X42" s="710"/>
      <c r="Y42" s="3809"/>
      <c r="Z42" s="711" t="str">
        <f t="shared" si="15"/>
        <v>单套建筑面积</v>
      </c>
      <c r="AA42" s="1353">
        <f t="shared" si="3"/>
        <v>1</v>
      </c>
      <c r="AB42" s="1353">
        <f t="shared" si="4"/>
        <v>1</v>
      </c>
      <c r="AC42" s="1962">
        <f t="shared" si="5"/>
        <v>1</v>
      </c>
    </row>
    <row r="43" spans="1:29" ht="15">
      <c r="A43" s="423"/>
      <c r="B43" s="375" t="s">
        <v>1774</v>
      </c>
      <c r="C43" s="411" t="s">
        <v>3558</v>
      </c>
      <c r="D43" s="386">
        <v>100</v>
      </c>
      <c r="E43" s="411" t="s">
        <v>3559</v>
      </c>
      <c r="F43" s="412">
        <f>SUMIF(123:123,E43,124:124)-SUMIF(123:123,C43,124:124)+100</f>
        <v>98</v>
      </c>
      <c r="G43" s="411" t="s">
        <v>3558</v>
      </c>
      <c r="H43" s="386">
        <f>SUMIF(123:123,G43,124:124)-SUMIF(123:123,C43,124:124)+100</f>
        <v>100</v>
      </c>
      <c r="I43" s="411" t="s">
        <v>3559</v>
      </c>
      <c r="J43" s="386">
        <f>SUMIF(123:123,I43,124:124)-SUMIF(123:123,C43,124:124)+100</f>
        <v>98</v>
      </c>
      <c r="K43" s="561">
        <v>2</v>
      </c>
      <c r="L43" s="2698"/>
      <c r="M43" s="2692"/>
      <c r="N43" s="2692"/>
      <c r="O43" s="2692"/>
      <c r="P43" s="3807"/>
      <c r="Q43" s="1352" t="str">
        <f t="shared" si="11"/>
        <v>内部装修</v>
      </c>
      <c r="R43" s="705" t="s">
        <v>14</v>
      </c>
      <c r="S43" s="706">
        <f t="shared" si="12"/>
        <v>98</v>
      </c>
      <c r="T43" s="705" t="s">
        <v>14</v>
      </c>
      <c r="U43" s="706">
        <f t="shared" si="13"/>
        <v>100</v>
      </c>
      <c r="V43" s="705" t="s">
        <v>14</v>
      </c>
      <c r="W43" s="706">
        <f t="shared" si="14"/>
        <v>98</v>
      </c>
      <c r="X43" s="1355"/>
      <c r="Y43" s="3809"/>
      <c r="Z43" s="1356" t="str">
        <f t="shared" si="15"/>
        <v>内部装修</v>
      </c>
      <c r="AA43" s="1353">
        <f t="shared" si="3"/>
        <v>1.0204081632653061</v>
      </c>
      <c r="AB43" s="1353">
        <f t="shared" si="4"/>
        <v>1</v>
      </c>
      <c r="AC43" s="1962">
        <f t="shared" si="5"/>
        <v>1.0204081632653061</v>
      </c>
    </row>
    <row r="44" spans="1:29" ht="15">
      <c r="A44" s="423"/>
      <c r="B44" s="375" t="s">
        <v>1689</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2</v>
      </c>
      <c r="L44" s="2698"/>
      <c r="M44" s="2692"/>
      <c r="N44" s="2692"/>
      <c r="O44" s="2692"/>
      <c r="P44" s="3807"/>
      <c r="Q44" s="1352" t="str">
        <f t="shared" si="11"/>
        <v>内部装修维护情况</v>
      </c>
      <c r="R44" s="705" t="s">
        <v>14</v>
      </c>
      <c r="S44" s="706">
        <f t="shared" si="12"/>
        <v>100</v>
      </c>
      <c r="T44" s="705" t="s">
        <v>14</v>
      </c>
      <c r="U44" s="706">
        <f t="shared" si="13"/>
        <v>100</v>
      </c>
      <c r="V44" s="705" t="s">
        <v>14</v>
      </c>
      <c r="W44" s="706">
        <f t="shared" si="14"/>
        <v>100</v>
      </c>
      <c r="X44" s="1355"/>
      <c r="Y44" s="3809"/>
      <c r="Z44" s="1356" t="str">
        <f t="shared" si="15"/>
        <v>内部装修维护情况</v>
      </c>
      <c r="AA44" s="1353">
        <f t="shared" si="3"/>
        <v>1</v>
      </c>
      <c r="AB44" s="1353">
        <f t="shared" si="4"/>
        <v>1</v>
      </c>
      <c r="AC44" s="1962">
        <f t="shared" si="5"/>
        <v>1</v>
      </c>
    </row>
    <row r="45" spans="1:29" s="108" customFormat="1" ht="15.75" thickBot="1">
      <c r="A45" s="424"/>
      <c r="B45" s="1133" t="s">
        <v>3417</v>
      </c>
      <c r="C45" s="420">
        <f>ROUND('数据-汇总表'!G31/'数据-汇总表'!E3,2)</f>
        <v>0.2</v>
      </c>
      <c r="D45" s="127">
        <v>100</v>
      </c>
      <c r="E45" s="383">
        <v>0</v>
      </c>
      <c r="F45" s="376">
        <f>SUMIF(127:127,E45,128:128)-SUMIF(127:127,C45,128:128)+100</f>
        <v>100</v>
      </c>
      <c r="G45" s="383">
        <f>ROUND(0.269342105263158,2)</f>
        <v>0.27</v>
      </c>
      <c r="H45" s="127">
        <f>SUMIF(127:127,G45,128:128)-SUMIF(127:127,C45,128:128)+100</f>
        <v>100</v>
      </c>
      <c r="I45" s="383">
        <v>0</v>
      </c>
      <c r="J45" s="127">
        <f>SUMIF(127:127,I45,128:128)-SUMIF(127:127,C45,128:128)+100</f>
        <v>100</v>
      </c>
      <c r="K45" s="562"/>
      <c r="L45" s="2693">
        <v>22</v>
      </c>
      <c r="M45" s="2694"/>
      <c r="N45" s="2694"/>
      <c r="O45" s="2694"/>
      <c r="P45" s="3807"/>
      <c r="Q45" s="1343" t="str">
        <f t="shared" si="11"/>
        <v>地下面积占比</v>
      </c>
      <c r="R45" s="701" t="s">
        <v>14</v>
      </c>
      <c r="S45" s="702">
        <f t="shared" si="12"/>
        <v>100</v>
      </c>
      <c r="T45" s="701" t="s">
        <v>14</v>
      </c>
      <c r="U45" s="702">
        <f t="shared" si="13"/>
        <v>100</v>
      </c>
      <c r="V45" s="701" t="s">
        <v>14</v>
      </c>
      <c r="W45" s="702">
        <f t="shared" si="14"/>
        <v>100</v>
      </c>
      <c r="X45" s="703"/>
      <c r="Y45" s="3809"/>
      <c r="Z45" s="52" t="str">
        <f t="shared" si="15"/>
        <v>地下面积占比</v>
      </c>
      <c r="AA45" s="704">
        <f t="shared" si="3"/>
        <v>1</v>
      </c>
      <c r="AB45" s="704">
        <f t="shared" si="4"/>
        <v>1</v>
      </c>
      <c r="AC45" s="1959">
        <f t="shared" si="5"/>
        <v>1</v>
      </c>
    </row>
    <row r="46" spans="1:29" ht="15.75" thickTop="1">
      <c r="A46" s="423"/>
      <c r="B46" s="1133" t="s">
        <v>3417</v>
      </c>
      <c r="C46" s="532" t="s">
        <v>4637</v>
      </c>
      <c r="D46" s="386">
        <v>100</v>
      </c>
      <c r="E46" s="383">
        <v>0</v>
      </c>
      <c r="F46" s="412">
        <f>SUMIF(129:129,E46,130:130)-SUMIF(129:129,C46,130:130)+100</f>
        <v>108</v>
      </c>
      <c r="G46" s="383" t="str">
        <f>I129</f>
        <v>25-30%</v>
      </c>
      <c r="H46" s="386">
        <f>SUMIF(129:129,G46,130:130)-SUMIF(129:129,C46,130:130)+100</f>
        <v>96</v>
      </c>
      <c r="I46" s="383">
        <f>C129</f>
        <v>0</v>
      </c>
      <c r="J46" s="386">
        <f>SUMIF(129:129,I46,130:130)-SUMIF(129:129,C46,130:130)+100</f>
        <v>108</v>
      </c>
      <c r="K46" s="562"/>
      <c r="L46" s="2698"/>
      <c r="M46" s="2692"/>
      <c r="N46" s="2692"/>
      <c r="O46" s="2692"/>
      <c r="P46" s="3807"/>
      <c r="Q46" s="1352" t="str">
        <f t="shared" si="11"/>
        <v>地下面积占比</v>
      </c>
      <c r="R46" s="705" t="s">
        <v>14</v>
      </c>
      <c r="S46" s="706">
        <f t="shared" si="12"/>
        <v>108</v>
      </c>
      <c r="T46" s="705" t="s">
        <v>14</v>
      </c>
      <c r="U46" s="706">
        <f t="shared" si="13"/>
        <v>96</v>
      </c>
      <c r="V46" s="705" t="s">
        <v>14</v>
      </c>
      <c r="W46" s="706">
        <f t="shared" si="14"/>
        <v>108</v>
      </c>
      <c r="X46" s="1355"/>
      <c r="Y46" s="3809"/>
      <c r="Z46" s="1356" t="str">
        <f t="shared" si="15"/>
        <v>地下面积占比</v>
      </c>
      <c r="AA46" s="1353">
        <f t="shared" si="3"/>
        <v>0.92592592592592593</v>
      </c>
      <c r="AB46" s="1353">
        <f t="shared" si="4"/>
        <v>1.0416666666666667</v>
      </c>
      <c r="AC46" s="1962">
        <f t="shared" si="5"/>
        <v>0.92592592592592593</v>
      </c>
    </row>
    <row r="47" spans="1:29" ht="15.75" thickBot="1">
      <c r="A47" s="429"/>
      <c r="B47" s="1895"/>
      <c r="C47" s="388">
        <v>1998</v>
      </c>
      <c r="D47" s="389">
        <v>100</v>
      </c>
      <c r="E47" s="383">
        <v>2018</v>
      </c>
      <c r="F47" s="390">
        <f>SUMIF(131:131,E47,132:132)-SUMIF(131:131,C47,132:132)+100</f>
        <v>100</v>
      </c>
      <c r="G47" s="383">
        <v>2008</v>
      </c>
      <c r="H47" s="389">
        <f>SUMIF(131:131,G47,132:132)-SUMIF(131:131,C47,132:132)+100</f>
        <v>100</v>
      </c>
      <c r="I47" s="383">
        <v>2012</v>
      </c>
      <c r="J47" s="389">
        <f>SUMIF(131:131,I47,132:132)-SUMIF(131:131,C47,132:132)+100</f>
        <v>100</v>
      </c>
      <c r="K47" s="562"/>
      <c r="L47" s="2698"/>
      <c r="M47" s="2692"/>
      <c r="N47" s="2692"/>
      <c r="O47" s="2692"/>
      <c r="P47" s="3808"/>
      <c r="Q47" s="1352">
        <f t="shared" si="11"/>
        <v>0</v>
      </c>
      <c r="R47" s="705" t="s">
        <v>14</v>
      </c>
      <c r="S47" s="706">
        <f t="shared" si="12"/>
        <v>100</v>
      </c>
      <c r="T47" s="705" t="s">
        <v>14</v>
      </c>
      <c r="U47" s="706">
        <f t="shared" si="13"/>
        <v>100</v>
      </c>
      <c r="V47" s="705" t="s">
        <v>14</v>
      </c>
      <c r="W47" s="706">
        <f t="shared" si="14"/>
        <v>100</v>
      </c>
      <c r="X47" s="1355"/>
      <c r="Y47" s="3810"/>
      <c r="Z47" s="1356">
        <f t="shared" si="15"/>
        <v>0</v>
      </c>
      <c r="AA47" s="1353">
        <f t="shared" si="3"/>
        <v>1</v>
      </c>
      <c r="AB47" s="1353">
        <f t="shared" si="4"/>
        <v>1</v>
      </c>
      <c r="AC47" s="1962">
        <f t="shared" si="5"/>
        <v>1</v>
      </c>
    </row>
    <row r="48" spans="1:29" ht="15">
      <c r="A48" s="430" t="s">
        <v>1690</v>
      </c>
      <c r="B48" s="431"/>
      <c r="C48" s="1154" t="s">
        <v>0</v>
      </c>
      <c r="D48" s="1155"/>
      <c r="E48" s="1156">
        <v>49000</v>
      </c>
      <c r="F48" s="1157"/>
      <c r="G48" s="1158">
        <v>41447</v>
      </c>
      <c r="H48" s="1159"/>
      <c r="I48" s="1156">
        <v>49600</v>
      </c>
      <c r="J48" s="436"/>
      <c r="K48" s="714"/>
      <c r="L48" s="2700"/>
      <c r="M48" s="2692"/>
      <c r="N48" s="2692"/>
      <c r="O48" s="2692"/>
      <c r="P48" s="3782" t="str">
        <f>A48</f>
        <v>成交单价（元/平方米）</v>
      </c>
      <c r="Q48" s="3811"/>
      <c r="R48" s="3812">
        <f>E48</f>
        <v>49000</v>
      </c>
      <c r="S48" s="3812"/>
      <c r="T48" s="3812">
        <f>G48</f>
        <v>41447</v>
      </c>
      <c r="U48" s="3812"/>
      <c r="V48" s="3812">
        <f>I48</f>
        <v>49600</v>
      </c>
      <c r="W48" s="3812"/>
      <c r="X48" s="397"/>
      <c r="Y48" s="712"/>
      <c r="Z48" s="397"/>
      <c r="AA48" s="397"/>
      <c r="AB48" s="397"/>
      <c r="AC48" s="578"/>
    </row>
    <row r="49" spans="1:41" ht="15.75" thickBot="1">
      <c r="A49" s="437" t="s">
        <v>1775</v>
      </c>
      <c r="B49" s="438"/>
      <c r="C49" s="1160">
        <f>R50</f>
        <v>48585</v>
      </c>
      <c r="D49" s="2317" t="s">
        <v>2120</v>
      </c>
      <c r="E49" s="1161">
        <f>R49</f>
        <v>51290</v>
      </c>
      <c r="F49" s="2318"/>
      <c r="G49" s="1160">
        <f>T49</f>
        <v>44069</v>
      </c>
      <c r="H49" s="2318"/>
      <c r="I49" s="1161">
        <f>V49</f>
        <v>50395</v>
      </c>
      <c r="J49" s="2318"/>
      <c r="K49" s="2320">
        <f>F49+H49+J49</f>
        <v>0</v>
      </c>
      <c r="L49" s="2700"/>
      <c r="M49" s="2692"/>
      <c r="N49" s="2692"/>
      <c r="O49" s="2692"/>
      <c r="P49" s="3782" t="str">
        <f>A49</f>
        <v>比较价值（元/平方米）</v>
      </c>
      <c r="Q49" s="3811"/>
      <c r="R49" s="3812">
        <f>IF(F1="售价",ROUND(PRODUCT(R48,AA7:AA47),0),ROUND(PRODUCT(R48,AA7:AA47),1))</f>
        <v>51290</v>
      </c>
      <c r="S49" s="3812"/>
      <c r="T49" s="3812">
        <f>IF(F1="售价",ROUND(PRODUCT(T48,AB7:AB47),0),ROUND(PRODUCT(T48,AB7:AB47),1))</f>
        <v>44069</v>
      </c>
      <c r="U49" s="3812"/>
      <c r="V49" s="3812">
        <f>IF(F1="售价",ROUND(PRODUCT(V48,AC7:AC47),0),ROUND(PRODUCT(V48,AC7:AC47),1))</f>
        <v>50395</v>
      </c>
      <c r="W49" s="3812"/>
      <c r="X49" s="397"/>
      <c r="Y49" s="397"/>
      <c r="Z49" s="397"/>
      <c r="AA49" s="397"/>
      <c r="AB49" s="397"/>
      <c r="AC49" s="578"/>
    </row>
    <row r="50" spans="1:41" ht="15.75" thickBot="1">
      <c r="A50" s="441" t="s">
        <v>1776</v>
      </c>
      <c r="B50" s="442"/>
      <c r="C50" s="1163">
        <f>R50</f>
        <v>48585</v>
      </c>
      <c r="D50" s="1163"/>
      <c r="E50" s="1163"/>
      <c r="F50" s="1163"/>
      <c r="G50" s="1163"/>
      <c r="H50" s="1163"/>
      <c r="I50" s="1163"/>
      <c r="J50" s="443"/>
      <c r="K50" s="715"/>
      <c r="L50" s="2700"/>
      <c r="M50" s="2692"/>
      <c r="N50" s="2692"/>
      <c r="O50" s="2692"/>
      <c r="P50" s="3813" t="str">
        <f>A50</f>
        <v>估价对象XX用房的比较价值（楼面单价，元/平方米）</v>
      </c>
      <c r="Q50" s="3814"/>
      <c r="R50" s="3815">
        <f>IF(F1="售价",ROUND(IF(D49="简单平均",AVERAGE(R49:V49),R49*F49+T49*H49+V49*J49),0),ROUND(IF(D49="简单平均",AVERAGE(R49:V49),R49*F49+T49*H49+V49*J49),1))</f>
        <v>48585</v>
      </c>
      <c r="S50" s="3815"/>
      <c r="T50" s="3815"/>
      <c r="U50" s="3815"/>
      <c r="V50" s="3815"/>
      <c r="W50" s="3815"/>
      <c r="X50" s="1946"/>
      <c r="Y50" s="1946"/>
      <c r="Z50" s="1946"/>
      <c r="AA50" s="1946"/>
      <c r="AB50" s="1946"/>
      <c r="AC50" s="1947"/>
    </row>
    <row r="51" spans="1:41">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41">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41" ht="13.5" customHeight="1">
      <c r="A53" s="2701"/>
      <c r="B53" s="2701"/>
      <c r="C53" s="446" t="s">
        <v>1777</v>
      </c>
      <c r="D53" s="447"/>
      <c r="E53" s="448">
        <f>IF(E48&lt;E49,E49/E48-1,E48/E49-1)</f>
        <v>4.6734693877551026E-2</v>
      </c>
      <c r="F53" s="449" t="str">
        <f>IF(OR(E53&gt;=0.3,E53&lt;=-0.3),"超过30%","")</f>
        <v/>
      </c>
      <c r="G53" s="448">
        <f>IF(G48&lt;G49,G49/G48-1,G48/G49-1)</f>
        <v>6.3261514705527544E-2</v>
      </c>
      <c r="H53" s="449" t="str">
        <f>IF(OR(G53&gt;=0.3,G53&lt;=-0.3),"超过30%","")</f>
        <v/>
      </c>
      <c r="I53" s="448">
        <f>IF(I48&lt;I49,I49/I48-1,I48/I49-1)</f>
        <v>1.602822580645169E-2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41" ht="13.5" customHeight="1">
      <c r="A54" s="2701"/>
      <c r="B54" s="2701"/>
      <c r="C54" s="446" t="s">
        <v>1778</v>
      </c>
      <c r="D54" s="450"/>
      <c r="E54" s="448">
        <f>IF(E49&lt;G49,G49/E49-1,E49/G49-1)</f>
        <v>0.16385667929837311</v>
      </c>
      <c r="F54" s="449" t="str">
        <f>IF(OR(E54&gt;=0.2,E54&lt;=-0.2),"超过20%","")</f>
        <v/>
      </c>
      <c r="G54" s="448">
        <f>IF(G49&lt;I49,I49/G49-1,G49/I49-1)</f>
        <v>0.14354761850734077</v>
      </c>
      <c r="H54" s="449" t="str">
        <f>IF(OR(G54&gt;=0.2,G54&lt;=-0.2),"超过20%","")</f>
        <v/>
      </c>
      <c r="I54" s="448">
        <f>IF(I49&lt;E49,E49/I49-1,I49/E49-1)</f>
        <v>1.7759698382776135E-2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41" s="451" customFormat="1" ht="13.5" customHeight="1">
      <c r="A55" s="2704"/>
      <c r="B55" s="2704"/>
      <c r="C55" s="446" t="s">
        <v>1779</v>
      </c>
      <c r="D55" s="450"/>
      <c r="E55" s="448">
        <f>IF(E48&lt;G48,G48/E48-1,E48/G48-1)</f>
        <v>0.18223273095760861</v>
      </c>
      <c r="F55" s="449" t="str">
        <f>IF(OR(E55&gt;=0.3,E55&lt;=-0.3),"超过30%","")</f>
        <v/>
      </c>
      <c r="G55" s="448">
        <f>IF(G48&lt;I48,I48/G48-1,G48/I48-1)</f>
        <v>0.19670905011219153</v>
      </c>
      <c r="H55" s="449" t="str">
        <f>IF(OR(G55&gt;=0.3,G55&lt;=-0.3),"超过30%","")</f>
        <v/>
      </c>
      <c r="I55" s="448">
        <f>IF(I48&lt;E48,E48/I48-1,I48/E48-1)</f>
        <v>1.2244897959183598E-2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41"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41">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41" ht="21.75" thickBot="1">
      <c r="A58" s="694" t="s">
        <v>1780</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41" s="457" customFormat="1" ht="15">
      <c r="A59" s="454" t="s">
        <v>1661</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3475">
        <f t="shared" ref="P59" si="17">EDATE(O59,-1)</f>
        <v>44986</v>
      </c>
      <c r="Q59" s="3475">
        <f t="shared" ref="Q59" si="18">EDATE(P59,-1)</f>
        <v>44958</v>
      </c>
      <c r="R59" s="3475">
        <f t="shared" ref="R59" si="19">EDATE(Q59,-1)</f>
        <v>44927</v>
      </c>
      <c r="S59" s="3475">
        <f t="shared" ref="S59" si="20">EDATE(R59,-1)</f>
        <v>44896</v>
      </c>
      <c r="T59" s="3475">
        <f t="shared" ref="T59" si="21">EDATE(S59,-1)</f>
        <v>44866</v>
      </c>
      <c r="U59" s="3475">
        <f t="shared" ref="U59" si="22">EDATE(T59,-1)</f>
        <v>44835</v>
      </c>
      <c r="V59" s="3475">
        <f t="shared" ref="V59" si="23">EDATE(U59,-1)</f>
        <v>44805</v>
      </c>
      <c r="W59" s="3475">
        <f t="shared" ref="W59" si="24">EDATE(V59,-1)</f>
        <v>44774</v>
      </c>
      <c r="X59" s="3475">
        <f t="shared" ref="X59" si="25">EDATE(W59,-1)</f>
        <v>44743</v>
      </c>
      <c r="Y59" s="3475">
        <f t="shared" ref="Y59" si="26">EDATE(X59,-1)</f>
        <v>44713</v>
      </c>
      <c r="Z59" s="3475">
        <f t="shared" ref="Z59" si="27">EDATE(Y59,-1)</f>
        <v>44682</v>
      </c>
      <c r="AA59" s="3475">
        <f t="shared" ref="AA59" si="28">EDATE(Z59,-1)</f>
        <v>44652</v>
      </c>
      <c r="AB59" s="3475">
        <f t="shared" ref="AB59" si="29">EDATE(AA59,-1)</f>
        <v>44621</v>
      </c>
      <c r="AC59" s="3475">
        <f t="shared" ref="AC59" si="30">EDATE(AB59,-1)</f>
        <v>44593</v>
      </c>
      <c r="AD59" s="3475">
        <f t="shared" ref="AD59" si="31">EDATE(AC59,-1)</f>
        <v>44562</v>
      </c>
      <c r="AE59" s="3475">
        <f t="shared" ref="AE59" si="32">EDATE(AD59,-1)</f>
        <v>44531</v>
      </c>
      <c r="AF59" s="3475">
        <f t="shared" ref="AF59" si="33">EDATE(AE59,-1)</f>
        <v>44501</v>
      </c>
      <c r="AG59" s="3475">
        <f t="shared" ref="AG59" si="34">EDATE(AF59,-1)</f>
        <v>44470</v>
      </c>
      <c r="AH59" s="3475">
        <f t="shared" ref="AH59" si="35">EDATE(AG59,-1)</f>
        <v>44440</v>
      </c>
      <c r="AI59" s="3475">
        <f t="shared" ref="AI59" si="36">EDATE(AH59,-1)</f>
        <v>44409</v>
      </c>
      <c r="AJ59" s="3475">
        <f t="shared" ref="AJ59" si="37">EDATE(AI59,-1)</f>
        <v>44378</v>
      </c>
      <c r="AK59" s="3475">
        <f t="shared" ref="AK59" si="38">EDATE(AJ59,-1)</f>
        <v>44348</v>
      </c>
      <c r="AL59" s="3475">
        <f t="shared" ref="AL59" si="39">EDATE(AK59,-1)</f>
        <v>44317</v>
      </c>
      <c r="AM59" s="3475">
        <f t="shared" ref="AM59" si="40">EDATE(AL59,-1)</f>
        <v>44287</v>
      </c>
      <c r="AN59" s="3475">
        <f t="shared" ref="AN59" si="41">EDATE(AM59,-1)</f>
        <v>44256</v>
      </c>
      <c r="AO59" s="3475">
        <f t="shared" ref="AO59" si="42">EDATE(AN59,-1)</f>
        <v>44228</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43">R60</f>
        <v>98</v>
      </c>
      <c r="T60" s="461">
        <f t="shared" si="43"/>
        <v>98</v>
      </c>
      <c r="U60" s="461">
        <f t="shared" si="43"/>
        <v>98</v>
      </c>
      <c r="V60" s="461">
        <f t="shared" si="43"/>
        <v>98</v>
      </c>
      <c r="W60" s="461">
        <f t="shared" si="43"/>
        <v>98</v>
      </c>
      <c r="X60" s="461">
        <f t="shared" si="43"/>
        <v>98</v>
      </c>
      <c r="Y60" s="461">
        <f t="shared" si="43"/>
        <v>98</v>
      </c>
      <c r="Z60" s="461">
        <f t="shared" si="43"/>
        <v>98</v>
      </c>
      <c r="AA60" s="461">
        <f t="shared" si="43"/>
        <v>98</v>
      </c>
      <c r="AB60" s="2638">
        <f>AA60-2</f>
        <v>96</v>
      </c>
      <c r="AC60" s="2638">
        <f>AB60</f>
        <v>96</v>
      </c>
      <c r="AD60" s="2638">
        <f t="shared" ref="AD60:AM60" si="44">AC60</f>
        <v>96</v>
      </c>
      <c r="AE60" s="2638">
        <f t="shared" si="44"/>
        <v>96</v>
      </c>
      <c r="AF60" s="2638">
        <f t="shared" si="44"/>
        <v>96</v>
      </c>
      <c r="AG60" s="2638">
        <f t="shared" si="44"/>
        <v>96</v>
      </c>
      <c r="AH60" s="2638">
        <f t="shared" si="44"/>
        <v>96</v>
      </c>
      <c r="AI60" s="2638">
        <f t="shared" si="44"/>
        <v>96</v>
      </c>
      <c r="AJ60" s="2638">
        <f t="shared" si="44"/>
        <v>96</v>
      </c>
      <c r="AK60" s="2638">
        <f t="shared" si="44"/>
        <v>96</v>
      </c>
      <c r="AL60" s="2638">
        <f t="shared" si="44"/>
        <v>96</v>
      </c>
      <c r="AM60" s="2638">
        <f t="shared" si="44"/>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41" s="108" customFormat="1" ht="15">
      <c r="A62" s="470" t="s">
        <v>1663</v>
      </c>
      <c r="B62" s="459"/>
      <c r="C62" s="471" t="s">
        <v>1758</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3562</v>
      </c>
      <c r="D66" s="532" t="s">
        <v>3563</v>
      </c>
      <c r="E66" s="532" t="s">
        <v>3564</v>
      </c>
      <c r="F66" s="3474" t="s">
        <v>3565</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f>C67-1</f>
        <v>99</v>
      </c>
      <c r="E67" s="485">
        <f t="shared" ref="E67:F67" si="45">D67-1</f>
        <v>98</v>
      </c>
      <c r="F67" s="485">
        <f t="shared" si="45"/>
        <v>97</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46">D69&amp;"（含）"&amp;"-"&amp;E69</f>
        <v>3（含）-</v>
      </c>
      <c r="E68" s="496" t="str">
        <f t="shared" si="46"/>
        <v>（含）-</v>
      </c>
      <c r="F68" s="496" t="str">
        <f t="shared" si="46"/>
        <v>（含）-</v>
      </c>
      <c r="G68" s="496" t="str">
        <f t="shared" si="46"/>
        <v>（含）-</v>
      </c>
      <c r="H68" s="496" t="str">
        <f t="shared" si="46"/>
        <v>（含）-</v>
      </c>
      <c r="I68" s="496" t="str">
        <f t="shared" si="46"/>
        <v>（含）-</v>
      </c>
      <c r="J68" s="496" t="str">
        <f t="shared" si="46"/>
        <v>（含）-</v>
      </c>
      <c r="K68" s="496" t="str">
        <f t="shared" si="46"/>
        <v>（含）-</v>
      </c>
      <c r="L68" s="496" t="str">
        <f t="shared" si="46"/>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47">C70-$K11</f>
        <v>100</v>
      </c>
      <c r="E70" s="493">
        <f t="shared" si="47"/>
        <v>100</v>
      </c>
      <c r="F70" s="493">
        <f t="shared" si="47"/>
        <v>100</v>
      </c>
      <c r="G70" s="493">
        <f t="shared" si="47"/>
        <v>100</v>
      </c>
      <c r="H70" s="493">
        <f t="shared" si="47"/>
        <v>100</v>
      </c>
      <c r="I70" s="493">
        <f t="shared" si="47"/>
        <v>100</v>
      </c>
      <c r="J70" s="493">
        <f t="shared" si="47"/>
        <v>100</v>
      </c>
      <c r="K70" s="493">
        <f t="shared" si="47"/>
        <v>100</v>
      </c>
      <c r="L70" s="493">
        <f t="shared" si="47"/>
        <v>100</v>
      </c>
      <c r="M70" s="494">
        <f t="shared" si="47"/>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0</v>
      </c>
      <c r="C71" s="503" t="s">
        <v>3548</v>
      </c>
      <c r="D71" s="503" t="s">
        <v>3557</v>
      </c>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v>100</v>
      </c>
      <c r="D72" s="485">
        <v>100</v>
      </c>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0</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29.25" thickTop="1">
      <c r="A75" s="502"/>
      <c r="B75" s="495" t="str">
        <f>B14</f>
        <v>用途</v>
      </c>
      <c r="C75" s="472" t="s">
        <v>3554</v>
      </c>
      <c r="D75" s="472" t="s">
        <v>3549</v>
      </c>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v>100</v>
      </c>
      <c r="D76" s="519">
        <v>90</v>
      </c>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97</v>
      </c>
      <c r="E78" s="493">
        <f>D78-$K15</f>
        <v>94</v>
      </c>
      <c r="F78" s="493">
        <f>E78-$K15</f>
        <v>91</v>
      </c>
      <c r="G78" s="493">
        <f>F78-$K15</f>
        <v>88</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97</v>
      </c>
      <c r="E80" s="493">
        <f>D80-$K17</f>
        <v>94</v>
      </c>
      <c r="F80" s="493">
        <f>E80-$K17</f>
        <v>91</v>
      </c>
      <c r="G80" s="493">
        <f>F80-$K17</f>
        <v>88</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97</v>
      </c>
      <c r="E82" s="493">
        <f>D82-$K19</f>
        <v>94</v>
      </c>
      <c r="F82" s="493">
        <f>E82-$K19</f>
        <v>91</v>
      </c>
      <c r="G82" s="493">
        <f>F82-$K19</f>
        <v>88</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97</v>
      </c>
      <c r="E86" s="493">
        <f>D86-$K23</f>
        <v>94</v>
      </c>
      <c r="F86" s="493">
        <f>E86-$K23</f>
        <v>91</v>
      </c>
      <c r="G86" s="493">
        <f>F86-$K23</f>
        <v>88</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3577" t="s">
        <v>4694</v>
      </c>
      <c r="D87" s="3577" t="s">
        <v>4695</v>
      </c>
      <c r="E87" s="3577" t="s">
        <v>4697</v>
      </c>
      <c r="F87" s="3577" t="s">
        <v>4699</v>
      </c>
      <c r="G87" s="3577" t="s">
        <v>4700</v>
      </c>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48">C88-$K25</f>
        <v>98</v>
      </c>
      <c r="E88" s="493">
        <f t="shared" si="48"/>
        <v>96</v>
      </c>
      <c r="F88" s="493">
        <f t="shared" si="48"/>
        <v>94</v>
      </c>
      <c r="G88" s="493">
        <f t="shared" si="48"/>
        <v>92</v>
      </c>
      <c r="H88" s="493">
        <f t="shared" si="48"/>
        <v>90</v>
      </c>
      <c r="I88" s="493">
        <f t="shared" si="48"/>
        <v>88</v>
      </c>
      <c r="J88" s="493">
        <f t="shared" si="48"/>
        <v>86</v>
      </c>
      <c r="K88" s="493">
        <f t="shared" si="48"/>
        <v>84</v>
      </c>
      <c r="L88" s="493">
        <f t="shared" si="48"/>
        <v>82</v>
      </c>
      <c r="M88" s="493">
        <f t="shared" si="48"/>
        <v>80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49">D90-$K27</f>
        <v>100</v>
      </c>
      <c r="F90" s="493">
        <f t="shared" si="49"/>
        <v>100</v>
      </c>
      <c r="G90" s="493">
        <f t="shared" si="49"/>
        <v>100</v>
      </c>
      <c r="H90" s="493">
        <f t="shared" si="49"/>
        <v>100</v>
      </c>
      <c r="I90" s="493">
        <f t="shared" si="49"/>
        <v>100</v>
      </c>
      <c r="J90" s="493">
        <f t="shared" si="49"/>
        <v>100</v>
      </c>
      <c r="K90" s="493">
        <f t="shared" si="49"/>
        <v>100</v>
      </c>
      <c r="L90" s="493">
        <f t="shared" si="49"/>
        <v>100</v>
      </c>
      <c r="M90" s="493">
        <f t="shared" si="49"/>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50">C92-$K28</f>
        <v>100</v>
      </c>
      <c r="E92" s="493">
        <f t="shared" si="50"/>
        <v>100</v>
      </c>
      <c r="F92" s="493">
        <f t="shared" si="50"/>
        <v>100</v>
      </c>
      <c r="G92" s="493">
        <f t="shared" si="50"/>
        <v>100</v>
      </c>
      <c r="H92" s="493">
        <f t="shared" si="50"/>
        <v>100</v>
      </c>
      <c r="I92" s="493">
        <f t="shared" si="50"/>
        <v>100</v>
      </c>
      <c r="J92" s="493">
        <f t="shared" si="50"/>
        <v>100</v>
      </c>
      <c r="K92" s="493">
        <f t="shared" si="50"/>
        <v>100</v>
      </c>
      <c r="L92" s="493">
        <f t="shared" si="50"/>
        <v>100</v>
      </c>
      <c r="M92" s="493">
        <f t="shared" si="50"/>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3533" t="s">
        <v>4640</v>
      </c>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51">C102-$K33</f>
        <v>98</v>
      </c>
      <c r="E102" s="493">
        <f t="shared" si="51"/>
        <v>96</v>
      </c>
      <c r="F102" s="493">
        <f t="shared" si="51"/>
        <v>94</v>
      </c>
      <c r="G102" s="493">
        <f t="shared" si="51"/>
        <v>92</v>
      </c>
      <c r="H102" s="493">
        <f t="shared" si="51"/>
        <v>90</v>
      </c>
      <c r="I102" s="493">
        <f t="shared" si="51"/>
        <v>88</v>
      </c>
      <c r="J102" s="493">
        <f t="shared" si="51"/>
        <v>86</v>
      </c>
      <c r="K102" s="493">
        <f t="shared" si="51"/>
        <v>84</v>
      </c>
      <c r="L102" s="493">
        <f t="shared" si="51"/>
        <v>82</v>
      </c>
      <c r="M102" s="494">
        <f t="shared" si="51"/>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0(含)-10000</v>
      </c>
      <c r="D103" s="527" t="str">
        <f t="shared" ref="D103:L103" si="52">D104&amp;"(含)"&amp;"-"&amp;E104</f>
        <v>10000(含)-60000</v>
      </c>
      <c r="E103" s="527" t="str">
        <f t="shared" si="52"/>
        <v>60000(含)-100000</v>
      </c>
      <c r="F103" s="527" t="str">
        <f t="shared" si="52"/>
        <v>100000(含)-300000</v>
      </c>
      <c r="G103" s="527" t="str">
        <f t="shared" si="52"/>
        <v>300000(含)-</v>
      </c>
      <c r="H103" s="527" t="str">
        <f t="shared" si="52"/>
        <v>(含)-</v>
      </c>
      <c r="I103" s="527" t="str">
        <f t="shared" si="52"/>
        <v>(含)-</v>
      </c>
      <c r="J103" s="527" t="str">
        <f t="shared" si="52"/>
        <v>(含)-</v>
      </c>
      <c r="K103" s="527" t="str">
        <f t="shared" si="52"/>
        <v>(含)-</v>
      </c>
      <c r="L103" s="527" t="str">
        <f t="shared" si="52"/>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60000</v>
      </c>
      <c r="F104" s="544">
        <v>100000</v>
      </c>
      <c r="G104" s="544">
        <v>300000</v>
      </c>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53">C107-$K35</f>
        <v>98</v>
      </c>
      <c r="E107" s="493">
        <f t="shared" si="53"/>
        <v>96</v>
      </c>
      <c r="F107" s="493">
        <f t="shared" si="53"/>
        <v>94</v>
      </c>
      <c r="G107" s="493">
        <f t="shared" si="53"/>
        <v>92</v>
      </c>
      <c r="H107" s="493">
        <f t="shared" si="53"/>
        <v>90</v>
      </c>
      <c r="I107" s="493">
        <f t="shared" si="53"/>
        <v>88</v>
      </c>
      <c r="J107" s="493">
        <f t="shared" si="53"/>
        <v>86</v>
      </c>
      <c r="K107" s="493">
        <f t="shared" si="53"/>
        <v>84</v>
      </c>
      <c r="L107" s="493">
        <f t="shared" si="53"/>
        <v>82</v>
      </c>
      <c r="M107" s="494">
        <f t="shared" si="53"/>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3551</v>
      </c>
      <c r="D108" s="503" t="s">
        <v>3558</v>
      </c>
      <c r="E108" s="503" t="s">
        <v>3559</v>
      </c>
      <c r="F108" s="532" t="s">
        <v>3560</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54">C109-$K36</f>
        <v>98</v>
      </c>
      <c r="E109" s="493">
        <f t="shared" si="54"/>
        <v>96</v>
      </c>
      <c r="F109" s="493">
        <f t="shared" si="54"/>
        <v>94</v>
      </c>
      <c r="G109" s="493">
        <f t="shared" si="54"/>
        <v>92</v>
      </c>
      <c r="H109" s="493">
        <f t="shared" si="54"/>
        <v>90</v>
      </c>
      <c r="I109" s="493">
        <f t="shared" si="54"/>
        <v>88</v>
      </c>
      <c r="J109" s="493">
        <f t="shared" si="54"/>
        <v>86</v>
      </c>
      <c r="K109" s="493">
        <f t="shared" si="54"/>
        <v>84</v>
      </c>
      <c r="L109" s="493">
        <f t="shared" si="54"/>
        <v>82</v>
      </c>
      <c r="M109" s="494">
        <f t="shared" si="54"/>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55">D112+$K37</f>
        <v>102</v>
      </c>
      <c r="F112" s="493">
        <f t="shared" si="55"/>
        <v>103</v>
      </c>
      <c r="G112" s="493">
        <f t="shared" si="55"/>
        <v>104</v>
      </c>
      <c r="H112" s="493">
        <f t="shared" si="55"/>
        <v>105</v>
      </c>
      <c r="I112" s="493">
        <f t="shared" si="55"/>
        <v>106</v>
      </c>
      <c r="J112" s="493">
        <f t="shared" si="55"/>
        <v>107</v>
      </c>
      <c r="K112" s="493">
        <f t="shared" si="55"/>
        <v>108</v>
      </c>
      <c r="L112" s="493">
        <f t="shared" si="55"/>
        <v>109</v>
      </c>
      <c r="M112" s="493">
        <f t="shared" si="55"/>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56">D114-$K38</f>
        <v>100</v>
      </c>
      <c r="F114" s="493">
        <f t="shared" si="56"/>
        <v>100</v>
      </c>
      <c r="G114" s="493">
        <f t="shared" si="56"/>
        <v>100</v>
      </c>
      <c r="H114" s="493">
        <f t="shared" si="56"/>
        <v>100</v>
      </c>
      <c r="I114" s="493">
        <f t="shared" si="56"/>
        <v>100</v>
      </c>
      <c r="J114" s="493">
        <f t="shared" si="56"/>
        <v>100</v>
      </c>
      <c r="K114" s="493">
        <f t="shared" si="56"/>
        <v>100</v>
      </c>
      <c r="L114" s="493">
        <f t="shared" si="56"/>
        <v>100</v>
      </c>
      <c r="M114" s="493">
        <f t="shared" si="56"/>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57">C116-$K39</f>
        <v>98</v>
      </c>
      <c r="E116" s="493">
        <f t="shared" si="57"/>
        <v>96</v>
      </c>
      <c r="F116" s="493">
        <f t="shared" si="57"/>
        <v>94</v>
      </c>
      <c r="G116" s="493">
        <f t="shared" si="57"/>
        <v>92</v>
      </c>
      <c r="H116" s="493">
        <f t="shared" si="57"/>
        <v>90</v>
      </c>
      <c r="I116" s="493">
        <f t="shared" si="57"/>
        <v>88</v>
      </c>
      <c r="J116" s="493">
        <f t="shared" si="57"/>
        <v>86</v>
      </c>
      <c r="K116" s="493">
        <f t="shared" si="57"/>
        <v>84</v>
      </c>
      <c r="L116" s="493">
        <f t="shared" si="57"/>
        <v>82</v>
      </c>
      <c r="M116" s="494">
        <f t="shared" si="57"/>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58">D120-$K41</f>
        <v>96</v>
      </c>
      <c r="F120" s="493">
        <f t="shared" si="58"/>
        <v>94</v>
      </c>
      <c r="G120" s="493">
        <f t="shared" si="58"/>
        <v>92</v>
      </c>
      <c r="H120" s="493">
        <f t="shared" si="58"/>
        <v>90</v>
      </c>
      <c r="I120" s="493">
        <f t="shared" si="58"/>
        <v>88</v>
      </c>
      <c r="J120" s="493">
        <f t="shared" si="58"/>
        <v>86</v>
      </c>
      <c r="K120" s="493">
        <f t="shared" si="58"/>
        <v>84</v>
      </c>
      <c r="L120" s="493">
        <f t="shared" si="58"/>
        <v>82</v>
      </c>
      <c r="M120" s="493">
        <f t="shared" si="58"/>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59">C124-$K43</f>
        <v>98</v>
      </c>
      <c r="E124" s="493">
        <f t="shared" si="59"/>
        <v>96</v>
      </c>
      <c r="F124" s="493">
        <f t="shared" si="59"/>
        <v>94</v>
      </c>
      <c r="G124" s="493">
        <f t="shared" si="59"/>
        <v>92</v>
      </c>
      <c r="H124" s="493">
        <f t="shared" si="59"/>
        <v>90</v>
      </c>
      <c r="I124" s="493">
        <f t="shared" si="59"/>
        <v>88</v>
      </c>
      <c r="J124" s="493">
        <f t="shared" si="59"/>
        <v>86</v>
      </c>
      <c r="K124" s="493">
        <f t="shared" si="59"/>
        <v>84</v>
      </c>
      <c r="L124" s="493">
        <f t="shared" si="59"/>
        <v>82</v>
      </c>
      <c r="M124" s="494">
        <f t="shared" si="59"/>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t="str">
        <f>B45</f>
        <v>地下面积占比</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509"/>
      <c r="E128" s="509"/>
      <c r="F128" s="509"/>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t="str">
        <f>B46</f>
        <v>地下面积占比</v>
      </c>
      <c r="C129" s="503">
        <v>0</v>
      </c>
      <c r="D129" s="503" t="s">
        <v>4634</v>
      </c>
      <c r="E129" s="503" t="s">
        <v>4635</v>
      </c>
      <c r="F129" s="503" t="s">
        <v>4636</v>
      </c>
      <c r="G129" s="532" t="s">
        <v>4637</v>
      </c>
      <c r="H129" s="532" t="s">
        <v>4638</v>
      </c>
      <c r="I129" s="532" t="s">
        <v>4639</v>
      </c>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v>100</v>
      </c>
      <c r="D130" s="509">
        <f>C130-2</f>
        <v>98</v>
      </c>
      <c r="E130" s="509">
        <f t="shared" ref="E130:I130" si="60">D130-2</f>
        <v>96</v>
      </c>
      <c r="F130" s="509">
        <f t="shared" si="60"/>
        <v>94</v>
      </c>
      <c r="G130" s="509">
        <f t="shared" si="60"/>
        <v>92</v>
      </c>
      <c r="H130" s="509">
        <f t="shared" si="60"/>
        <v>90</v>
      </c>
      <c r="I130" s="509">
        <f t="shared" si="60"/>
        <v>88</v>
      </c>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0</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algorithmName="SHA-512" hashValue="0Tb4bkY0IqQtN5378XecTePGmCByUCb8ia9PhjYzxidnT7SmXd5XtytgG10rNTtoOqBbBcP6pmbIDP65OPFgbQ==" saltValue="6fbrFECctRO5MNI5UrGbG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19"/>
  <sheetViews>
    <sheetView zoomScaleNormal="100" zoomScaleSheetLayoutView="100" workbookViewId="0">
      <selection activeCell="J35" sqref="J35"/>
    </sheetView>
  </sheetViews>
  <sheetFormatPr defaultColWidth="9.375" defaultRowHeight="13.5"/>
  <cols>
    <col min="1" max="1" width="9.375" style="3497"/>
    <col min="2" max="2" width="21.625" style="3497" customWidth="1"/>
    <col min="3" max="3" width="28.625" style="3497" customWidth="1"/>
    <col min="4" max="5" width="17" style="3497" bestFit="1" customWidth="1"/>
    <col min="6" max="6" width="16.375" style="3497" customWidth="1"/>
    <col min="7" max="7" width="12.125" style="3497" customWidth="1"/>
    <col min="8" max="8" width="13.375" style="3497" bestFit="1" customWidth="1"/>
    <col min="9" max="9" width="15.25" style="3497" bestFit="1" customWidth="1"/>
    <col min="10" max="11" width="17" style="3497" bestFit="1" customWidth="1"/>
    <col min="12" max="12" width="13.375" style="3497" bestFit="1" customWidth="1"/>
    <col min="13" max="13" width="21.375" style="3497" bestFit="1" customWidth="1"/>
    <col min="14" max="14" width="19.625" style="3497" bestFit="1" customWidth="1"/>
    <col min="15" max="15" width="37.25" style="3497" bestFit="1" customWidth="1"/>
    <col min="16" max="16" width="13.375" style="3497" bestFit="1" customWidth="1"/>
    <col min="17" max="17" width="37.25" style="3497" bestFit="1" customWidth="1"/>
    <col min="18" max="18" width="11.625" style="3497" bestFit="1" customWidth="1"/>
    <col min="19" max="19" width="15.25" style="3497" bestFit="1" customWidth="1"/>
    <col min="20" max="20" width="29.375" style="3497" bestFit="1" customWidth="1"/>
    <col min="21" max="21" width="9.375" style="3497"/>
    <col min="22" max="22" width="17" style="3497" bestFit="1" customWidth="1"/>
    <col min="23" max="16384" width="9.375" style="3497"/>
  </cols>
  <sheetData>
    <row r="1" spans="1:23">
      <c r="A1" s="3496" t="s">
        <v>3383</v>
      </c>
      <c r="B1" s="3496" t="s">
        <v>4053</v>
      </c>
      <c r="C1" s="3496" t="s">
        <v>4054</v>
      </c>
      <c r="D1" s="3496" t="s">
        <v>4055</v>
      </c>
      <c r="E1" s="3496" t="s">
        <v>4056</v>
      </c>
      <c r="F1" s="3496" t="s">
        <v>3414</v>
      </c>
      <c r="G1" s="3496" t="s">
        <v>672</v>
      </c>
      <c r="H1" s="3496" t="s">
        <v>4057</v>
      </c>
      <c r="I1" s="3496" t="s">
        <v>4058</v>
      </c>
      <c r="J1" s="3496" t="s">
        <v>4059</v>
      </c>
      <c r="K1" s="3496" t="s">
        <v>4060</v>
      </c>
      <c r="L1" s="3496" t="s">
        <v>4061</v>
      </c>
      <c r="M1" s="3496" t="s">
        <v>4062</v>
      </c>
      <c r="N1" s="3496" t="s">
        <v>4063</v>
      </c>
      <c r="O1" s="3496" t="s">
        <v>4064</v>
      </c>
      <c r="P1" s="3496" t="s">
        <v>4065</v>
      </c>
      <c r="Q1" s="3496" t="s">
        <v>4066</v>
      </c>
      <c r="R1" s="3496" t="s">
        <v>4067</v>
      </c>
      <c r="S1" s="3496" t="s">
        <v>4068</v>
      </c>
      <c r="T1" s="3496" t="s">
        <v>4069</v>
      </c>
      <c r="U1" s="3496" t="s">
        <v>3384</v>
      </c>
      <c r="V1" s="3496" t="s">
        <v>4070</v>
      </c>
      <c r="W1" s="3496" t="s">
        <v>4071</v>
      </c>
    </row>
    <row r="2" spans="1:23" ht="60" hidden="1">
      <c r="A2" s="3498">
        <v>0</v>
      </c>
      <c r="B2" s="3498" t="s">
        <v>4072</v>
      </c>
      <c r="C2" s="3498" t="s">
        <v>4073</v>
      </c>
      <c r="D2" s="3498" t="s">
        <v>3432</v>
      </c>
      <c r="E2" s="3498" t="s">
        <v>4074</v>
      </c>
      <c r="F2" s="3498" t="s">
        <v>4075</v>
      </c>
      <c r="G2" s="3498" t="s">
        <v>673</v>
      </c>
      <c r="H2" s="3498"/>
      <c r="I2" s="3498">
        <v>1834.56</v>
      </c>
      <c r="J2" s="3498">
        <v>1834.56</v>
      </c>
      <c r="K2" s="3498"/>
      <c r="L2" s="3498">
        <v>11059.343999999999</v>
      </c>
      <c r="M2" s="3498">
        <v>60283</v>
      </c>
      <c r="N2" s="3498">
        <v>60283</v>
      </c>
      <c r="O2" s="3498" t="s">
        <v>4076</v>
      </c>
      <c r="P2" s="3499">
        <v>44205</v>
      </c>
      <c r="Q2" s="3498" t="s">
        <v>4077</v>
      </c>
      <c r="R2" s="3498" t="s">
        <v>4078</v>
      </c>
      <c r="S2" s="3498">
        <v>12841.92</v>
      </c>
      <c r="T2" s="3498"/>
      <c r="U2" s="3498"/>
      <c r="V2" s="3500">
        <v>0.86</v>
      </c>
      <c r="W2" s="3498" t="s">
        <v>4079</v>
      </c>
    </row>
    <row r="3" spans="1:23" ht="84" hidden="1">
      <c r="A3" s="3501">
        <v>1</v>
      </c>
      <c r="B3" s="3501" t="s">
        <v>4080</v>
      </c>
      <c r="C3" s="3501" t="s">
        <v>4081</v>
      </c>
      <c r="D3" s="3501" t="s">
        <v>3422</v>
      </c>
      <c r="E3" s="3501" t="s">
        <v>4082</v>
      </c>
      <c r="F3" s="3501" t="s">
        <v>4083</v>
      </c>
      <c r="G3" s="3501" t="s">
        <v>673</v>
      </c>
      <c r="H3" s="3501">
        <v>649.30999999999995</v>
      </c>
      <c r="I3" s="3501">
        <v>2626.47</v>
      </c>
      <c r="J3" s="3501">
        <v>2003.6</v>
      </c>
      <c r="K3" s="3501">
        <v>622.87</v>
      </c>
      <c r="L3" s="3501">
        <v>8320</v>
      </c>
      <c r="M3" s="3501">
        <v>31677</v>
      </c>
      <c r="N3" s="3501">
        <v>41525</v>
      </c>
      <c r="O3" s="3501" t="s">
        <v>4084</v>
      </c>
      <c r="P3" s="3502">
        <v>44219</v>
      </c>
      <c r="Q3" s="3501" t="s">
        <v>4085</v>
      </c>
      <c r="R3" s="3501" t="s">
        <v>4086</v>
      </c>
      <c r="S3" s="3501">
        <v>10277.780000000001</v>
      </c>
      <c r="T3" s="3501"/>
      <c r="U3" s="3501"/>
      <c r="V3" s="3503">
        <v>0.81</v>
      </c>
      <c r="W3" s="3501" t="s">
        <v>4079</v>
      </c>
    </row>
    <row r="4" spans="1:23" ht="36">
      <c r="A4" s="3498">
        <v>2</v>
      </c>
      <c r="B4" s="3498" t="s">
        <v>4087</v>
      </c>
      <c r="C4" s="3498" t="s">
        <v>4088</v>
      </c>
      <c r="D4" s="3498" t="s">
        <v>3422</v>
      </c>
      <c r="E4" s="3498" t="s">
        <v>4089</v>
      </c>
      <c r="F4" s="3498" t="s">
        <v>4090</v>
      </c>
      <c r="G4" s="3498" t="s">
        <v>21</v>
      </c>
      <c r="H4" s="3498"/>
      <c r="I4" s="3498">
        <v>18396.150000000001</v>
      </c>
      <c r="J4" s="3498">
        <v>18396.150000000001</v>
      </c>
      <c r="K4" s="3498"/>
      <c r="L4" s="3498">
        <v>112181</v>
      </c>
      <c r="M4" s="3498">
        <v>60981</v>
      </c>
      <c r="N4" s="3498">
        <v>60981</v>
      </c>
      <c r="O4" s="3498" t="s">
        <v>4091</v>
      </c>
      <c r="P4" s="3499">
        <v>44187</v>
      </c>
      <c r="Q4" s="3498" t="s">
        <v>4092</v>
      </c>
      <c r="R4" s="3498" t="s">
        <v>4093</v>
      </c>
      <c r="S4" s="3498"/>
      <c r="T4" s="3498"/>
      <c r="U4" s="3498"/>
      <c r="V4" s="3500"/>
      <c r="W4" s="3498"/>
    </row>
    <row r="5" spans="1:23" ht="36" hidden="1">
      <c r="A5" s="3501">
        <v>3</v>
      </c>
      <c r="B5" s="3501" t="s">
        <v>4094</v>
      </c>
      <c r="C5" s="3501" t="s">
        <v>4088</v>
      </c>
      <c r="D5" s="3501" t="s">
        <v>3422</v>
      </c>
      <c r="E5" s="3501" t="s">
        <v>4089</v>
      </c>
      <c r="F5" s="3501" t="s">
        <v>4090</v>
      </c>
      <c r="G5" s="3501" t="s">
        <v>673</v>
      </c>
      <c r="H5" s="3501"/>
      <c r="I5" s="3501">
        <v>33261.14</v>
      </c>
      <c r="J5" s="3501"/>
      <c r="K5" s="3501"/>
      <c r="L5" s="3501">
        <v>85874</v>
      </c>
      <c r="M5" s="3501">
        <v>25818</v>
      </c>
      <c r="N5" s="3501" t="e">
        <v>#DIV/0!</v>
      </c>
      <c r="O5" s="3501" t="s">
        <v>4095</v>
      </c>
      <c r="P5" s="3502">
        <v>44188</v>
      </c>
      <c r="Q5" s="3501" t="s">
        <v>4096</v>
      </c>
      <c r="R5" s="3501" t="s">
        <v>4097</v>
      </c>
      <c r="S5" s="3501"/>
      <c r="T5" s="3501"/>
      <c r="U5" s="3501"/>
      <c r="V5" s="3503"/>
      <c r="W5" s="3501"/>
    </row>
    <row r="6" spans="1:23" ht="24" hidden="1">
      <c r="A6" s="3498">
        <v>4</v>
      </c>
      <c r="B6" s="3498" t="s">
        <v>4098</v>
      </c>
      <c r="C6" s="3498" t="s">
        <v>4099</v>
      </c>
      <c r="D6" s="3498" t="s">
        <v>3427</v>
      </c>
      <c r="E6" s="3498" t="s">
        <v>4100</v>
      </c>
      <c r="F6" s="3498" t="s">
        <v>4101</v>
      </c>
      <c r="G6" s="3498" t="s">
        <v>4102</v>
      </c>
      <c r="H6" s="3498">
        <v>2041.16</v>
      </c>
      <c r="I6" s="3498">
        <v>5860.92</v>
      </c>
      <c r="J6" s="3498"/>
      <c r="K6" s="3498"/>
      <c r="L6" s="3498">
        <v>9587.8790000000008</v>
      </c>
      <c r="M6" s="3498">
        <v>16359</v>
      </c>
      <c r="N6" s="3498" t="e">
        <v>#DIV/0!</v>
      </c>
      <c r="O6" s="3498" t="s">
        <v>4103</v>
      </c>
      <c r="P6" s="3499">
        <v>44151</v>
      </c>
      <c r="Q6" s="3498" t="s">
        <v>4104</v>
      </c>
      <c r="R6" s="3498" t="s">
        <v>4105</v>
      </c>
      <c r="S6" s="3498">
        <v>13696.97</v>
      </c>
      <c r="T6" s="3498">
        <v>23370</v>
      </c>
      <c r="U6" s="3498"/>
      <c r="V6" s="3500">
        <v>0.7</v>
      </c>
      <c r="W6" s="3498" t="s">
        <v>4079</v>
      </c>
    </row>
    <row r="7" spans="1:23" ht="24" hidden="1">
      <c r="A7" s="3501">
        <v>5</v>
      </c>
      <c r="B7" s="3501" t="s">
        <v>4106</v>
      </c>
      <c r="C7" s="3501" t="s">
        <v>4107</v>
      </c>
      <c r="D7" s="3501" t="s">
        <v>3437</v>
      </c>
      <c r="E7" s="3501" t="s">
        <v>4108</v>
      </c>
      <c r="F7" s="3501" t="s">
        <v>4109</v>
      </c>
      <c r="G7" s="3501" t="s">
        <v>673</v>
      </c>
      <c r="H7" s="3501"/>
      <c r="I7" s="3501">
        <v>492.7</v>
      </c>
      <c r="J7" s="3501"/>
      <c r="K7" s="3501"/>
      <c r="L7" s="3501">
        <v>3060</v>
      </c>
      <c r="M7" s="3501">
        <v>62107</v>
      </c>
      <c r="N7" s="3501" t="e">
        <v>#DIV/0!</v>
      </c>
      <c r="O7" s="3501" t="s">
        <v>4110</v>
      </c>
      <c r="P7" s="3502">
        <v>44257</v>
      </c>
      <c r="Q7" s="3501" t="s">
        <v>4111</v>
      </c>
      <c r="R7" s="3501"/>
      <c r="S7" s="3501">
        <v>4285.7142000000003</v>
      </c>
      <c r="T7" s="3501">
        <v>86984</v>
      </c>
      <c r="U7" s="3501"/>
      <c r="V7" s="3503">
        <v>0.71</v>
      </c>
      <c r="W7" s="3501" t="s">
        <v>4079</v>
      </c>
    </row>
    <row r="8" spans="1:23" ht="48" hidden="1">
      <c r="A8" s="3498">
        <v>6</v>
      </c>
      <c r="B8" s="3498" t="s">
        <v>4112</v>
      </c>
      <c r="C8" s="3498" t="s">
        <v>4113</v>
      </c>
      <c r="D8" s="3498" t="s">
        <v>3437</v>
      </c>
      <c r="E8" s="3498" t="s">
        <v>4108</v>
      </c>
      <c r="F8" s="3498" t="s">
        <v>4114</v>
      </c>
      <c r="G8" s="3498" t="s">
        <v>673</v>
      </c>
      <c r="H8" s="3498"/>
      <c r="I8" s="3498">
        <v>1864.93</v>
      </c>
      <c r="J8" s="3498">
        <v>1864.93</v>
      </c>
      <c r="K8" s="3498"/>
      <c r="L8" s="3498">
        <v>15480</v>
      </c>
      <c r="M8" s="3498">
        <v>83001</v>
      </c>
      <c r="N8" s="3498">
        <v>83001</v>
      </c>
      <c r="O8" s="3498" t="s">
        <v>4115</v>
      </c>
      <c r="P8" s="3499">
        <v>44228</v>
      </c>
      <c r="Q8" s="3498" t="s">
        <v>4116</v>
      </c>
      <c r="R8" s="3498" t="s">
        <v>4117</v>
      </c>
      <c r="S8" s="3498"/>
      <c r="T8" s="3498"/>
      <c r="U8" s="3498"/>
      <c r="V8" s="3500"/>
      <c r="W8" s="3498"/>
    </row>
    <row r="9" spans="1:23" ht="48" hidden="1">
      <c r="A9" s="3501">
        <v>7</v>
      </c>
      <c r="B9" s="3501" t="s">
        <v>4112</v>
      </c>
      <c r="C9" s="3501" t="s">
        <v>4113</v>
      </c>
      <c r="D9" s="3501" t="s">
        <v>3437</v>
      </c>
      <c r="E9" s="3501" t="s">
        <v>4108</v>
      </c>
      <c r="F9" s="3501" t="s">
        <v>4114</v>
      </c>
      <c r="G9" s="3501" t="s">
        <v>673</v>
      </c>
      <c r="H9" s="3501"/>
      <c r="I9" s="3501">
        <v>5531.7</v>
      </c>
      <c r="J9" s="3501">
        <v>5531.7</v>
      </c>
      <c r="K9" s="3501"/>
      <c r="L9" s="3501">
        <v>44251</v>
      </c>
      <c r="M9" s="3501">
        <v>80000</v>
      </c>
      <c r="N9" s="3501">
        <v>80000</v>
      </c>
      <c r="O9" s="3501" t="s">
        <v>4115</v>
      </c>
      <c r="P9" s="3502">
        <v>44230</v>
      </c>
      <c r="Q9" s="3501" t="s">
        <v>4116</v>
      </c>
      <c r="R9" s="3501" t="s">
        <v>4117</v>
      </c>
      <c r="S9" s="3501"/>
      <c r="T9" s="3501"/>
      <c r="U9" s="3501"/>
      <c r="V9" s="3503"/>
      <c r="W9" s="3501"/>
    </row>
    <row r="10" spans="1:23" ht="24" hidden="1">
      <c r="A10" s="3498">
        <v>8</v>
      </c>
      <c r="B10" s="3498" t="s">
        <v>4118</v>
      </c>
      <c r="C10" s="3498" t="s">
        <v>4119</v>
      </c>
      <c r="D10" s="3498" t="s">
        <v>3432</v>
      </c>
      <c r="E10" s="3498" t="s">
        <v>4120</v>
      </c>
      <c r="F10" s="3498" t="s">
        <v>4121</v>
      </c>
      <c r="G10" s="3498" t="s">
        <v>4122</v>
      </c>
      <c r="H10" s="3498"/>
      <c r="I10" s="3498">
        <v>25834.13</v>
      </c>
      <c r="J10" s="3498">
        <v>25834.13</v>
      </c>
      <c r="K10" s="3498"/>
      <c r="L10" s="3498">
        <v>78491</v>
      </c>
      <c r="M10" s="3498">
        <v>30383</v>
      </c>
      <c r="N10" s="3498">
        <v>30383</v>
      </c>
      <c r="O10" s="3498" t="s">
        <v>4123</v>
      </c>
      <c r="P10" s="3499">
        <v>44257</v>
      </c>
      <c r="Q10" s="3498" t="s">
        <v>4124</v>
      </c>
      <c r="R10" s="3498" t="s">
        <v>4097</v>
      </c>
      <c r="S10" s="3498"/>
      <c r="T10" s="3498"/>
      <c r="U10" s="3498"/>
      <c r="V10" s="3500"/>
      <c r="W10" s="3498"/>
    </row>
    <row r="11" spans="1:23" hidden="1">
      <c r="A11" s="3501">
        <v>9</v>
      </c>
      <c r="B11" s="3501" t="s">
        <v>4125</v>
      </c>
      <c r="C11" s="3501" t="s">
        <v>4119</v>
      </c>
      <c r="D11" s="3501" t="s">
        <v>3432</v>
      </c>
      <c r="E11" s="3501" t="s">
        <v>4120</v>
      </c>
      <c r="F11" s="3501" t="s">
        <v>4121</v>
      </c>
      <c r="G11" s="3501" t="s">
        <v>4122</v>
      </c>
      <c r="H11" s="3501"/>
      <c r="I11" s="3501">
        <v>12857.96</v>
      </c>
      <c r="J11" s="3501">
        <v>12857.96</v>
      </c>
      <c r="K11" s="3501"/>
      <c r="L11" s="3501">
        <v>39210</v>
      </c>
      <c r="M11" s="3501">
        <v>30495</v>
      </c>
      <c r="N11" s="3501">
        <v>30495</v>
      </c>
      <c r="O11" s="3501" t="s">
        <v>4123</v>
      </c>
      <c r="P11" s="3502">
        <v>44257</v>
      </c>
      <c r="Q11" s="3501" t="s">
        <v>4124</v>
      </c>
      <c r="R11" s="3501" t="s">
        <v>4097</v>
      </c>
      <c r="S11" s="3501"/>
      <c r="T11" s="3501"/>
      <c r="U11" s="3501"/>
      <c r="V11" s="3503"/>
      <c r="W11" s="3501"/>
    </row>
    <row r="12" spans="1:23" hidden="1">
      <c r="A12" s="3498">
        <v>10</v>
      </c>
      <c r="B12" s="3498" t="s">
        <v>4126</v>
      </c>
      <c r="C12" s="3498" t="s">
        <v>4119</v>
      </c>
      <c r="D12" s="3498" t="s">
        <v>3432</v>
      </c>
      <c r="E12" s="3498" t="s">
        <v>4120</v>
      </c>
      <c r="F12" s="3498" t="s">
        <v>4121</v>
      </c>
      <c r="G12" s="3498" t="s">
        <v>4122</v>
      </c>
      <c r="H12" s="3498"/>
      <c r="I12" s="3498">
        <v>12955.85</v>
      </c>
      <c r="J12" s="3498">
        <v>12955.85</v>
      </c>
      <c r="K12" s="3498"/>
      <c r="L12" s="3498">
        <v>38868</v>
      </c>
      <c r="M12" s="3498">
        <v>30000</v>
      </c>
      <c r="N12" s="3498">
        <v>30000</v>
      </c>
      <c r="O12" s="3498" t="s">
        <v>4123</v>
      </c>
      <c r="P12" s="3499">
        <v>44161</v>
      </c>
      <c r="Q12" s="3498" t="s">
        <v>4124</v>
      </c>
      <c r="R12" s="3498" t="s">
        <v>4097</v>
      </c>
      <c r="S12" s="3498"/>
      <c r="T12" s="3498"/>
      <c r="U12" s="3498"/>
      <c r="V12" s="3500"/>
      <c r="W12" s="3498"/>
    </row>
    <row r="13" spans="1:23" hidden="1">
      <c r="A13" s="3501">
        <v>11</v>
      </c>
      <c r="B13" s="3501" t="s">
        <v>4127</v>
      </c>
      <c r="C13" s="3501" t="s">
        <v>4119</v>
      </c>
      <c r="D13" s="3501" t="s">
        <v>3432</v>
      </c>
      <c r="E13" s="3501" t="s">
        <v>4120</v>
      </c>
      <c r="F13" s="3501" t="s">
        <v>4121</v>
      </c>
      <c r="G13" s="3501" t="s">
        <v>4122</v>
      </c>
      <c r="H13" s="3501"/>
      <c r="I13" s="3501">
        <v>16782.07</v>
      </c>
      <c r="J13" s="3501">
        <v>16782.07</v>
      </c>
      <c r="K13" s="3501"/>
      <c r="L13" s="3501">
        <v>38599</v>
      </c>
      <c r="M13" s="3501">
        <v>23000</v>
      </c>
      <c r="N13" s="3501">
        <v>23000</v>
      </c>
      <c r="O13" s="3501" t="s">
        <v>4123</v>
      </c>
      <c r="P13" s="3502">
        <v>44257</v>
      </c>
      <c r="Q13" s="3501" t="s">
        <v>4124</v>
      </c>
      <c r="R13" s="3501" t="s">
        <v>4128</v>
      </c>
      <c r="S13" s="3501"/>
      <c r="T13" s="3501"/>
      <c r="U13" s="3501"/>
      <c r="V13" s="3503"/>
      <c r="W13" s="3501"/>
    </row>
    <row r="14" spans="1:23" hidden="1">
      <c r="A14" s="3498">
        <v>12</v>
      </c>
      <c r="B14" s="3498" t="s">
        <v>4129</v>
      </c>
      <c r="C14" s="3498" t="s">
        <v>4119</v>
      </c>
      <c r="D14" s="3498" t="s">
        <v>3432</v>
      </c>
      <c r="E14" s="3498" t="s">
        <v>4120</v>
      </c>
      <c r="F14" s="3498" t="s">
        <v>4121</v>
      </c>
      <c r="G14" s="3498" t="s">
        <v>4122</v>
      </c>
      <c r="H14" s="3498"/>
      <c r="I14" s="3498">
        <v>16796.16</v>
      </c>
      <c r="J14" s="3498">
        <v>16796.16</v>
      </c>
      <c r="K14" s="3498"/>
      <c r="L14" s="3498">
        <v>39026</v>
      </c>
      <c r="M14" s="3498">
        <v>23235</v>
      </c>
      <c r="N14" s="3498">
        <v>23235</v>
      </c>
      <c r="O14" s="3498" t="s">
        <v>4130</v>
      </c>
      <c r="P14" s="3499">
        <v>44257</v>
      </c>
      <c r="Q14" s="3498" t="s">
        <v>4131</v>
      </c>
      <c r="R14" s="3498" t="s">
        <v>4132</v>
      </c>
      <c r="S14" s="3498"/>
      <c r="T14" s="3498"/>
      <c r="U14" s="3498"/>
      <c r="V14" s="3500"/>
      <c r="W14" s="3498"/>
    </row>
    <row r="15" spans="1:23" hidden="1">
      <c r="A15" s="3501">
        <v>13</v>
      </c>
      <c r="B15" s="3501" t="s">
        <v>4133</v>
      </c>
      <c r="C15" s="3501" t="s">
        <v>4119</v>
      </c>
      <c r="D15" s="3501" t="s">
        <v>3432</v>
      </c>
      <c r="E15" s="3501" t="s">
        <v>4120</v>
      </c>
      <c r="F15" s="3501" t="s">
        <v>4121</v>
      </c>
      <c r="G15" s="3501" t="s">
        <v>4122</v>
      </c>
      <c r="H15" s="3501"/>
      <c r="I15" s="3501">
        <v>28095.98</v>
      </c>
      <c r="J15" s="3501">
        <v>21852.43</v>
      </c>
      <c r="K15" s="3501">
        <v>6243.55</v>
      </c>
      <c r="L15" s="3501">
        <v>64621</v>
      </c>
      <c r="M15" s="3501">
        <v>23000</v>
      </c>
      <c r="N15" s="3501">
        <v>29572</v>
      </c>
      <c r="O15" s="3501" t="s">
        <v>4123</v>
      </c>
      <c r="P15" s="3502">
        <v>44257</v>
      </c>
      <c r="Q15" s="3501" t="s">
        <v>4134</v>
      </c>
      <c r="R15" s="3501" t="s">
        <v>4132</v>
      </c>
      <c r="S15" s="3501"/>
      <c r="T15" s="3501"/>
      <c r="U15" s="3501"/>
      <c r="V15" s="3503"/>
      <c r="W15" s="3501"/>
    </row>
    <row r="16" spans="1:23" hidden="1">
      <c r="A16" s="3498">
        <v>14</v>
      </c>
      <c r="B16" s="3498" t="s">
        <v>4135</v>
      </c>
      <c r="C16" s="3498" t="s">
        <v>4119</v>
      </c>
      <c r="D16" s="3498" t="s">
        <v>3432</v>
      </c>
      <c r="E16" s="3498" t="s">
        <v>4120</v>
      </c>
      <c r="F16" s="3498" t="s">
        <v>4121</v>
      </c>
      <c r="G16" s="3498" t="s">
        <v>4122</v>
      </c>
      <c r="H16" s="3498"/>
      <c r="I16" s="3498">
        <v>14656.14</v>
      </c>
      <c r="J16" s="3498">
        <v>12824.12</v>
      </c>
      <c r="K16" s="3498">
        <v>1832.02</v>
      </c>
      <c r="L16" s="3498">
        <v>38236</v>
      </c>
      <c r="M16" s="3498">
        <v>26089</v>
      </c>
      <c r="N16" s="3498">
        <v>29816</v>
      </c>
      <c r="O16" s="3498" t="s">
        <v>4123</v>
      </c>
      <c r="P16" s="3499">
        <v>44161</v>
      </c>
      <c r="Q16" s="3498" t="s">
        <v>4136</v>
      </c>
      <c r="R16" s="3498" t="s">
        <v>4132</v>
      </c>
      <c r="S16" s="3498"/>
      <c r="T16" s="3498"/>
      <c r="U16" s="3498"/>
      <c r="V16" s="3500"/>
      <c r="W16" s="3498"/>
    </row>
    <row r="17" spans="1:23" hidden="1">
      <c r="A17" s="3501">
        <v>15</v>
      </c>
      <c r="B17" s="3501" t="s">
        <v>4137</v>
      </c>
      <c r="C17" s="3501" t="s">
        <v>4138</v>
      </c>
      <c r="D17" s="3501" t="s">
        <v>3432</v>
      </c>
      <c r="E17" s="3501" t="s">
        <v>4120</v>
      </c>
      <c r="F17" s="3501" t="s">
        <v>4121</v>
      </c>
      <c r="G17" s="3501" t="s">
        <v>4139</v>
      </c>
      <c r="H17" s="3501"/>
      <c r="I17" s="3501">
        <v>66987.539999999994</v>
      </c>
      <c r="J17" s="3501">
        <v>66987.539999999994</v>
      </c>
      <c r="K17" s="3501"/>
      <c r="L17" s="3501">
        <v>267950</v>
      </c>
      <c r="M17" s="3501">
        <v>40000</v>
      </c>
      <c r="N17" s="3501">
        <v>40000</v>
      </c>
      <c r="O17" s="3501" t="s">
        <v>43</v>
      </c>
      <c r="P17" s="3502">
        <v>44161</v>
      </c>
      <c r="Q17" s="3501" t="s">
        <v>4140</v>
      </c>
      <c r="R17" s="3501" t="s">
        <v>4117</v>
      </c>
      <c r="S17" s="3501"/>
      <c r="T17" s="3501"/>
      <c r="U17" s="3501"/>
      <c r="V17" s="3503"/>
      <c r="W17" s="3501"/>
    </row>
    <row r="18" spans="1:23" ht="36" hidden="1">
      <c r="A18" s="3498">
        <v>16</v>
      </c>
      <c r="B18" s="3498" t="s">
        <v>4141</v>
      </c>
      <c r="C18" s="3498" t="s">
        <v>4142</v>
      </c>
      <c r="D18" s="3498" t="s">
        <v>3427</v>
      </c>
      <c r="E18" s="3498" t="s">
        <v>4143</v>
      </c>
      <c r="F18" s="3498" t="s">
        <v>4144</v>
      </c>
      <c r="G18" s="3498" t="s">
        <v>4145</v>
      </c>
      <c r="H18" s="3498"/>
      <c r="I18" s="3498">
        <v>14263.2</v>
      </c>
      <c r="J18" s="3498">
        <v>12079.89</v>
      </c>
      <c r="K18" s="3498">
        <v>2183.31</v>
      </c>
      <c r="L18" s="3498">
        <v>99736</v>
      </c>
      <c r="M18" s="3498">
        <v>69925</v>
      </c>
      <c r="N18" s="3498">
        <v>82564</v>
      </c>
      <c r="O18" s="3498" t="s">
        <v>4146</v>
      </c>
      <c r="P18" s="3499">
        <v>44224</v>
      </c>
      <c r="Q18" s="3498" t="s">
        <v>4147</v>
      </c>
      <c r="R18" s="3498" t="s">
        <v>4117</v>
      </c>
      <c r="S18" s="3498"/>
      <c r="T18" s="3498"/>
      <c r="U18" s="3498"/>
      <c r="V18" s="3500"/>
      <c r="W18" s="3498"/>
    </row>
    <row r="19" spans="1:23" ht="24" hidden="1">
      <c r="A19" s="3501">
        <v>17</v>
      </c>
      <c r="B19" s="3501" t="s">
        <v>4148</v>
      </c>
      <c r="C19" s="3501" t="s">
        <v>4119</v>
      </c>
      <c r="D19" s="3501" t="s">
        <v>3432</v>
      </c>
      <c r="E19" s="3501" t="s">
        <v>4120</v>
      </c>
      <c r="F19" s="3501" t="s">
        <v>4121</v>
      </c>
      <c r="G19" s="3501" t="s">
        <v>4122</v>
      </c>
      <c r="H19" s="3501"/>
      <c r="I19" s="3501">
        <v>30280.83</v>
      </c>
      <c r="J19" s="3501">
        <v>30280.83</v>
      </c>
      <c r="K19" s="3501"/>
      <c r="L19" s="3501">
        <v>91206</v>
      </c>
      <c r="M19" s="3501">
        <v>30120</v>
      </c>
      <c r="N19" s="3501">
        <v>30120</v>
      </c>
      <c r="O19" s="3501" t="s">
        <v>4123</v>
      </c>
      <c r="P19" s="3502">
        <v>44267</v>
      </c>
      <c r="Q19" s="3501" t="s">
        <v>4124</v>
      </c>
      <c r="R19" s="3501" t="s">
        <v>4097</v>
      </c>
      <c r="S19" s="3501"/>
      <c r="T19" s="3501"/>
      <c r="U19" s="3501"/>
      <c r="V19" s="3503"/>
      <c r="W19" s="3501"/>
    </row>
    <row r="20" spans="1:23" hidden="1">
      <c r="A20" s="3498">
        <v>18</v>
      </c>
      <c r="B20" s="3498" t="s">
        <v>4149</v>
      </c>
      <c r="C20" s="3498" t="s">
        <v>4119</v>
      </c>
      <c r="D20" s="3498" t="s">
        <v>3432</v>
      </c>
      <c r="E20" s="3498" t="s">
        <v>4120</v>
      </c>
      <c r="F20" s="3498" t="s">
        <v>4121</v>
      </c>
      <c r="G20" s="3498" t="s">
        <v>4122</v>
      </c>
      <c r="H20" s="3498"/>
      <c r="I20" s="3498">
        <v>28371.47</v>
      </c>
      <c r="J20" s="3498">
        <v>22066.7</v>
      </c>
      <c r="K20" s="3498">
        <v>6304.77</v>
      </c>
      <c r="L20" s="3498">
        <v>65061</v>
      </c>
      <c r="M20" s="3498">
        <v>22932</v>
      </c>
      <c r="N20" s="3498">
        <v>29484</v>
      </c>
      <c r="O20" s="3498" t="s">
        <v>4123</v>
      </c>
      <c r="P20" s="3499">
        <v>44267</v>
      </c>
      <c r="Q20" s="3498" t="s">
        <v>4134</v>
      </c>
      <c r="R20" s="3498" t="s">
        <v>4132</v>
      </c>
      <c r="S20" s="3498"/>
      <c r="T20" s="3498"/>
      <c r="U20" s="3498"/>
      <c r="V20" s="3500"/>
      <c r="W20" s="3498"/>
    </row>
    <row r="21" spans="1:23" ht="24" hidden="1">
      <c r="A21" s="3501">
        <v>19</v>
      </c>
      <c r="B21" s="3501" t="s">
        <v>4150</v>
      </c>
      <c r="C21" s="3501" t="s">
        <v>4151</v>
      </c>
      <c r="D21" s="3501" t="s">
        <v>3437</v>
      </c>
      <c r="E21" s="3501" t="s">
        <v>4108</v>
      </c>
      <c r="F21" s="3501" t="s">
        <v>4152</v>
      </c>
      <c r="G21" s="3501" t="s">
        <v>21</v>
      </c>
      <c r="H21" s="3501"/>
      <c r="I21" s="3501">
        <v>3532.33</v>
      </c>
      <c r="J21" s="3501"/>
      <c r="K21" s="3501"/>
      <c r="L21" s="3501">
        <v>18368</v>
      </c>
      <c r="M21" s="3501">
        <v>52000</v>
      </c>
      <c r="N21" s="3501"/>
      <c r="O21" s="3501" t="s">
        <v>43</v>
      </c>
      <c r="P21" s="3502">
        <v>44273</v>
      </c>
      <c r="Q21" s="3501" t="s">
        <v>4153</v>
      </c>
      <c r="R21" s="3501"/>
      <c r="S21" s="3501"/>
      <c r="T21" s="3501"/>
      <c r="U21" s="3501"/>
      <c r="V21" s="3503"/>
      <c r="W21" s="3501"/>
    </row>
    <row r="22" spans="1:23" ht="24" hidden="1">
      <c r="A22" s="3498">
        <v>20</v>
      </c>
      <c r="B22" s="3498" t="s">
        <v>4154</v>
      </c>
      <c r="C22" s="3498" t="s">
        <v>4151</v>
      </c>
      <c r="D22" s="3498" t="s">
        <v>3437</v>
      </c>
      <c r="E22" s="3498" t="s">
        <v>4108</v>
      </c>
      <c r="F22" s="3498" t="s">
        <v>4155</v>
      </c>
      <c r="G22" s="3498" t="s">
        <v>21</v>
      </c>
      <c r="H22" s="3498"/>
      <c r="I22" s="3498">
        <v>2913.97</v>
      </c>
      <c r="J22" s="3498"/>
      <c r="K22" s="3498"/>
      <c r="L22" s="3498">
        <v>21000</v>
      </c>
      <c r="M22" s="3498">
        <v>72067</v>
      </c>
      <c r="N22" s="3498"/>
      <c r="O22" s="3498" t="s">
        <v>43</v>
      </c>
      <c r="P22" s="3499">
        <v>44040</v>
      </c>
      <c r="Q22" s="3498" t="s">
        <v>4156</v>
      </c>
      <c r="R22" s="3498" t="s">
        <v>4097</v>
      </c>
      <c r="S22" s="3498"/>
      <c r="T22" s="3498"/>
      <c r="U22" s="3498"/>
      <c r="V22" s="3500"/>
      <c r="W22" s="3498"/>
    </row>
    <row r="23" spans="1:23" ht="60" hidden="1">
      <c r="A23" s="3501">
        <v>21</v>
      </c>
      <c r="B23" s="3501" t="s">
        <v>4157</v>
      </c>
      <c r="C23" s="3501" t="s">
        <v>4158</v>
      </c>
      <c r="D23" s="3501" t="s">
        <v>3432</v>
      </c>
      <c r="E23" s="3501" t="s">
        <v>4159</v>
      </c>
      <c r="F23" s="3501" t="s">
        <v>4083</v>
      </c>
      <c r="G23" s="3501" t="s">
        <v>4160</v>
      </c>
      <c r="H23" s="3501"/>
      <c r="I23" s="3501">
        <v>9550.73</v>
      </c>
      <c r="J23" s="3501">
        <v>9550.73</v>
      </c>
      <c r="K23" s="3501"/>
      <c r="L23" s="3501">
        <v>27620</v>
      </c>
      <c r="M23" s="3501">
        <v>28919</v>
      </c>
      <c r="N23" s="3501"/>
      <c r="O23" s="3501" t="s">
        <v>4161</v>
      </c>
      <c r="P23" s="3502">
        <v>44282</v>
      </c>
      <c r="Q23" s="3501" t="s">
        <v>4162</v>
      </c>
      <c r="R23" s="3501" t="s">
        <v>4163</v>
      </c>
      <c r="S23" s="3501"/>
      <c r="T23" s="3501"/>
      <c r="U23" s="3501" t="s">
        <v>4079</v>
      </c>
      <c r="V23" s="3503"/>
      <c r="W23" s="3501"/>
    </row>
    <row r="24" spans="1:23" s="3507" customFormat="1" ht="24">
      <c r="A24" s="3504">
        <v>22</v>
      </c>
      <c r="B24" s="3504" t="s">
        <v>4164</v>
      </c>
      <c r="C24" s="3504" t="s">
        <v>4165</v>
      </c>
      <c r="D24" s="3504" t="s">
        <v>3427</v>
      </c>
      <c r="E24" s="3504" t="s">
        <v>4100</v>
      </c>
      <c r="F24" s="3504" t="s">
        <v>4166</v>
      </c>
      <c r="G24" s="3504" t="s">
        <v>21</v>
      </c>
      <c r="H24" s="3504"/>
      <c r="I24" s="3504">
        <v>4849.38</v>
      </c>
      <c r="J24" s="3504">
        <v>4849.38</v>
      </c>
      <c r="K24" s="3504"/>
      <c r="L24" s="3504">
        <v>24068</v>
      </c>
      <c r="M24" s="3504">
        <v>49631</v>
      </c>
      <c r="N24" s="3504">
        <v>49631</v>
      </c>
      <c r="O24" s="3504" t="s">
        <v>4167</v>
      </c>
      <c r="P24" s="3505">
        <v>44277</v>
      </c>
      <c r="Q24" s="3504" t="s">
        <v>4168</v>
      </c>
      <c r="R24" s="3504"/>
      <c r="S24" s="3504"/>
      <c r="T24" s="3504"/>
      <c r="U24" s="3504"/>
      <c r="V24" s="3506"/>
      <c r="W24" s="3504"/>
    </row>
    <row r="25" spans="1:23" ht="24" hidden="1">
      <c r="A25" s="3501">
        <v>23</v>
      </c>
      <c r="B25" s="3501" t="s">
        <v>4169</v>
      </c>
      <c r="C25" s="3501" t="s">
        <v>4170</v>
      </c>
      <c r="D25" s="3501" t="s">
        <v>3432</v>
      </c>
      <c r="E25" s="3501" t="s">
        <v>4171</v>
      </c>
      <c r="F25" s="3501" t="s">
        <v>4172</v>
      </c>
      <c r="G25" s="3501" t="s">
        <v>4173</v>
      </c>
      <c r="H25" s="3501"/>
      <c r="I25" s="3501">
        <v>10326.35</v>
      </c>
      <c r="J25" s="3501">
        <v>8873.76</v>
      </c>
      <c r="K25" s="3501">
        <v>1452.59</v>
      </c>
      <c r="L25" s="3501">
        <v>26015.737499999999</v>
      </c>
      <c r="M25" s="3501">
        <v>25194</v>
      </c>
      <c r="N25" s="3501">
        <v>29318</v>
      </c>
      <c r="O25" s="3501" t="s">
        <v>4174</v>
      </c>
      <c r="P25" s="3502">
        <v>44309</v>
      </c>
      <c r="Q25" s="3501" t="s">
        <v>4175</v>
      </c>
      <c r="R25" s="3501" t="s">
        <v>4086</v>
      </c>
      <c r="S25" s="3501">
        <v>32956.674099999997</v>
      </c>
      <c r="T25" s="3501">
        <v>31915</v>
      </c>
      <c r="U25" s="3501"/>
      <c r="V25" s="3503">
        <v>0.79</v>
      </c>
      <c r="W25" s="3501" t="s">
        <v>4079</v>
      </c>
    </row>
    <row r="26" spans="1:23" ht="132" hidden="1">
      <c r="A26" s="3498">
        <v>24</v>
      </c>
      <c r="B26" s="3498" t="s">
        <v>4176</v>
      </c>
      <c r="C26" s="3498" t="s">
        <v>4177</v>
      </c>
      <c r="D26" s="3498" t="s">
        <v>3432</v>
      </c>
      <c r="E26" s="3498" t="s">
        <v>4178</v>
      </c>
      <c r="F26" s="3498" t="s">
        <v>4179</v>
      </c>
      <c r="G26" s="3498" t="s">
        <v>4180</v>
      </c>
      <c r="H26" s="3498">
        <v>4154.62</v>
      </c>
      <c r="I26" s="3498">
        <v>2784.8</v>
      </c>
      <c r="J26" s="3498">
        <v>2784.8</v>
      </c>
      <c r="K26" s="3498"/>
      <c r="L26" s="3498">
        <v>10175</v>
      </c>
      <c r="M26" s="3498">
        <v>36538</v>
      </c>
      <c r="N26" s="3498"/>
      <c r="O26" s="3498" t="s">
        <v>4181</v>
      </c>
      <c r="P26" s="3499">
        <v>44302</v>
      </c>
      <c r="Q26" s="3498" t="s">
        <v>4182</v>
      </c>
      <c r="R26" s="3498" t="s">
        <v>4183</v>
      </c>
      <c r="S26" s="3498">
        <v>8664</v>
      </c>
      <c r="T26" s="3498">
        <v>31110</v>
      </c>
      <c r="U26" s="3498"/>
      <c r="V26" s="3500">
        <v>1.17</v>
      </c>
      <c r="W26" s="3498" t="s">
        <v>4079</v>
      </c>
    </row>
    <row r="27" spans="1:23" ht="24">
      <c r="A27" s="3501">
        <v>25</v>
      </c>
      <c r="B27" s="3501" t="s">
        <v>4184</v>
      </c>
      <c r="C27" s="3501" t="s">
        <v>4185</v>
      </c>
      <c r="D27" s="3501" t="s">
        <v>3427</v>
      </c>
      <c r="E27" s="3501" t="s">
        <v>4186</v>
      </c>
      <c r="F27" s="3501" t="s">
        <v>4187</v>
      </c>
      <c r="G27" s="3501" t="s">
        <v>4173</v>
      </c>
      <c r="H27" s="3501">
        <v>4831.42</v>
      </c>
      <c r="I27" s="3501">
        <v>46330.33</v>
      </c>
      <c r="J27" s="3501">
        <v>35489.51</v>
      </c>
      <c r="K27" s="3501">
        <v>10840.82</v>
      </c>
      <c r="L27" s="3501">
        <v>265000</v>
      </c>
      <c r="M27" s="3501">
        <v>57198</v>
      </c>
      <c r="N27" s="3501">
        <v>74670</v>
      </c>
      <c r="O27" s="3501" t="s">
        <v>4188</v>
      </c>
      <c r="P27" s="3502" t="s">
        <v>4189</v>
      </c>
      <c r="Q27" s="3501" t="s">
        <v>4190</v>
      </c>
      <c r="R27" s="3501" t="s">
        <v>4191</v>
      </c>
      <c r="S27" s="3501"/>
      <c r="T27" s="3501"/>
      <c r="U27" s="3501"/>
      <c r="V27" s="3503"/>
      <c r="W27" s="3501"/>
    </row>
    <row r="28" spans="1:23" ht="24" hidden="1">
      <c r="A28" s="3498">
        <v>26</v>
      </c>
      <c r="B28" s="3498" t="s">
        <v>4192</v>
      </c>
      <c r="C28" s="3498" t="s">
        <v>4193</v>
      </c>
      <c r="D28" s="3498" t="s">
        <v>3432</v>
      </c>
      <c r="E28" s="3498" t="s">
        <v>4194</v>
      </c>
      <c r="F28" s="3498" t="s">
        <v>4195</v>
      </c>
      <c r="G28" s="3498" t="s">
        <v>4196</v>
      </c>
      <c r="H28" s="3498"/>
      <c r="I28" s="3498">
        <v>40201.339999999997</v>
      </c>
      <c r="J28" s="3498">
        <v>37923.279999999999</v>
      </c>
      <c r="K28" s="3498">
        <v>2278.06</v>
      </c>
      <c r="L28" s="3498">
        <v>204800</v>
      </c>
      <c r="M28" s="3498">
        <v>50944</v>
      </c>
      <c r="N28" s="3498">
        <v>54004</v>
      </c>
      <c r="O28" s="3498" t="s">
        <v>4197</v>
      </c>
      <c r="P28" s="3499" t="s">
        <v>4189</v>
      </c>
      <c r="Q28" s="3498" t="s">
        <v>4198</v>
      </c>
      <c r="R28" s="3498" t="s">
        <v>4199</v>
      </c>
      <c r="S28" s="3498"/>
      <c r="T28" s="3498"/>
      <c r="U28" s="3498"/>
      <c r="V28" s="3500"/>
      <c r="W28" s="3498"/>
    </row>
    <row r="29" spans="1:23" ht="96" hidden="1">
      <c r="A29" s="3501">
        <v>27</v>
      </c>
      <c r="B29" s="3501" t="s">
        <v>4200</v>
      </c>
      <c r="C29" s="3501" t="s">
        <v>4201</v>
      </c>
      <c r="D29" s="3501" t="s">
        <v>3427</v>
      </c>
      <c r="E29" s="3501" t="s">
        <v>4202</v>
      </c>
      <c r="F29" s="3501" t="s">
        <v>4203</v>
      </c>
      <c r="G29" s="3501" t="s">
        <v>673</v>
      </c>
      <c r="H29" s="3501">
        <v>286843.40000000002</v>
      </c>
      <c r="I29" s="3501">
        <v>279866.98</v>
      </c>
      <c r="J29" s="3501">
        <v>116948.41</v>
      </c>
      <c r="K29" s="3501">
        <v>162918.57</v>
      </c>
      <c r="L29" s="3501">
        <v>663600</v>
      </c>
      <c r="M29" s="3501">
        <v>23711</v>
      </c>
      <c r="N29" s="3501">
        <v>56743</v>
      </c>
      <c r="O29" s="3501" t="s">
        <v>3455</v>
      </c>
      <c r="P29" s="3502" t="s">
        <v>4189</v>
      </c>
      <c r="Q29" s="3501" t="s">
        <v>4204</v>
      </c>
      <c r="R29" s="3501"/>
      <c r="S29" s="3501"/>
      <c r="T29" s="3501"/>
      <c r="U29" s="3501"/>
      <c r="V29" s="3503"/>
      <c r="W29" s="3501"/>
    </row>
    <row r="30" spans="1:23" ht="24" hidden="1">
      <c r="A30" s="3498">
        <v>28</v>
      </c>
      <c r="B30" s="3498" t="s">
        <v>4205</v>
      </c>
      <c r="C30" s="3498" t="s">
        <v>4206</v>
      </c>
      <c r="D30" s="3498" t="s">
        <v>3437</v>
      </c>
      <c r="E30" s="3498" t="s">
        <v>4108</v>
      </c>
      <c r="F30" s="3498" t="s">
        <v>4207</v>
      </c>
      <c r="G30" s="3498" t="s">
        <v>4208</v>
      </c>
      <c r="H30" s="3498"/>
      <c r="I30" s="3498">
        <v>32518.27</v>
      </c>
      <c r="J30" s="3498">
        <v>28822.73</v>
      </c>
      <c r="K30" s="3498">
        <v>3695.54</v>
      </c>
      <c r="L30" s="3498">
        <v>167389</v>
      </c>
      <c r="M30" s="3498">
        <v>51475</v>
      </c>
      <c r="N30" s="3498">
        <v>58075</v>
      </c>
      <c r="O30" s="3498" t="s">
        <v>4209</v>
      </c>
      <c r="P30" s="3499">
        <v>44305</v>
      </c>
      <c r="Q30" s="3498" t="s">
        <v>4210</v>
      </c>
      <c r="R30" s="3498" t="s">
        <v>4117</v>
      </c>
      <c r="S30" s="3498"/>
      <c r="T30" s="3498"/>
      <c r="U30" s="3498"/>
      <c r="V30" s="3500"/>
      <c r="W30" s="3498"/>
    </row>
    <row r="31" spans="1:23" ht="24" hidden="1">
      <c r="A31" s="3501">
        <v>29</v>
      </c>
      <c r="B31" s="3501" t="s">
        <v>4211</v>
      </c>
      <c r="C31" s="3501" t="s">
        <v>4212</v>
      </c>
      <c r="D31" s="3501" t="s">
        <v>3442</v>
      </c>
      <c r="E31" s="3501" t="s">
        <v>4213</v>
      </c>
      <c r="F31" s="3501" t="s">
        <v>4214</v>
      </c>
      <c r="G31" s="3501" t="s">
        <v>21</v>
      </c>
      <c r="H31" s="3501"/>
      <c r="I31" s="3501">
        <v>27743.35</v>
      </c>
      <c r="J31" s="3501">
        <v>27743.35</v>
      </c>
      <c r="K31" s="3501"/>
      <c r="L31" s="3501">
        <v>66308</v>
      </c>
      <c r="M31" s="3501">
        <v>23901</v>
      </c>
      <c r="N31" s="3501">
        <v>23901</v>
      </c>
      <c r="O31" s="3501" t="s">
        <v>43</v>
      </c>
      <c r="P31" s="3502">
        <v>44299</v>
      </c>
      <c r="Q31" s="3501" t="s">
        <v>4215</v>
      </c>
      <c r="R31" s="3501"/>
      <c r="S31" s="3501"/>
      <c r="T31" s="3501"/>
      <c r="U31" s="3501"/>
      <c r="V31" s="3503"/>
      <c r="W31" s="3501"/>
    </row>
    <row r="32" spans="1:23" ht="24" hidden="1">
      <c r="A32" s="3498">
        <v>30</v>
      </c>
      <c r="B32" s="3498" t="s">
        <v>4216</v>
      </c>
      <c r="C32" s="3498" t="s">
        <v>4212</v>
      </c>
      <c r="D32" s="3498" t="s">
        <v>3442</v>
      </c>
      <c r="E32" s="3498" t="s">
        <v>4213</v>
      </c>
      <c r="F32" s="3498" t="s">
        <v>4214</v>
      </c>
      <c r="G32" s="3498" t="s">
        <v>21</v>
      </c>
      <c r="H32" s="3498"/>
      <c r="I32" s="3498">
        <v>19141.03</v>
      </c>
      <c r="J32" s="3498">
        <v>19141.03</v>
      </c>
      <c r="K32" s="3498"/>
      <c r="L32" s="3498">
        <v>65078</v>
      </c>
      <c r="M32" s="3498">
        <v>33999</v>
      </c>
      <c r="N32" s="3498">
        <v>33999</v>
      </c>
      <c r="O32" s="3498" t="s">
        <v>43</v>
      </c>
      <c r="P32" s="3499">
        <v>44187</v>
      </c>
      <c r="Q32" s="3498" t="s">
        <v>4215</v>
      </c>
      <c r="R32" s="3498"/>
      <c r="S32" s="3498"/>
      <c r="T32" s="3498"/>
      <c r="U32" s="3498"/>
      <c r="V32" s="3500"/>
      <c r="W32" s="3498"/>
    </row>
    <row r="33" spans="1:23" s="3511" customFormat="1" ht="24">
      <c r="A33" s="3508">
        <v>31</v>
      </c>
      <c r="B33" s="3508" t="s">
        <v>4217</v>
      </c>
      <c r="C33" s="3508" t="s">
        <v>4218</v>
      </c>
      <c r="D33" s="3508" t="s">
        <v>3427</v>
      </c>
      <c r="E33" s="3508" t="s">
        <v>4219</v>
      </c>
      <c r="F33" s="3508" t="s">
        <v>4220</v>
      </c>
      <c r="G33" s="3508" t="s">
        <v>21</v>
      </c>
      <c r="H33" s="3508">
        <v>26823.14</v>
      </c>
      <c r="I33" s="3508">
        <v>22666.71</v>
      </c>
      <c r="J33" s="3508">
        <v>15766.21</v>
      </c>
      <c r="K33" s="3508">
        <v>6900.5</v>
      </c>
      <c r="L33" s="3508">
        <v>85000</v>
      </c>
      <c r="M33" s="3508">
        <v>37500</v>
      </c>
      <c r="N33" s="3508">
        <v>53913</v>
      </c>
      <c r="O33" s="3508" t="s">
        <v>4221</v>
      </c>
      <c r="P33" s="3509" t="s">
        <v>4189</v>
      </c>
      <c r="Q33" s="3508" t="s">
        <v>4222</v>
      </c>
      <c r="R33" s="3508" t="s">
        <v>4191</v>
      </c>
      <c r="S33" s="3508"/>
      <c r="T33" s="3508"/>
      <c r="U33" s="3508"/>
      <c r="V33" s="3510"/>
      <c r="W33" s="3508"/>
    </row>
    <row r="34" spans="1:23" hidden="1">
      <c r="A34" s="3498">
        <v>32</v>
      </c>
      <c r="B34" s="3498" t="s">
        <v>4223</v>
      </c>
      <c r="C34" s="3498" t="s">
        <v>4224</v>
      </c>
      <c r="D34" s="3498" t="s">
        <v>3437</v>
      </c>
      <c r="E34" s="3498" t="s">
        <v>4108</v>
      </c>
      <c r="F34" s="3498" t="s">
        <v>4225</v>
      </c>
      <c r="G34" s="3498" t="s">
        <v>21</v>
      </c>
      <c r="H34" s="3498"/>
      <c r="I34" s="3498">
        <v>3260.28</v>
      </c>
      <c r="J34" s="3498">
        <v>2445.21</v>
      </c>
      <c r="K34" s="3498">
        <v>815.07</v>
      </c>
      <c r="L34" s="3498">
        <v>10107</v>
      </c>
      <c r="M34" s="3498">
        <v>31000</v>
      </c>
      <c r="N34" s="3498">
        <v>41334</v>
      </c>
      <c r="O34" s="3498" t="s">
        <v>4226</v>
      </c>
      <c r="P34" s="3499">
        <v>44324</v>
      </c>
      <c r="Q34" s="3498" t="s">
        <v>4227</v>
      </c>
      <c r="R34" s="3498"/>
      <c r="S34" s="3498"/>
      <c r="T34" s="3498"/>
      <c r="U34" s="3498"/>
      <c r="V34" s="3500"/>
      <c r="W34" s="3498"/>
    </row>
    <row r="35" spans="1:23" s="3527" customFormat="1" ht="36">
      <c r="A35" s="3524">
        <v>33</v>
      </c>
      <c r="B35" s="3524" t="s">
        <v>4616</v>
      </c>
      <c r="C35" s="3524" t="s">
        <v>4165</v>
      </c>
      <c r="D35" s="3524" t="s">
        <v>3427</v>
      </c>
      <c r="E35" s="3524" t="s">
        <v>4100</v>
      </c>
      <c r="F35" s="3524" t="s">
        <v>4166</v>
      </c>
      <c r="G35" s="3524" t="s">
        <v>21</v>
      </c>
      <c r="H35" s="3524"/>
      <c r="I35" s="3524">
        <v>11646.93</v>
      </c>
      <c r="J35" s="3524">
        <v>11646.93</v>
      </c>
      <c r="K35" s="3524"/>
      <c r="L35" s="3524">
        <v>56093</v>
      </c>
      <c r="M35" s="3524">
        <v>48000</v>
      </c>
      <c r="N35" s="3524">
        <v>48000</v>
      </c>
      <c r="O35" s="3524" t="s">
        <v>3479</v>
      </c>
      <c r="P35" s="3525">
        <v>44329</v>
      </c>
      <c r="Q35" s="3524" t="s">
        <v>4228</v>
      </c>
      <c r="R35" s="3524" t="s">
        <v>4117</v>
      </c>
      <c r="S35" s="3524"/>
      <c r="T35" s="3524"/>
      <c r="U35" s="3524"/>
      <c r="V35" s="3526"/>
      <c r="W35" s="3524"/>
    </row>
    <row r="36" spans="1:23" ht="26.25" hidden="1" customHeight="1">
      <c r="A36" s="3498">
        <v>34</v>
      </c>
      <c r="B36" s="3498" t="s">
        <v>4229</v>
      </c>
      <c r="C36" s="3498" t="s">
        <v>4230</v>
      </c>
      <c r="D36" s="3498" t="s">
        <v>3498</v>
      </c>
      <c r="E36" s="3498" t="s">
        <v>4231</v>
      </c>
      <c r="F36" s="3498" t="s">
        <v>4232</v>
      </c>
      <c r="G36" s="3498" t="s">
        <v>4233</v>
      </c>
      <c r="H36" s="3498"/>
      <c r="I36" s="3498">
        <v>4790.7299999999996</v>
      </c>
      <c r="J36" s="3498">
        <v>4790.7299999999996</v>
      </c>
      <c r="K36" s="3498"/>
      <c r="L36" s="3498">
        <v>19387</v>
      </c>
      <c r="M36" s="3498">
        <v>40468</v>
      </c>
      <c r="N36" s="3498">
        <v>40468</v>
      </c>
      <c r="O36" s="3498" t="s">
        <v>43</v>
      </c>
      <c r="P36" s="3499">
        <v>44329</v>
      </c>
      <c r="Q36" s="3498" t="s">
        <v>4234</v>
      </c>
      <c r="R36" s="3498" t="s">
        <v>4128</v>
      </c>
      <c r="S36" s="3498"/>
      <c r="T36" s="3498"/>
      <c r="U36" s="3498"/>
      <c r="V36" s="3500"/>
      <c r="W36" s="3498"/>
    </row>
    <row r="37" spans="1:23" ht="24" hidden="1">
      <c r="A37" s="3501">
        <v>35</v>
      </c>
      <c r="B37" s="3501" t="s">
        <v>4235</v>
      </c>
      <c r="C37" s="3501" t="s">
        <v>4236</v>
      </c>
      <c r="D37" s="3501" t="s">
        <v>3503</v>
      </c>
      <c r="E37" s="3501" t="s">
        <v>3503</v>
      </c>
      <c r="F37" s="3501" t="s">
        <v>4237</v>
      </c>
      <c r="G37" s="3501" t="s">
        <v>21</v>
      </c>
      <c r="H37" s="3501"/>
      <c r="I37" s="3501">
        <v>7652.17</v>
      </c>
      <c r="J37" s="3501">
        <v>5969.62</v>
      </c>
      <c r="K37" s="3501">
        <v>1682.55</v>
      </c>
      <c r="L37" s="3501">
        <v>29079</v>
      </c>
      <c r="M37" s="3501">
        <v>38001</v>
      </c>
      <c r="N37" s="3501">
        <v>48712</v>
      </c>
      <c r="O37" s="3501" t="s">
        <v>43</v>
      </c>
      <c r="P37" s="3502">
        <v>44334</v>
      </c>
      <c r="Q37" s="3501" t="s">
        <v>4238</v>
      </c>
      <c r="R37" s="3501" t="s">
        <v>4097</v>
      </c>
      <c r="S37" s="3501"/>
      <c r="T37" s="3501"/>
      <c r="U37" s="3501"/>
      <c r="V37" s="3503"/>
      <c r="W37" s="3501"/>
    </row>
    <row r="38" spans="1:23" s="3512" customFormat="1" ht="24">
      <c r="A38" s="3513">
        <v>36</v>
      </c>
      <c r="B38" s="3513" t="s">
        <v>3480</v>
      </c>
      <c r="C38" s="3513" t="s">
        <v>4239</v>
      </c>
      <c r="D38" s="3513" t="s">
        <v>3432</v>
      </c>
      <c r="E38" s="3513" t="s">
        <v>4240</v>
      </c>
      <c r="F38" s="3513" t="s">
        <v>4241</v>
      </c>
      <c r="G38" s="3513" t="s">
        <v>21</v>
      </c>
      <c r="H38" s="3513"/>
      <c r="I38" s="3513">
        <v>107627.08</v>
      </c>
      <c r="J38" s="3513">
        <v>107627.08</v>
      </c>
      <c r="K38" s="3513"/>
      <c r="L38" s="3513">
        <v>906000</v>
      </c>
      <c r="M38" s="3513">
        <v>84180</v>
      </c>
      <c r="N38" s="3513">
        <v>84180</v>
      </c>
      <c r="O38" s="3513" t="s">
        <v>4242</v>
      </c>
      <c r="P38" s="3514">
        <v>44348</v>
      </c>
      <c r="Q38" s="3513" t="s">
        <v>4243</v>
      </c>
      <c r="R38" s="3513" t="s">
        <v>4086</v>
      </c>
      <c r="S38" s="3513"/>
      <c r="T38" s="3513"/>
      <c r="U38" s="3513"/>
      <c r="V38" s="3515"/>
      <c r="W38" s="3513"/>
    </row>
    <row r="39" spans="1:23" ht="24" hidden="1">
      <c r="A39" s="3501">
        <v>37</v>
      </c>
      <c r="B39" s="3501" t="s">
        <v>4244</v>
      </c>
      <c r="C39" s="3501" t="s">
        <v>4245</v>
      </c>
      <c r="D39" s="3501" t="s">
        <v>4246</v>
      </c>
      <c r="E39" s="3501" t="s">
        <v>4247</v>
      </c>
      <c r="F39" s="3501" t="s">
        <v>4248</v>
      </c>
      <c r="G39" s="3501" t="s">
        <v>673</v>
      </c>
      <c r="H39" s="3501">
        <v>949.75</v>
      </c>
      <c r="I39" s="3501">
        <v>1807.6</v>
      </c>
      <c r="J39" s="3501">
        <v>1807.6</v>
      </c>
      <c r="K39" s="3501"/>
      <c r="L39" s="3501">
        <v>3500</v>
      </c>
      <c r="M39" s="3501">
        <v>19363</v>
      </c>
      <c r="N39" s="3501">
        <v>19363</v>
      </c>
      <c r="O39" s="3501" t="s">
        <v>4249</v>
      </c>
      <c r="P39" s="3502">
        <v>44395</v>
      </c>
      <c r="Q39" s="3501" t="s">
        <v>4250</v>
      </c>
      <c r="R39" s="3501" t="s">
        <v>4251</v>
      </c>
      <c r="S39" s="3501">
        <v>3806.6</v>
      </c>
      <c r="T39" s="3501">
        <v>21059</v>
      </c>
      <c r="U39" s="3501"/>
      <c r="V39" s="3503">
        <v>0.92</v>
      </c>
      <c r="W39" s="3501" t="s">
        <v>4079</v>
      </c>
    </row>
    <row r="40" spans="1:23" ht="36" hidden="1">
      <c r="A40" s="3498">
        <v>38</v>
      </c>
      <c r="B40" s="3498" t="s">
        <v>4252</v>
      </c>
      <c r="C40" s="3498" t="s">
        <v>4253</v>
      </c>
      <c r="D40" s="3498" t="s">
        <v>4254</v>
      </c>
      <c r="E40" s="3498" t="s">
        <v>4255</v>
      </c>
      <c r="F40" s="3498" t="s">
        <v>4256</v>
      </c>
      <c r="G40" s="3498" t="s">
        <v>4257</v>
      </c>
      <c r="H40" s="3498"/>
      <c r="I40" s="3498">
        <v>2513.25</v>
      </c>
      <c r="J40" s="3498">
        <v>2513.25</v>
      </c>
      <c r="K40" s="3498"/>
      <c r="L40" s="3498">
        <v>3514.5070000000001</v>
      </c>
      <c r="M40" s="3498">
        <v>13984</v>
      </c>
      <c r="N40" s="3498">
        <v>13984</v>
      </c>
      <c r="O40" s="3498" t="s">
        <v>4258</v>
      </c>
      <c r="P40" s="3499">
        <v>44393</v>
      </c>
      <c r="Q40" s="3498" t="s">
        <v>4259</v>
      </c>
      <c r="R40" s="3498" t="s">
        <v>4260</v>
      </c>
      <c r="S40" s="3498">
        <v>3795.01</v>
      </c>
      <c r="T40" s="3498">
        <v>15100</v>
      </c>
      <c r="U40" s="3498"/>
      <c r="V40" s="3500">
        <v>0.93</v>
      </c>
      <c r="W40" s="3498" t="s">
        <v>4079</v>
      </c>
    </row>
    <row r="41" spans="1:23" hidden="1">
      <c r="A41" s="3501"/>
      <c r="B41" s="3501"/>
      <c r="C41" s="3501"/>
      <c r="D41" s="3501"/>
      <c r="E41" s="3501"/>
      <c r="F41" s="3501"/>
      <c r="G41" s="3501"/>
      <c r="H41" s="3501"/>
      <c r="I41" s="3501"/>
      <c r="J41" s="3501"/>
      <c r="K41" s="3501"/>
      <c r="L41" s="3501"/>
      <c r="M41" s="3501"/>
      <c r="N41" s="3501"/>
      <c r="O41" s="3501"/>
      <c r="P41" s="3502"/>
      <c r="Q41" s="3501" t="s">
        <v>4261</v>
      </c>
      <c r="R41" s="3501"/>
      <c r="S41" s="3501"/>
      <c r="T41" s="3501"/>
      <c r="U41" s="3501"/>
      <c r="V41" s="3503"/>
      <c r="W41" s="3501"/>
    </row>
    <row r="42" spans="1:23" ht="108" hidden="1">
      <c r="A42" s="3498">
        <v>39</v>
      </c>
      <c r="B42" s="3498" t="s">
        <v>3520</v>
      </c>
      <c r="C42" s="3498" t="s">
        <v>4262</v>
      </c>
      <c r="D42" s="3498" t="s">
        <v>3427</v>
      </c>
      <c r="E42" s="3498" t="s">
        <v>4219</v>
      </c>
      <c r="F42" s="3498" t="s">
        <v>4263</v>
      </c>
      <c r="G42" s="3498" t="s">
        <v>4173</v>
      </c>
      <c r="H42" s="3498">
        <v>10958.77</v>
      </c>
      <c r="I42" s="3498">
        <v>16239.52</v>
      </c>
      <c r="J42" s="3498">
        <v>11951.04</v>
      </c>
      <c r="K42" s="3498">
        <v>4288.4799999999996</v>
      </c>
      <c r="L42" s="3498">
        <v>30775.432799999999</v>
      </c>
      <c r="M42" s="3498">
        <v>18951</v>
      </c>
      <c r="N42" s="3498">
        <v>25751</v>
      </c>
      <c r="O42" s="3498" t="s">
        <v>4264</v>
      </c>
      <c r="P42" s="3499">
        <v>44416</v>
      </c>
      <c r="Q42" s="3498" t="s">
        <v>4265</v>
      </c>
      <c r="R42" s="3498" t="s">
        <v>4260</v>
      </c>
      <c r="S42" s="3498">
        <v>54956.13</v>
      </c>
      <c r="T42" s="3498">
        <v>45984</v>
      </c>
      <c r="U42" s="3498"/>
      <c r="V42" s="3500">
        <v>0.56000000000000005</v>
      </c>
      <c r="W42" s="3498" t="s">
        <v>4079</v>
      </c>
    </row>
    <row r="43" spans="1:23" s="3519" customFormat="1" ht="24">
      <c r="A43" s="3516">
        <v>40</v>
      </c>
      <c r="B43" s="3516" t="s">
        <v>4266</v>
      </c>
      <c r="C43" s="3516" t="s">
        <v>4267</v>
      </c>
      <c r="D43" s="3516" t="s">
        <v>3427</v>
      </c>
      <c r="E43" s="3516"/>
      <c r="F43" s="3516" t="s">
        <v>4268</v>
      </c>
      <c r="G43" s="3516" t="s">
        <v>21</v>
      </c>
      <c r="H43" s="3516"/>
      <c r="I43" s="3516">
        <v>4649.72</v>
      </c>
      <c r="J43" s="3516">
        <v>4035.57</v>
      </c>
      <c r="K43" s="3516">
        <v>614.15</v>
      </c>
      <c r="L43" s="3516">
        <v>16499</v>
      </c>
      <c r="M43" s="3516">
        <v>35484</v>
      </c>
      <c r="N43" s="3516">
        <v>40884</v>
      </c>
      <c r="O43" s="3516" t="s">
        <v>43</v>
      </c>
      <c r="P43" s="3517">
        <v>44413</v>
      </c>
      <c r="Q43" s="3516" t="s">
        <v>4269</v>
      </c>
      <c r="R43" s="3516" t="s">
        <v>4117</v>
      </c>
      <c r="S43" s="3516"/>
      <c r="T43" s="3516">
        <v>0</v>
      </c>
      <c r="U43" s="3516"/>
      <c r="V43" s="3518" t="e">
        <v>#DIV/0!</v>
      </c>
      <c r="W43" s="3516"/>
    </row>
    <row r="44" spans="1:23" ht="36" hidden="1">
      <c r="A44" s="3498">
        <v>41</v>
      </c>
      <c r="B44" s="3498" t="s">
        <v>4270</v>
      </c>
      <c r="C44" s="3498" t="s">
        <v>4271</v>
      </c>
      <c r="D44" s="3498" t="s">
        <v>3427</v>
      </c>
      <c r="E44" s="3498" t="s">
        <v>4272</v>
      </c>
      <c r="F44" s="3498" t="s">
        <v>4273</v>
      </c>
      <c r="G44" s="3498" t="s">
        <v>673</v>
      </c>
      <c r="H44" s="3498"/>
      <c r="I44" s="3498">
        <v>2892.36</v>
      </c>
      <c r="J44" s="3498">
        <v>552.79</v>
      </c>
      <c r="K44" s="3498">
        <v>2339.5700000000002</v>
      </c>
      <c r="L44" s="3498">
        <v>12038</v>
      </c>
      <c r="M44" s="3498">
        <v>41620</v>
      </c>
      <c r="N44" s="3498">
        <v>217768</v>
      </c>
      <c r="O44" s="3498" t="s">
        <v>43</v>
      </c>
      <c r="P44" s="3499">
        <v>44413</v>
      </c>
      <c r="Q44" s="3498" t="s">
        <v>4274</v>
      </c>
      <c r="R44" s="3498" t="s">
        <v>4275</v>
      </c>
      <c r="S44" s="3498"/>
      <c r="T44" s="3498">
        <v>0</v>
      </c>
      <c r="U44" s="3498"/>
      <c r="V44" s="3500" t="e">
        <v>#DIV/0!</v>
      </c>
      <c r="W44" s="3498"/>
    </row>
    <row r="45" spans="1:23" ht="24" hidden="1">
      <c r="A45" s="3501">
        <v>42</v>
      </c>
      <c r="B45" s="3501" t="s">
        <v>4276</v>
      </c>
      <c r="C45" s="3501" t="s">
        <v>4277</v>
      </c>
      <c r="D45" s="3501" t="s">
        <v>3427</v>
      </c>
      <c r="E45" s="3501" t="s">
        <v>4278</v>
      </c>
      <c r="F45" s="3501" t="s">
        <v>4115</v>
      </c>
      <c r="G45" s="3501" t="s">
        <v>4279</v>
      </c>
      <c r="H45" s="3501"/>
      <c r="I45" s="3501">
        <v>4269.6899999999996</v>
      </c>
      <c r="J45" s="3501">
        <v>4269.6899999999996</v>
      </c>
      <c r="K45" s="3501"/>
      <c r="L45" s="3501">
        <v>10551.183199999999</v>
      </c>
      <c r="M45" s="3501">
        <v>24712</v>
      </c>
      <c r="N45" s="3501">
        <v>24712</v>
      </c>
      <c r="O45" s="3501" t="s">
        <v>4280</v>
      </c>
      <c r="P45" s="3502">
        <v>44419</v>
      </c>
      <c r="Q45" s="3501" t="s">
        <v>4281</v>
      </c>
      <c r="R45" s="3501" t="s">
        <v>4260</v>
      </c>
      <c r="S45" s="3501">
        <v>10166.183199999999</v>
      </c>
      <c r="T45" s="3501">
        <v>23810</v>
      </c>
      <c r="U45" s="3501"/>
      <c r="V45" s="3503">
        <v>1.04</v>
      </c>
      <c r="W45" s="3501" t="s">
        <v>4079</v>
      </c>
    </row>
    <row r="46" spans="1:23" ht="24" hidden="1">
      <c r="A46" s="3498">
        <v>43</v>
      </c>
      <c r="B46" s="3498" t="s">
        <v>4282</v>
      </c>
      <c r="C46" s="3498" t="s">
        <v>4282</v>
      </c>
      <c r="D46" s="3498" t="s">
        <v>3442</v>
      </c>
      <c r="E46" s="3498" t="s">
        <v>4283</v>
      </c>
      <c r="F46" s="3498" t="s">
        <v>43</v>
      </c>
      <c r="G46" s="3498" t="s">
        <v>673</v>
      </c>
      <c r="H46" s="3498"/>
      <c r="I46" s="3498">
        <v>640.29</v>
      </c>
      <c r="J46" s="3498"/>
      <c r="K46" s="3498"/>
      <c r="L46" s="3498">
        <v>1273.625</v>
      </c>
      <c r="M46" s="3498">
        <v>19891</v>
      </c>
      <c r="N46" s="3498" t="e">
        <v>#DIV/0!</v>
      </c>
      <c r="O46" s="3498" t="s">
        <v>4083</v>
      </c>
      <c r="P46" s="3499">
        <v>44334</v>
      </c>
      <c r="Q46" s="3498" t="s">
        <v>4284</v>
      </c>
      <c r="R46" s="3498" t="s">
        <v>4285</v>
      </c>
      <c r="S46" s="3498">
        <v>1373.75</v>
      </c>
      <c r="T46" s="3498" t="e">
        <v>#DIV/0!</v>
      </c>
      <c r="U46" s="3498"/>
      <c r="V46" s="3500">
        <v>0.93</v>
      </c>
      <c r="W46" s="3498" t="s">
        <v>4079</v>
      </c>
    </row>
    <row r="47" spans="1:23" ht="24" hidden="1">
      <c r="A47" s="3501">
        <v>44</v>
      </c>
      <c r="B47" s="3501" t="s">
        <v>4286</v>
      </c>
      <c r="C47" s="3501" t="s">
        <v>4287</v>
      </c>
      <c r="D47" s="3501" t="s">
        <v>3532</v>
      </c>
      <c r="E47" s="3501" t="s">
        <v>4288</v>
      </c>
      <c r="F47" s="3501" t="s">
        <v>4289</v>
      </c>
      <c r="G47" s="3501" t="s">
        <v>4290</v>
      </c>
      <c r="H47" s="3501"/>
      <c r="I47" s="3501">
        <v>38000</v>
      </c>
      <c r="J47" s="3501">
        <v>26467.47</v>
      </c>
      <c r="K47" s="3501">
        <v>11532.53</v>
      </c>
      <c r="L47" s="3501">
        <v>157500</v>
      </c>
      <c r="M47" s="3501">
        <v>41447</v>
      </c>
      <c r="N47" s="3501">
        <v>59507</v>
      </c>
      <c r="O47" s="3501" t="s">
        <v>43</v>
      </c>
      <c r="P47" s="3502" t="s">
        <v>4291</v>
      </c>
      <c r="Q47" s="3501" t="s">
        <v>4292</v>
      </c>
      <c r="R47" s="3501" t="s">
        <v>4293</v>
      </c>
      <c r="S47" s="3501"/>
      <c r="T47" s="3501">
        <v>0</v>
      </c>
      <c r="U47" s="3501"/>
      <c r="V47" s="3503" t="e">
        <v>#DIV/0!</v>
      </c>
      <c r="W47" s="3501"/>
    </row>
    <row r="48" spans="1:23">
      <c r="A48" s="3498">
        <v>45</v>
      </c>
      <c r="B48" s="3498" t="s">
        <v>4294</v>
      </c>
      <c r="C48" s="3498" t="s">
        <v>4295</v>
      </c>
      <c r="D48" s="3498" t="s">
        <v>3532</v>
      </c>
      <c r="E48" s="3498" t="s">
        <v>4289</v>
      </c>
      <c r="F48" s="3498" t="s">
        <v>4296</v>
      </c>
      <c r="G48" s="3498" t="s">
        <v>21</v>
      </c>
      <c r="H48" s="3498"/>
      <c r="I48" s="3498">
        <v>15941</v>
      </c>
      <c r="J48" s="3498">
        <v>15941</v>
      </c>
      <c r="K48" s="3498"/>
      <c r="L48" s="3498">
        <v>152300</v>
      </c>
      <c r="M48" s="3498">
        <v>95540</v>
      </c>
      <c r="N48" s="3498">
        <v>95540</v>
      </c>
      <c r="O48" s="3498" t="s">
        <v>4297</v>
      </c>
      <c r="P48" s="3499" t="s">
        <v>4298</v>
      </c>
      <c r="Q48" s="3498" t="s">
        <v>4299</v>
      </c>
      <c r="R48" s="3498"/>
      <c r="S48" s="3498"/>
      <c r="T48" s="3498">
        <v>0</v>
      </c>
      <c r="U48" s="3498"/>
      <c r="V48" s="3500" t="e">
        <v>#DIV/0!</v>
      </c>
      <c r="W48" s="3498"/>
    </row>
    <row r="49" spans="1:23" ht="60" hidden="1">
      <c r="A49" s="3501">
        <v>46</v>
      </c>
      <c r="B49" s="3501" t="s">
        <v>4300</v>
      </c>
      <c r="C49" s="3501" t="s">
        <v>4301</v>
      </c>
      <c r="D49" s="3501" t="s">
        <v>3432</v>
      </c>
      <c r="E49" s="3501" t="s">
        <v>4074</v>
      </c>
      <c r="F49" s="3501" t="s">
        <v>4302</v>
      </c>
      <c r="G49" s="3501" t="s">
        <v>4303</v>
      </c>
      <c r="H49" s="3501">
        <v>11620.73</v>
      </c>
      <c r="I49" s="3501">
        <v>82341.570000000007</v>
      </c>
      <c r="J49" s="3501">
        <v>41197.78</v>
      </c>
      <c r="K49" s="3501">
        <v>41143.79</v>
      </c>
      <c r="L49" s="3501">
        <v>164500.37359999999</v>
      </c>
      <c r="M49" s="3501">
        <v>19978</v>
      </c>
      <c r="N49" s="3501">
        <v>39929</v>
      </c>
      <c r="O49" s="3501" t="s">
        <v>4304</v>
      </c>
      <c r="P49" s="3502">
        <v>44406</v>
      </c>
      <c r="Q49" s="3501" t="s">
        <v>4305</v>
      </c>
      <c r="R49" s="3501">
        <v>40695</v>
      </c>
      <c r="S49" s="3501">
        <v>292857.81</v>
      </c>
      <c r="T49" s="3501">
        <v>71086</v>
      </c>
      <c r="U49" s="3501"/>
      <c r="V49" s="3503">
        <v>0.56000000000000005</v>
      </c>
      <c r="W49" s="3501" t="s">
        <v>4079</v>
      </c>
    </row>
    <row r="50" spans="1:23" ht="96" hidden="1">
      <c r="A50" s="3498"/>
      <c r="B50" s="3498"/>
      <c r="C50" s="3498"/>
      <c r="D50" s="3498"/>
      <c r="E50" s="3498"/>
      <c r="F50" s="3498"/>
      <c r="G50" s="3498"/>
      <c r="H50" s="3498"/>
      <c r="I50" s="3498"/>
      <c r="J50" s="3498"/>
      <c r="K50" s="3498"/>
      <c r="L50" s="3498"/>
      <c r="M50" s="3498"/>
      <c r="N50" s="3498"/>
      <c r="O50" s="3498"/>
      <c r="P50" s="3499"/>
      <c r="Q50" s="3498" t="s">
        <v>4306</v>
      </c>
      <c r="R50" s="3498"/>
      <c r="S50" s="3498"/>
      <c r="T50" s="3498"/>
      <c r="U50" s="3498"/>
      <c r="V50" s="3500"/>
      <c r="W50" s="3498"/>
    </row>
    <row r="51" spans="1:23" ht="72" hidden="1">
      <c r="A51" s="3501">
        <v>47</v>
      </c>
      <c r="B51" s="3501" t="s">
        <v>4307</v>
      </c>
      <c r="C51" s="3501" t="s">
        <v>4308</v>
      </c>
      <c r="D51" s="3501" t="s">
        <v>3432</v>
      </c>
      <c r="E51" s="3501" t="s">
        <v>4309</v>
      </c>
      <c r="F51" s="3501" t="s">
        <v>4310</v>
      </c>
      <c r="G51" s="3501" t="s">
        <v>4311</v>
      </c>
      <c r="H51" s="3501"/>
      <c r="I51" s="3501">
        <v>2649.47</v>
      </c>
      <c r="J51" s="3501">
        <v>2649.47</v>
      </c>
      <c r="K51" s="3501"/>
      <c r="L51" s="3501">
        <v>9000</v>
      </c>
      <c r="M51" s="3501">
        <v>33969</v>
      </c>
      <c r="N51" s="3501">
        <v>33969</v>
      </c>
      <c r="O51" s="3501" t="s">
        <v>4312</v>
      </c>
      <c r="P51" s="3502">
        <v>44488</v>
      </c>
      <c r="Q51" s="3501" t="s">
        <v>4313</v>
      </c>
      <c r="R51" s="3501" t="s">
        <v>4183</v>
      </c>
      <c r="S51" s="3501">
        <v>12857.14286</v>
      </c>
      <c r="T51" s="3501">
        <v>48527</v>
      </c>
      <c r="U51" s="3501"/>
      <c r="V51" s="3503">
        <v>0.7</v>
      </c>
      <c r="W51" s="3501" t="s">
        <v>4079</v>
      </c>
    </row>
    <row r="52" spans="1:23" ht="24" hidden="1">
      <c r="A52" s="3498">
        <v>48</v>
      </c>
      <c r="B52" s="3498" t="s">
        <v>4314</v>
      </c>
      <c r="C52" s="3498" t="s">
        <v>4315</v>
      </c>
      <c r="D52" s="3498" t="s">
        <v>3437</v>
      </c>
      <c r="E52" s="3498" t="s">
        <v>4108</v>
      </c>
      <c r="F52" s="3498" t="s">
        <v>4316</v>
      </c>
      <c r="G52" s="3498" t="s">
        <v>3435</v>
      </c>
      <c r="H52" s="3498"/>
      <c r="I52" s="3498">
        <v>48202.94</v>
      </c>
      <c r="J52" s="3498">
        <v>35675.879999999997</v>
      </c>
      <c r="K52" s="3498">
        <v>12527.06</v>
      </c>
      <c r="L52" s="3498">
        <v>130000</v>
      </c>
      <c r="M52" s="3498">
        <v>26969</v>
      </c>
      <c r="N52" s="3498">
        <v>36439</v>
      </c>
      <c r="O52" s="3498" t="s">
        <v>4317</v>
      </c>
      <c r="P52" s="3499" t="s">
        <v>4318</v>
      </c>
      <c r="Q52" s="3498" t="s">
        <v>4319</v>
      </c>
      <c r="R52" s="3498"/>
      <c r="S52" s="3498"/>
      <c r="T52" s="3498">
        <v>0</v>
      </c>
      <c r="U52" s="3498"/>
      <c r="V52" s="3500" t="e">
        <v>#DIV/0!</v>
      </c>
      <c r="W52" s="3498"/>
    </row>
    <row r="53" spans="1:23" hidden="1">
      <c r="A53" s="3501">
        <v>49</v>
      </c>
      <c r="B53" s="3501" t="s">
        <v>4320</v>
      </c>
      <c r="C53" s="3501" t="s">
        <v>4321</v>
      </c>
      <c r="D53" s="3501" t="s">
        <v>3437</v>
      </c>
      <c r="E53" s="3501" t="s">
        <v>4108</v>
      </c>
      <c r="F53" s="3501" t="s">
        <v>4316</v>
      </c>
      <c r="G53" s="3501" t="s">
        <v>673</v>
      </c>
      <c r="H53" s="3501"/>
      <c r="I53" s="3501">
        <v>97213.86</v>
      </c>
      <c r="J53" s="3501">
        <v>59407.53</v>
      </c>
      <c r="K53" s="3501">
        <v>37806.33</v>
      </c>
      <c r="L53" s="3501">
        <v>172735</v>
      </c>
      <c r="M53" s="3501">
        <v>17769</v>
      </c>
      <c r="N53" s="3501">
        <v>29076</v>
      </c>
      <c r="O53" s="3501" t="s">
        <v>4322</v>
      </c>
      <c r="P53" s="3502" t="s">
        <v>4323</v>
      </c>
      <c r="Q53" s="3501" t="s">
        <v>4324</v>
      </c>
      <c r="R53" s="3501"/>
      <c r="S53" s="3501"/>
      <c r="T53" s="3501">
        <v>0</v>
      </c>
      <c r="U53" s="3501"/>
      <c r="V53" s="3503" t="e">
        <v>#DIV/0!</v>
      </c>
      <c r="W53" s="3501"/>
    </row>
    <row r="54" spans="1:23" ht="24" hidden="1">
      <c r="A54" s="3498">
        <v>50</v>
      </c>
      <c r="B54" s="3498" t="s">
        <v>4325</v>
      </c>
      <c r="C54" s="3498" t="s">
        <v>4326</v>
      </c>
      <c r="D54" s="3498" t="s">
        <v>3432</v>
      </c>
      <c r="E54" s="3498" t="s">
        <v>4240</v>
      </c>
      <c r="F54" s="3498" t="s">
        <v>4327</v>
      </c>
      <c r="G54" s="3498" t="s">
        <v>4328</v>
      </c>
      <c r="H54" s="3498"/>
      <c r="I54" s="3498"/>
      <c r="J54" s="3498">
        <v>22716</v>
      </c>
      <c r="K54" s="3498"/>
      <c r="L54" s="3498">
        <v>105000</v>
      </c>
      <c r="M54" s="3498" t="e">
        <v>#DIV/0!</v>
      </c>
      <c r="N54" s="3498">
        <v>46223</v>
      </c>
      <c r="O54" s="3498" t="s">
        <v>4329</v>
      </c>
      <c r="P54" s="3499" t="s">
        <v>4330</v>
      </c>
      <c r="Q54" s="3498" t="s">
        <v>4331</v>
      </c>
      <c r="R54" s="3498"/>
      <c r="S54" s="3498"/>
      <c r="T54" s="3498">
        <v>0</v>
      </c>
      <c r="U54" s="3498"/>
      <c r="V54" s="3500" t="e">
        <v>#DIV/0!</v>
      </c>
      <c r="W54" s="3498"/>
    </row>
    <row r="55" spans="1:23" ht="24" hidden="1">
      <c r="A55" s="3501">
        <v>51</v>
      </c>
      <c r="B55" s="3501" t="s">
        <v>4332</v>
      </c>
      <c r="C55" s="3501" t="s">
        <v>4333</v>
      </c>
      <c r="D55" s="3501" t="s">
        <v>3427</v>
      </c>
      <c r="E55" s="3501" t="s">
        <v>4334</v>
      </c>
      <c r="F55" s="3501" t="s">
        <v>4335</v>
      </c>
      <c r="G55" s="3501" t="s">
        <v>4279</v>
      </c>
      <c r="H55" s="3501">
        <v>327.82</v>
      </c>
      <c r="I55" s="3501">
        <v>1702.62</v>
      </c>
      <c r="J55" s="3501">
        <v>1702.62</v>
      </c>
      <c r="K55" s="3501"/>
      <c r="L55" s="3501">
        <v>6441.5559999999996</v>
      </c>
      <c r="M55" s="3501">
        <v>37833</v>
      </c>
      <c r="N55" s="3501">
        <v>37833</v>
      </c>
      <c r="O55" s="3501" t="s">
        <v>4336</v>
      </c>
      <c r="P55" s="3502">
        <v>44502</v>
      </c>
      <c r="Q55" s="3501" t="s">
        <v>4337</v>
      </c>
      <c r="R55" s="3501" t="s">
        <v>4338</v>
      </c>
      <c r="S55" s="3501">
        <v>10056.35</v>
      </c>
      <c r="T55" s="3501">
        <v>59064</v>
      </c>
      <c r="U55" s="3501"/>
      <c r="V55" s="3503">
        <v>0.64</v>
      </c>
      <c r="W55" s="3501" t="s">
        <v>4079</v>
      </c>
    </row>
    <row r="56" spans="1:23" ht="60" hidden="1">
      <c r="A56" s="3498">
        <v>52</v>
      </c>
      <c r="B56" s="3498" t="s">
        <v>4339</v>
      </c>
      <c r="C56" s="3498" t="s">
        <v>4340</v>
      </c>
      <c r="D56" s="3498" t="s">
        <v>4254</v>
      </c>
      <c r="E56" s="3498" t="s">
        <v>4255</v>
      </c>
      <c r="F56" s="3498" t="s">
        <v>4341</v>
      </c>
      <c r="G56" s="3498" t="s">
        <v>4342</v>
      </c>
      <c r="H56" s="3498">
        <v>2187.62</v>
      </c>
      <c r="I56" s="3498">
        <v>3519.53</v>
      </c>
      <c r="J56" s="3498">
        <v>3519.53</v>
      </c>
      <c r="K56" s="3498"/>
      <c r="L56" s="3498">
        <v>3373</v>
      </c>
      <c r="M56" s="3498">
        <v>9584</v>
      </c>
      <c r="N56" s="3498">
        <v>9584</v>
      </c>
      <c r="O56" s="3498" t="s">
        <v>4343</v>
      </c>
      <c r="P56" s="3499">
        <v>44496</v>
      </c>
      <c r="Q56" s="3498" t="s">
        <v>4344</v>
      </c>
      <c r="R56" s="3498" t="s">
        <v>4345</v>
      </c>
      <c r="S56" s="3498">
        <v>4278.34</v>
      </c>
      <c r="T56" s="3498">
        <v>12156</v>
      </c>
      <c r="U56" s="3498"/>
      <c r="V56" s="3500">
        <v>0.79</v>
      </c>
      <c r="W56" s="3498" t="s">
        <v>4079</v>
      </c>
    </row>
    <row r="57" spans="1:23" ht="24" hidden="1">
      <c r="A57" s="3501">
        <v>53</v>
      </c>
      <c r="B57" s="3501" t="s">
        <v>4346</v>
      </c>
      <c r="C57" s="3501" t="s">
        <v>4347</v>
      </c>
      <c r="D57" s="3501" t="s">
        <v>4348</v>
      </c>
      <c r="E57" s="3501" t="s">
        <v>3510</v>
      </c>
      <c r="F57" s="3501" t="s">
        <v>4349</v>
      </c>
      <c r="G57" s="3501" t="s">
        <v>3</v>
      </c>
      <c r="H57" s="3501">
        <v>6777.98</v>
      </c>
      <c r="I57" s="3501">
        <v>13260.18</v>
      </c>
      <c r="J57" s="3501">
        <v>13260.18</v>
      </c>
      <c r="K57" s="3501"/>
      <c r="L57" s="3501">
        <v>5028</v>
      </c>
      <c r="M57" s="3501">
        <v>3792</v>
      </c>
      <c r="N57" s="3501">
        <v>3792</v>
      </c>
      <c r="O57" s="3501" t="s">
        <v>4350</v>
      </c>
      <c r="P57" s="3502">
        <v>44489</v>
      </c>
      <c r="Q57" s="3501" t="s">
        <v>4351</v>
      </c>
      <c r="R57" s="3501" t="s">
        <v>4093</v>
      </c>
      <c r="S57" s="3501">
        <v>5872.66</v>
      </c>
      <c r="T57" s="3501">
        <v>4429</v>
      </c>
      <c r="U57" s="3501"/>
      <c r="V57" s="3503">
        <v>0.86</v>
      </c>
      <c r="W57" s="3501" t="s">
        <v>4079</v>
      </c>
    </row>
    <row r="58" spans="1:23" ht="24" hidden="1">
      <c r="A58" s="3498">
        <v>54</v>
      </c>
      <c r="B58" s="3498" t="s">
        <v>4339</v>
      </c>
      <c r="C58" s="3498" t="s">
        <v>4352</v>
      </c>
      <c r="D58" s="3498" t="s">
        <v>4254</v>
      </c>
      <c r="E58" s="3498" t="s">
        <v>4255</v>
      </c>
      <c r="F58" s="3498" t="s">
        <v>4353</v>
      </c>
      <c r="G58" s="3498" t="s">
        <v>4342</v>
      </c>
      <c r="H58" s="3498">
        <v>4067.93</v>
      </c>
      <c r="I58" s="3498">
        <v>6544.66</v>
      </c>
      <c r="J58" s="3498">
        <v>6544.66</v>
      </c>
      <c r="K58" s="3498"/>
      <c r="L58" s="3498">
        <v>5422</v>
      </c>
      <c r="M58" s="3498">
        <v>8285</v>
      </c>
      <c r="N58" s="3498">
        <v>8285</v>
      </c>
      <c r="O58" s="3498" t="s">
        <v>4354</v>
      </c>
      <c r="P58" s="3499">
        <v>44503</v>
      </c>
      <c r="Q58" s="3498" t="s">
        <v>4355</v>
      </c>
      <c r="R58" s="3498" t="s">
        <v>4345</v>
      </c>
      <c r="S58" s="3498">
        <v>7874.53</v>
      </c>
      <c r="T58" s="3498">
        <v>12032</v>
      </c>
      <c r="U58" s="3498"/>
      <c r="V58" s="3500">
        <v>0.69</v>
      </c>
      <c r="W58" s="3498" t="s">
        <v>4079</v>
      </c>
    </row>
    <row r="59" spans="1:23" ht="24" hidden="1">
      <c r="A59" s="3501">
        <v>55</v>
      </c>
      <c r="B59" s="3501" t="s">
        <v>4356</v>
      </c>
      <c r="C59" s="3501" t="s">
        <v>4357</v>
      </c>
      <c r="D59" s="3501" t="s">
        <v>3432</v>
      </c>
      <c r="E59" s="3501" t="s">
        <v>4171</v>
      </c>
      <c r="F59" s="3501" t="s">
        <v>4358</v>
      </c>
      <c r="G59" s="3501" t="s">
        <v>673</v>
      </c>
      <c r="H59" s="3501"/>
      <c r="I59" s="3501">
        <v>377.72</v>
      </c>
      <c r="J59" s="3501">
        <v>377.72</v>
      </c>
      <c r="K59" s="3501"/>
      <c r="L59" s="3501">
        <v>1856.491</v>
      </c>
      <c r="M59" s="3501">
        <v>49150</v>
      </c>
      <c r="N59" s="3501">
        <v>49150</v>
      </c>
      <c r="O59" s="3501" t="s">
        <v>4359</v>
      </c>
      <c r="P59" s="3502">
        <v>44493</v>
      </c>
      <c r="Q59" s="3501" t="s">
        <v>4360</v>
      </c>
      <c r="R59" s="3501" t="s">
        <v>4199</v>
      </c>
      <c r="S59" s="3501">
        <v>1872.13</v>
      </c>
      <c r="T59" s="3501">
        <v>49564</v>
      </c>
      <c r="U59" s="3501"/>
      <c r="V59" s="3503">
        <v>0.99</v>
      </c>
      <c r="W59" s="3501" t="s">
        <v>4079</v>
      </c>
    </row>
    <row r="60" spans="1:23" hidden="1">
      <c r="A60" s="3498">
        <v>56</v>
      </c>
      <c r="B60" s="3498" t="s">
        <v>4356</v>
      </c>
      <c r="C60" s="3498" t="s">
        <v>4361</v>
      </c>
      <c r="D60" s="3498" t="s">
        <v>3432</v>
      </c>
      <c r="E60" s="3498" t="s">
        <v>4171</v>
      </c>
      <c r="F60" s="3498" t="s">
        <v>4362</v>
      </c>
      <c r="G60" s="3498" t="s">
        <v>673</v>
      </c>
      <c r="H60" s="3498"/>
      <c r="I60" s="3498">
        <v>488.2</v>
      </c>
      <c r="J60" s="3498">
        <v>488.2</v>
      </c>
      <c r="K60" s="3498"/>
      <c r="L60" s="3498">
        <v>1116.8584000000001</v>
      </c>
      <c r="M60" s="3498">
        <v>22877</v>
      </c>
      <c r="N60" s="3498">
        <v>22877</v>
      </c>
      <c r="O60" s="3498" t="s">
        <v>4363</v>
      </c>
      <c r="P60" s="3499">
        <v>44518</v>
      </c>
      <c r="Q60" s="3498"/>
      <c r="R60" s="3498" t="s">
        <v>4199</v>
      </c>
      <c r="S60" s="3498">
        <v>1994.39</v>
      </c>
      <c r="T60" s="3498">
        <v>40852</v>
      </c>
      <c r="U60" s="3498"/>
      <c r="V60" s="3500">
        <v>0.56000000000000005</v>
      </c>
      <c r="W60" s="3498" t="s">
        <v>4079</v>
      </c>
    </row>
    <row r="61" spans="1:23" ht="36" hidden="1">
      <c r="A61" s="3501">
        <v>57</v>
      </c>
      <c r="B61" s="3501" t="s">
        <v>4364</v>
      </c>
      <c r="C61" s="3501" t="s">
        <v>4365</v>
      </c>
      <c r="D61" s="3501" t="s">
        <v>3432</v>
      </c>
      <c r="E61" s="3501" t="s">
        <v>4171</v>
      </c>
      <c r="F61" s="3501" t="s">
        <v>4083</v>
      </c>
      <c r="G61" s="3501" t="s">
        <v>673</v>
      </c>
      <c r="H61" s="3501">
        <v>428.89</v>
      </c>
      <c r="I61" s="3501">
        <v>1798.66</v>
      </c>
      <c r="J61" s="3501">
        <v>1371.1</v>
      </c>
      <c r="K61" s="3501">
        <v>427.56</v>
      </c>
      <c r="L61" s="3501">
        <v>6671.2269999999999</v>
      </c>
      <c r="M61" s="3501">
        <v>37090</v>
      </c>
      <c r="N61" s="3501">
        <v>48656</v>
      </c>
      <c r="O61" s="3501" t="s">
        <v>4366</v>
      </c>
      <c r="P61" s="3502">
        <v>43709</v>
      </c>
      <c r="Q61" s="3501" t="s">
        <v>4367</v>
      </c>
      <c r="R61" s="3501" t="s">
        <v>4260</v>
      </c>
      <c r="S61" s="3501">
        <v>9530</v>
      </c>
      <c r="T61" s="3501">
        <v>69509</v>
      </c>
      <c r="U61" s="3501"/>
      <c r="V61" s="3503">
        <v>0.7</v>
      </c>
      <c r="W61" s="3501" t="s">
        <v>4079</v>
      </c>
    </row>
    <row r="62" spans="1:23" ht="72" hidden="1">
      <c r="A62" s="3498">
        <v>58</v>
      </c>
      <c r="B62" s="3498" t="s">
        <v>4368</v>
      </c>
      <c r="C62" s="3498" t="s">
        <v>4369</v>
      </c>
      <c r="D62" s="3498" t="s">
        <v>3432</v>
      </c>
      <c r="E62" s="3498" t="s">
        <v>4370</v>
      </c>
      <c r="F62" s="3498" t="s">
        <v>4083</v>
      </c>
      <c r="G62" s="3498" t="s">
        <v>4279</v>
      </c>
      <c r="H62" s="3498">
        <v>1438.41</v>
      </c>
      <c r="I62" s="3498">
        <v>9489.06</v>
      </c>
      <c r="J62" s="3498">
        <v>7690.29</v>
      </c>
      <c r="K62" s="3498">
        <v>1798.77</v>
      </c>
      <c r="L62" s="3498">
        <v>33855</v>
      </c>
      <c r="M62" s="3498">
        <v>35677</v>
      </c>
      <c r="N62" s="3498">
        <v>44023</v>
      </c>
      <c r="O62" s="3498" t="s">
        <v>4371</v>
      </c>
      <c r="P62" s="3499">
        <v>44509</v>
      </c>
      <c r="Q62" s="3498" t="s">
        <v>4372</v>
      </c>
      <c r="R62" s="3498" t="s">
        <v>4163</v>
      </c>
      <c r="S62" s="3498">
        <v>52585.279999999999</v>
      </c>
      <c r="T62" s="3498">
        <v>68379</v>
      </c>
      <c r="U62" s="3498"/>
      <c r="V62" s="3500">
        <v>0.64</v>
      </c>
      <c r="W62" s="3498" t="s">
        <v>4079</v>
      </c>
    </row>
    <row r="63" spans="1:23" ht="24" hidden="1">
      <c r="A63" s="3501">
        <v>59</v>
      </c>
      <c r="B63" s="3501" t="s">
        <v>4373</v>
      </c>
      <c r="C63" s="3501" t="s">
        <v>4374</v>
      </c>
      <c r="D63" s="3501" t="s">
        <v>3432</v>
      </c>
      <c r="E63" s="3501" t="s">
        <v>4375</v>
      </c>
      <c r="F63" s="3501" t="s">
        <v>3365</v>
      </c>
      <c r="G63" s="3501" t="s">
        <v>4279</v>
      </c>
      <c r="H63" s="3501"/>
      <c r="I63" s="3501">
        <v>2076.27</v>
      </c>
      <c r="J63" s="3501">
        <v>2076.27</v>
      </c>
      <c r="K63" s="3501"/>
      <c r="L63" s="3501">
        <v>4370</v>
      </c>
      <c r="M63" s="3501">
        <v>21047</v>
      </c>
      <c r="N63" s="3501">
        <v>21047</v>
      </c>
      <c r="O63" s="3501" t="s">
        <v>4376</v>
      </c>
      <c r="P63" s="3502">
        <v>44512</v>
      </c>
      <c r="Q63" s="3501" t="s">
        <v>4377</v>
      </c>
      <c r="R63" s="3501" t="s">
        <v>4378</v>
      </c>
      <c r="S63" s="3501">
        <v>7802.31</v>
      </c>
      <c r="T63" s="3501">
        <v>37578</v>
      </c>
      <c r="U63" s="3501"/>
      <c r="V63" s="3503">
        <v>0.56000000000000005</v>
      </c>
      <c r="W63" s="3501" t="s">
        <v>4079</v>
      </c>
    </row>
    <row r="64" spans="1:23" hidden="1">
      <c r="A64" s="3498">
        <v>60</v>
      </c>
      <c r="B64" s="3498" t="s">
        <v>4379</v>
      </c>
      <c r="C64" s="3498" t="s">
        <v>4380</v>
      </c>
      <c r="D64" s="3498" t="s">
        <v>3503</v>
      </c>
      <c r="E64" s="3498" t="s">
        <v>4381</v>
      </c>
      <c r="F64" s="3498" t="s">
        <v>3365</v>
      </c>
      <c r="G64" s="3498" t="s">
        <v>3550</v>
      </c>
      <c r="H64" s="3498"/>
      <c r="I64" s="3498">
        <v>35430.589999999997</v>
      </c>
      <c r="J64" s="3498">
        <v>35430.589999999997</v>
      </c>
      <c r="K64" s="3498"/>
      <c r="L64" s="3498">
        <v>115479</v>
      </c>
      <c r="M64" s="3498">
        <v>32593</v>
      </c>
      <c r="N64" s="3498">
        <v>32593</v>
      </c>
      <c r="O64" s="3498" t="s">
        <v>4226</v>
      </c>
      <c r="P64" s="3499">
        <v>44501</v>
      </c>
      <c r="Q64" s="3498" t="s">
        <v>4382</v>
      </c>
      <c r="R64" s="3498" t="s">
        <v>4383</v>
      </c>
      <c r="S64" s="3498"/>
      <c r="T64" s="3498">
        <v>0</v>
      </c>
      <c r="U64" s="3498"/>
      <c r="V64" s="3500" t="e">
        <v>#DIV/0!</v>
      </c>
      <c r="W64" s="3498"/>
    </row>
    <row r="65" spans="1:23" hidden="1">
      <c r="A65" s="3501">
        <v>61</v>
      </c>
      <c r="B65" s="3501" t="s">
        <v>4384</v>
      </c>
      <c r="C65" s="3501" t="s">
        <v>4385</v>
      </c>
      <c r="D65" s="3501" t="s">
        <v>3503</v>
      </c>
      <c r="E65" s="3501" t="s">
        <v>4381</v>
      </c>
      <c r="F65" s="3501" t="s">
        <v>3365</v>
      </c>
      <c r="G65" s="3501" t="s">
        <v>3550</v>
      </c>
      <c r="H65" s="3501"/>
      <c r="I65" s="3501">
        <v>38471.61</v>
      </c>
      <c r="J65" s="3501">
        <v>38471.61</v>
      </c>
      <c r="K65" s="3501"/>
      <c r="L65" s="3501">
        <v>86724</v>
      </c>
      <c r="M65" s="3501">
        <v>22542</v>
      </c>
      <c r="N65" s="3501">
        <v>22542</v>
      </c>
      <c r="O65" s="3501" t="s">
        <v>43</v>
      </c>
      <c r="P65" s="3502">
        <v>44378</v>
      </c>
      <c r="Q65" s="3501" t="s">
        <v>4386</v>
      </c>
      <c r="R65" s="3501" t="s">
        <v>4387</v>
      </c>
      <c r="S65" s="3501"/>
      <c r="T65" s="3501">
        <v>0</v>
      </c>
      <c r="U65" s="3501"/>
      <c r="V65" s="3503" t="e">
        <v>#DIV/0!</v>
      </c>
      <c r="W65" s="3501"/>
    </row>
    <row r="66" spans="1:23" ht="24" hidden="1">
      <c r="A66" s="3498">
        <v>62</v>
      </c>
      <c r="B66" s="3498" t="s">
        <v>4388</v>
      </c>
      <c r="C66" s="3498" t="s">
        <v>4389</v>
      </c>
      <c r="D66" s="3498" t="s">
        <v>3498</v>
      </c>
      <c r="E66" s="3498" t="s">
        <v>4231</v>
      </c>
      <c r="F66" s="3498" t="s">
        <v>4390</v>
      </c>
      <c r="G66" s="3498" t="s">
        <v>4279</v>
      </c>
      <c r="H66" s="3498"/>
      <c r="I66" s="3498">
        <v>76261.53</v>
      </c>
      <c r="J66" s="3498">
        <v>51766.63</v>
      </c>
      <c r="K66" s="3498">
        <v>24494.9</v>
      </c>
      <c r="L66" s="3498">
        <v>193577.51379999999</v>
      </c>
      <c r="M66" s="3498">
        <v>25383</v>
      </c>
      <c r="N66" s="3498">
        <v>37394</v>
      </c>
      <c r="O66" s="3498" t="s">
        <v>4226</v>
      </c>
      <c r="P66" s="3499" t="s">
        <v>4391</v>
      </c>
      <c r="Q66" s="3498" t="s">
        <v>4392</v>
      </c>
      <c r="R66" s="3498" t="s">
        <v>4393</v>
      </c>
      <c r="S66" s="3498"/>
      <c r="T66" s="3498">
        <v>0</v>
      </c>
      <c r="U66" s="3498"/>
      <c r="V66" s="3500" t="e">
        <v>#DIV/0!</v>
      </c>
      <c r="W66" s="3498"/>
    </row>
    <row r="67" spans="1:23" ht="24" hidden="1">
      <c r="A67" s="3501">
        <v>63</v>
      </c>
      <c r="B67" s="3501" t="s">
        <v>4394</v>
      </c>
      <c r="C67" s="3501" t="s">
        <v>4395</v>
      </c>
      <c r="D67" s="3501" t="s">
        <v>3432</v>
      </c>
      <c r="E67" s="3501" t="s">
        <v>4396</v>
      </c>
      <c r="F67" s="3501" t="s">
        <v>4397</v>
      </c>
      <c r="G67" s="3501" t="s">
        <v>3550</v>
      </c>
      <c r="H67" s="3501"/>
      <c r="I67" s="3501">
        <v>19620.759999999998</v>
      </c>
      <c r="J67" s="3501">
        <v>19620.759999999998</v>
      </c>
      <c r="K67" s="3501"/>
      <c r="L67" s="3501">
        <v>57284.58799</v>
      </c>
      <c r="M67" s="3501">
        <v>29196</v>
      </c>
      <c r="N67" s="3501">
        <v>29196</v>
      </c>
      <c r="O67" s="3501" t="s">
        <v>4398</v>
      </c>
      <c r="P67" s="3502">
        <v>44530</v>
      </c>
      <c r="Q67" s="3501" t="s">
        <v>4399</v>
      </c>
      <c r="R67" s="3501" t="s">
        <v>4086</v>
      </c>
      <c r="S67" s="3501">
        <v>81835.125700000004</v>
      </c>
      <c r="T67" s="3501">
        <v>41708</v>
      </c>
      <c r="U67" s="3501"/>
      <c r="V67" s="3503">
        <v>0.7</v>
      </c>
      <c r="W67" s="3501" t="s">
        <v>4079</v>
      </c>
    </row>
    <row r="68" spans="1:23" ht="24" hidden="1">
      <c r="A68" s="3498"/>
      <c r="B68" s="3498"/>
      <c r="C68" s="3498"/>
      <c r="D68" s="3498"/>
      <c r="E68" s="3498"/>
      <c r="F68" s="3498"/>
      <c r="G68" s="3498"/>
      <c r="H68" s="3498"/>
      <c r="I68" s="3498"/>
      <c r="J68" s="3498"/>
      <c r="K68" s="3498"/>
      <c r="L68" s="3498"/>
      <c r="M68" s="3498"/>
      <c r="N68" s="3498"/>
      <c r="O68" s="3498"/>
      <c r="P68" s="3499"/>
      <c r="Q68" s="3498" t="s">
        <v>4400</v>
      </c>
      <c r="R68" s="3498"/>
      <c r="S68" s="3498"/>
      <c r="T68" s="3498"/>
      <c r="U68" s="3498"/>
      <c r="V68" s="3500"/>
      <c r="W68" s="3498"/>
    </row>
    <row r="69" spans="1:23" hidden="1">
      <c r="A69" s="3501">
        <v>64</v>
      </c>
      <c r="B69" s="3501" t="s">
        <v>4401</v>
      </c>
      <c r="C69" s="3501" t="s">
        <v>4402</v>
      </c>
      <c r="D69" s="3501" t="s">
        <v>3427</v>
      </c>
      <c r="E69" s="3501" t="s">
        <v>4186</v>
      </c>
      <c r="F69" s="3501" t="s">
        <v>3365</v>
      </c>
      <c r="G69" s="3501" t="s">
        <v>3550</v>
      </c>
      <c r="H69" s="3501"/>
      <c r="I69" s="3501">
        <v>820.06</v>
      </c>
      <c r="J69" s="3501">
        <v>820.06</v>
      </c>
      <c r="K69" s="3501"/>
      <c r="L69" s="3501">
        <v>3005</v>
      </c>
      <c r="M69" s="3501">
        <v>36644</v>
      </c>
      <c r="N69" s="3501">
        <v>36644</v>
      </c>
      <c r="O69" s="3501" t="s">
        <v>4083</v>
      </c>
      <c r="P69" s="3502">
        <v>44526</v>
      </c>
      <c r="Q69" s="3501" t="s">
        <v>4403</v>
      </c>
      <c r="R69" s="3501" t="s">
        <v>4404</v>
      </c>
      <c r="S69" s="3501">
        <v>3270.47865</v>
      </c>
      <c r="T69" s="3501">
        <v>39881</v>
      </c>
      <c r="U69" s="3501"/>
      <c r="V69" s="3503">
        <v>0.92</v>
      </c>
      <c r="W69" s="3501" t="s">
        <v>4079</v>
      </c>
    </row>
    <row r="70" spans="1:23" s="3511" customFormat="1" ht="24" hidden="1">
      <c r="A70" s="3508">
        <v>65</v>
      </c>
      <c r="B70" s="3508" t="s">
        <v>4405</v>
      </c>
      <c r="C70" s="3508" t="s">
        <v>4406</v>
      </c>
      <c r="D70" s="3508" t="s">
        <v>3422</v>
      </c>
      <c r="E70" s="3508" t="s">
        <v>4407</v>
      </c>
      <c r="F70" s="3508" t="s">
        <v>3514</v>
      </c>
      <c r="G70" s="3508" t="s">
        <v>4408</v>
      </c>
      <c r="H70" s="3508"/>
      <c r="I70" s="3508">
        <v>27481.15</v>
      </c>
      <c r="J70" s="3508">
        <v>25176.93</v>
      </c>
      <c r="K70" s="3508">
        <v>2304.2199999999998</v>
      </c>
      <c r="L70" s="3508">
        <v>102812</v>
      </c>
      <c r="M70" s="3508">
        <v>37412</v>
      </c>
      <c r="N70" s="3508">
        <v>40836</v>
      </c>
      <c r="O70" s="3508" t="s">
        <v>43</v>
      </c>
      <c r="P70" s="3509">
        <v>44531</v>
      </c>
      <c r="Q70" s="3508" t="s">
        <v>4409</v>
      </c>
      <c r="R70" s="3508" t="s">
        <v>4117</v>
      </c>
      <c r="S70" s="3508"/>
      <c r="T70" s="3508"/>
      <c r="U70" s="3508"/>
      <c r="V70" s="3510"/>
      <c r="W70" s="3508"/>
    </row>
    <row r="71" spans="1:23" ht="24" hidden="1">
      <c r="A71" s="3501">
        <v>66</v>
      </c>
      <c r="B71" s="3501" t="s">
        <v>4410</v>
      </c>
      <c r="C71" s="3501" t="s">
        <v>4411</v>
      </c>
      <c r="D71" s="3501" t="s">
        <v>3432</v>
      </c>
      <c r="E71" s="3501" t="s">
        <v>4412</v>
      </c>
      <c r="F71" s="3501" t="s">
        <v>4083</v>
      </c>
      <c r="G71" s="3501" t="s">
        <v>673</v>
      </c>
      <c r="H71" s="3501"/>
      <c r="I71" s="3501">
        <v>110.2</v>
      </c>
      <c r="J71" s="3501">
        <v>110.2</v>
      </c>
      <c r="K71" s="3501"/>
      <c r="L71" s="3501">
        <v>819.49800000000005</v>
      </c>
      <c r="M71" s="3501">
        <v>74365</v>
      </c>
      <c r="N71" s="3501">
        <v>74365</v>
      </c>
      <c r="O71" s="3501"/>
      <c r="P71" s="3502">
        <v>44540</v>
      </c>
      <c r="Q71" s="3501" t="s">
        <v>4413</v>
      </c>
      <c r="R71" s="3501" t="s">
        <v>4199</v>
      </c>
      <c r="S71" s="3501">
        <v>694.14</v>
      </c>
      <c r="T71" s="3501">
        <v>62989</v>
      </c>
      <c r="U71" s="3501"/>
      <c r="V71" s="3503">
        <v>1.18</v>
      </c>
      <c r="W71" s="3501" t="s">
        <v>4079</v>
      </c>
    </row>
    <row r="72" spans="1:23" ht="48" hidden="1">
      <c r="A72" s="3498">
        <v>67</v>
      </c>
      <c r="B72" s="3498" t="s">
        <v>4414</v>
      </c>
      <c r="C72" s="3498" t="s">
        <v>4415</v>
      </c>
      <c r="D72" s="3498" t="s">
        <v>3427</v>
      </c>
      <c r="E72" s="3498" t="s">
        <v>4416</v>
      </c>
      <c r="F72" s="3498" t="s">
        <v>4417</v>
      </c>
      <c r="G72" s="3498" t="s">
        <v>4418</v>
      </c>
      <c r="H72" s="3498"/>
      <c r="I72" s="3498">
        <v>11235.4</v>
      </c>
      <c r="J72" s="3498">
        <v>11235.4</v>
      </c>
      <c r="K72" s="3498"/>
      <c r="L72" s="3498">
        <v>42694.52</v>
      </c>
      <c r="M72" s="3498">
        <v>38000</v>
      </c>
      <c r="N72" s="3498">
        <v>38000</v>
      </c>
      <c r="O72" s="3498" t="s">
        <v>4419</v>
      </c>
      <c r="P72" s="3499">
        <v>44531</v>
      </c>
      <c r="Q72" s="3498" t="s">
        <v>4420</v>
      </c>
      <c r="R72" s="3498" t="s">
        <v>4421</v>
      </c>
      <c r="S72" s="3498"/>
      <c r="T72" s="3498">
        <v>0</v>
      </c>
      <c r="U72" s="3498"/>
      <c r="V72" s="3500" t="e">
        <v>#DIV/0!</v>
      </c>
      <c r="W72" s="3498"/>
    </row>
    <row r="73" spans="1:23" ht="24" hidden="1">
      <c r="A73" s="3501">
        <v>68</v>
      </c>
      <c r="B73" s="3501" t="s">
        <v>4422</v>
      </c>
      <c r="C73" s="3501" t="s">
        <v>4423</v>
      </c>
      <c r="D73" s="3501" t="s">
        <v>3422</v>
      </c>
      <c r="E73" s="3501" t="s">
        <v>4089</v>
      </c>
      <c r="F73" s="3501" t="s">
        <v>3514</v>
      </c>
      <c r="G73" s="3501" t="s">
        <v>673</v>
      </c>
      <c r="H73" s="3501"/>
      <c r="I73" s="3501">
        <v>3593.38</v>
      </c>
      <c r="J73" s="3501">
        <v>2926.37</v>
      </c>
      <c r="K73" s="3501">
        <v>667.01</v>
      </c>
      <c r="L73" s="3501">
        <v>29859</v>
      </c>
      <c r="M73" s="3501">
        <v>83094</v>
      </c>
      <c r="N73" s="3501">
        <v>102034</v>
      </c>
      <c r="O73" s="3501" t="s">
        <v>4424</v>
      </c>
      <c r="P73" s="3502">
        <v>43983</v>
      </c>
      <c r="Q73" s="3501" t="s">
        <v>4425</v>
      </c>
      <c r="R73" s="3501" t="s">
        <v>4097</v>
      </c>
      <c r="S73" s="3501"/>
      <c r="T73" s="3501">
        <v>0</v>
      </c>
      <c r="U73" s="3501"/>
      <c r="V73" s="3503" t="e">
        <v>#DIV/0!</v>
      </c>
      <c r="W73" s="3501"/>
    </row>
    <row r="74" spans="1:23" ht="24" hidden="1">
      <c r="A74" s="3498">
        <v>69</v>
      </c>
      <c r="B74" s="3498" t="s">
        <v>4426</v>
      </c>
      <c r="C74" s="3498" t="s">
        <v>4423</v>
      </c>
      <c r="D74" s="3498" t="s">
        <v>3422</v>
      </c>
      <c r="E74" s="3498" t="s">
        <v>4089</v>
      </c>
      <c r="F74" s="3498" t="s">
        <v>3514</v>
      </c>
      <c r="G74" s="3498" t="s">
        <v>673</v>
      </c>
      <c r="H74" s="3498"/>
      <c r="I74" s="3498">
        <v>3507.36</v>
      </c>
      <c r="J74" s="3498">
        <v>2174.94</v>
      </c>
      <c r="K74" s="3498">
        <v>1332.42</v>
      </c>
      <c r="L74" s="3498">
        <v>29700</v>
      </c>
      <c r="M74" s="3498">
        <v>84679</v>
      </c>
      <c r="N74" s="3498">
        <v>136555</v>
      </c>
      <c r="O74" s="3498" t="s">
        <v>43</v>
      </c>
      <c r="P74" s="3499">
        <v>44378</v>
      </c>
      <c r="Q74" s="3498" t="s">
        <v>4425</v>
      </c>
      <c r="R74" s="3498" t="s">
        <v>4097</v>
      </c>
      <c r="S74" s="3498"/>
      <c r="T74" s="3498">
        <v>0</v>
      </c>
      <c r="U74" s="3498"/>
      <c r="V74" s="3500" t="e">
        <v>#DIV/0!</v>
      </c>
      <c r="W74" s="3498"/>
    </row>
    <row r="75" spans="1:23" ht="24" hidden="1">
      <c r="A75" s="3501">
        <v>70</v>
      </c>
      <c r="B75" s="3501" t="s">
        <v>4427</v>
      </c>
      <c r="C75" s="3501" t="s">
        <v>4423</v>
      </c>
      <c r="D75" s="3501" t="s">
        <v>3422</v>
      </c>
      <c r="E75" s="3501" t="s">
        <v>4089</v>
      </c>
      <c r="F75" s="3501" t="s">
        <v>3514</v>
      </c>
      <c r="G75" s="3501" t="s">
        <v>673</v>
      </c>
      <c r="H75" s="3501"/>
      <c r="I75" s="3501">
        <v>3514.04</v>
      </c>
      <c r="J75" s="3501">
        <v>2220.6</v>
      </c>
      <c r="K75" s="3501">
        <v>1293.44</v>
      </c>
      <c r="L75" s="3501">
        <v>31019</v>
      </c>
      <c r="M75" s="3501">
        <v>88272</v>
      </c>
      <c r="N75" s="3501">
        <v>139687</v>
      </c>
      <c r="O75" s="3501" t="s">
        <v>43</v>
      </c>
      <c r="P75" s="3502">
        <v>44440</v>
      </c>
      <c r="Q75" s="3501" t="s">
        <v>4425</v>
      </c>
      <c r="R75" s="3501" t="s">
        <v>4097</v>
      </c>
      <c r="S75" s="3501"/>
      <c r="T75" s="3501">
        <v>0</v>
      </c>
      <c r="U75" s="3501"/>
      <c r="V75" s="3503" t="e">
        <v>#DIV/0!</v>
      </c>
      <c r="W75" s="3501"/>
    </row>
    <row r="76" spans="1:23" ht="24" hidden="1">
      <c r="A76" s="3498">
        <v>71</v>
      </c>
      <c r="B76" s="3498" t="s">
        <v>4428</v>
      </c>
      <c r="C76" s="3498" t="s">
        <v>4429</v>
      </c>
      <c r="D76" s="3498" t="s">
        <v>3432</v>
      </c>
      <c r="E76" s="3498" t="s">
        <v>4430</v>
      </c>
      <c r="F76" s="3498" t="s">
        <v>4431</v>
      </c>
      <c r="G76" s="3498" t="s">
        <v>673</v>
      </c>
      <c r="H76" s="3498"/>
      <c r="I76" s="3498">
        <v>7405.99</v>
      </c>
      <c r="J76" s="3498">
        <v>5665.98</v>
      </c>
      <c r="K76" s="3498">
        <v>1740.01</v>
      </c>
      <c r="L76" s="3498">
        <v>36838</v>
      </c>
      <c r="M76" s="3498">
        <v>49741</v>
      </c>
      <c r="N76" s="3498">
        <v>65016</v>
      </c>
      <c r="O76" s="3498" t="s">
        <v>43</v>
      </c>
      <c r="P76" s="3499">
        <v>44559</v>
      </c>
      <c r="Q76" s="3498" t="s">
        <v>4432</v>
      </c>
      <c r="R76" s="3498" t="s">
        <v>4086</v>
      </c>
      <c r="S76" s="3498"/>
      <c r="T76" s="3498">
        <v>0</v>
      </c>
      <c r="U76" s="3498"/>
      <c r="V76" s="3500" t="e">
        <v>#DIV/0!</v>
      </c>
      <c r="W76" s="3498"/>
    </row>
    <row r="77" spans="1:23" hidden="1">
      <c r="A77" s="3501">
        <v>72</v>
      </c>
      <c r="B77" s="3501" t="s">
        <v>4433</v>
      </c>
      <c r="C77" s="3501" t="s">
        <v>4434</v>
      </c>
      <c r="D77" s="3501" t="s">
        <v>3503</v>
      </c>
      <c r="E77" s="3501" t="s">
        <v>4435</v>
      </c>
      <c r="F77" s="3501" t="s">
        <v>4436</v>
      </c>
      <c r="G77" s="3501" t="s">
        <v>673</v>
      </c>
      <c r="H77" s="3501"/>
      <c r="I77" s="3501">
        <v>2419.02</v>
      </c>
      <c r="J77" s="3501">
        <v>2419.02</v>
      </c>
      <c r="K77" s="3501"/>
      <c r="L77" s="3501">
        <v>12202</v>
      </c>
      <c r="M77" s="3501">
        <v>50441</v>
      </c>
      <c r="N77" s="3501">
        <v>50441</v>
      </c>
      <c r="O77" s="3501" t="s">
        <v>43</v>
      </c>
      <c r="P77" s="3502">
        <v>44558</v>
      </c>
      <c r="Q77" s="3501" t="s">
        <v>4437</v>
      </c>
      <c r="R77" s="3501" t="s">
        <v>4093</v>
      </c>
      <c r="S77" s="3501"/>
      <c r="T77" s="3501">
        <v>0</v>
      </c>
      <c r="U77" s="3501"/>
      <c r="V77" s="3503" t="e">
        <v>#DIV/0!</v>
      </c>
      <c r="W77" s="3501"/>
    </row>
    <row r="78" spans="1:23" hidden="1">
      <c r="A78" s="3498">
        <v>73</v>
      </c>
      <c r="B78" s="3498" t="s">
        <v>4438</v>
      </c>
      <c r="C78" s="3498" t="s">
        <v>4434</v>
      </c>
      <c r="D78" s="3498" t="s">
        <v>3503</v>
      </c>
      <c r="E78" s="3498" t="s">
        <v>4435</v>
      </c>
      <c r="F78" s="3498" t="s">
        <v>4436</v>
      </c>
      <c r="G78" s="3498" t="s">
        <v>3550</v>
      </c>
      <c r="H78" s="3498"/>
      <c r="I78" s="3498">
        <v>15496.31</v>
      </c>
      <c r="J78" s="3498">
        <v>15496.31</v>
      </c>
      <c r="K78" s="3498"/>
      <c r="L78" s="3498">
        <v>32385</v>
      </c>
      <c r="M78" s="3498">
        <v>20900</v>
      </c>
      <c r="N78" s="3498">
        <v>20900</v>
      </c>
      <c r="O78" s="3498" t="s">
        <v>43</v>
      </c>
      <c r="P78" s="3499">
        <v>44559</v>
      </c>
      <c r="Q78" s="3498" t="s">
        <v>4439</v>
      </c>
      <c r="R78" s="3498" t="s">
        <v>4093</v>
      </c>
      <c r="S78" s="3498"/>
      <c r="T78" s="3498">
        <v>0</v>
      </c>
      <c r="U78" s="3498"/>
      <c r="V78" s="3500" t="e">
        <v>#DIV/0!</v>
      </c>
      <c r="W78" s="3498"/>
    </row>
    <row r="79" spans="1:23" ht="24" hidden="1">
      <c r="A79" s="3501">
        <v>74</v>
      </c>
      <c r="B79" s="3501" t="s">
        <v>4440</v>
      </c>
      <c r="C79" s="3501" t="s">
        <v>4236</v>
      </c>
      <c r="D79" s="3501" t="s">
        <v>3503</v>
      </c>
      <c r="E79" s="3501" t="s">
        <v>3503</v>
      </c>
      <c r="F79" s="3501" t="s">
        <v>4237</v>
      </c>
      <c r="G79" s="3501" t="s">
        <v>21</v>
      </c>
      <c r="H79" s="3501"/>
      <c r="I79" s="3501">
        <v>3567.49</v>
      </c>
      <c r="J79" s="3501">
        <v>2733.55</v>
      </c>
      <c r="K79" s="3501">
        <v>833.94</v>
      </c>
      <c r="L79" s="3501">
        <v>13553</v>
      </c>
      <c r="M79" s="3501">
        <v>37990</v>
      </c>
      <c r="N79" s="3501">
        <v>49580</v>
      </c>
      <c r="O79" s="3501" t="s">
        <v>43</v>
      </c>
      <c r="P79" s="3502">
        <v>44560</v>
      </c>
      <c r="Q79" s="3501" t="s">
        <v>4441</v>
      </c>
      <c r="R79" s="3501" t="s">
        <v>4097</v>
      </c>
      <c r="S79" s="3501"/>
      <c r="T79" s="3501"/>
      <c r="U79" s="3501"/>
      <c r="V79" s="3503"/>
      <c r="W79" s="3501"/>
    </row>
    <row r="80" spans="1:23" ht="96" hidden="1">
      <c r="A80" s="3498">
        <v>75</v>
      </c>
      <c r="B80" s="3498" t="s">
        <v>4442</v>
      </c>
      <c r="C80" s="3498" t="s">
        <v>4443</v>
      </c>
      <c r="D80" s="3498" t="s">
        <v>4254</v>
      </c>
      <c r="E80" s="3498" t="s">
        <v>4254</v>
      </c>
      <c r="F80" s="3498" t="s">
        <v>4444</v>
      </c>
      <c r="G80" s="3498" t="s">
        <v>673</v>
      </c>
      <c r="H80" s="3498"/>
      <c r="I80" s="3498">
        <v>37002.480000000003</v>
      </c>
      <c r="J80" s="3498"/>
      <c r="K80" s="3498"/>
      <c r="L80" s="3498">
        <v>65500</v>
      </c>
      <c r="M80" s="3498">
        <v>17702</v>
      </c>
      <c r="N80" s="3498" t="e">
        <v>#DIV/0!</v>
      </c>
      <c r="O80" s="3498" t="s">
        <v>4445</v>
      </c>
      <c r="P80" s="3499" t="s">
        <v>4189</v>
      </c>
      <c r="Q80" s="3498" t="s">
        <v>4446</v>
      </c>
      <c r="R80" s="3498" t="s">
        <v>4378</v>
      </c>
      <c r="S80" s="3498"/>
      <c r="T80" s="3498" t="e">
        <v>#DIV/0!</v>
      </c>
      <c r="U80" s="3498" t="s">
        <v>4447</v>
      </c>
      <c r="V80" s="3500" t="e">
        <v>#DIV/0!</v>
      </c>
      <c r="W80" s="3498"/>
    </row>
    <row r="81" spans="1:23" ht="24" hidden="1">
      <c r="A81" s="3501">
        <v>76</v>
      </c>
      <c r="B81" s="3501" t="s">
        <v>4448</v>
      </c>
      <c r="C81" s="3501" t="s">
        <v>4449</v>
      </c>
      <c r="D81" s="3501" t="s">
        <v>3432</v>
      </c>
      <c r="E81" s="3501" t="s">
        <v>3432</v>
      </c>
      <c r="F81" s="3501" t="s">
        <v>4083</v>
      </c>
      <c r="G81" s="3501" t="s">
        <v>673</v>
      </c>
      <c r="H81" s="3501"/>
      <c r="I81" s="3501">
        <v>269.43</v>
      </c>
      <c r="J81" s="3501">
        <v>269.43</v>
      </c>
      <c r="K81" s="3501"/>
      <c r="L81" s="3501">
        <v>601.20000000000005</v>
      </c>
      <c r="M81" s="3501">
        <v>22314</v>
      </c>
      <c r="N81" s="3501">
        <v>22314</v>
      </c>
      <c r="O81" s="3501" t="s">
        <v>43</v>
      </c>
      <c r="P81" s="3502">
        <v>44567</v>
      </c>
      <c r="Q81" s="3501" t="s">
        <v>4450</v>
      </c>
      <c r="R81" s="3501" t="s">
        <v>4191</v>
      </c>
      <c r="S81" s="3501">
        <v>575.98</v>
      </c>
      <c r="T81" s="3501">
        <v>21378</v>
      </c>
      <c r="U81" s="3501"/>
      <c r="V81" s="3503">
        <v>1.04</v>
      </c>
      <c r="W81" s="3501" t="s">
        <v>4079</v>
      </c>
    </row>
    <row r="82" spans="1:23" ht="60" hidden="1">
      <c r="A82" s="3498">
        <v>77</v>
      </c>
      <c r="B82" s="3498" t="s">
        <v>4451</v>
      </c>
      <c r="C82" s="3498" t="s">
        <v>4452</v>
      </c>
      <c r="D82" s="3498" t="s">
        <v>3437</v>
      </c>
      <c r="E82" s="3498" t="s">
        <v>4108</v>
      </c>
      <c r="F82" s="3498" t="s">
        <v>4453</v>
      </c>
      <c r="G82" s="3498" t="s">
        <v>673</v>
      </c>
      <c r="H82" s="3498"/>
      <c r="I82" s="3498">
        <v>17264.64</v>
      </c>
      <c r="J82" s="3498">
        <v>5970.8</v>
      </c>
      <c r="K82" s="3498">
        <v>11293.84</v>
      </c>
      <c r="L82" s="3498">
        <v>16296</v>
      </c>
      <c r="M82" s="3498">
        <v>9439</v>
      </c>
      <c r="N82" s="3498">
        <v>27293</v>
      </c>
      <c r="O82" s="3498" t="s">
        <v>4454</v>
      </c>
      <c r="P82" s="3499">
        <v>44572</v>
      </c>
      <c r="Q82" s="3498" t="s">
        <v>4455</v>
      </c>
      <c r="R82" s="3498" t="s">
        <v>4345</v>
      </c>
      <c r="S82" s="3498">
        <v>29091.41</v>
      </c>
      <c r="T82" s="3498">
        <v>48723</v>
      </c>
      <c r="U82" s="3498"/>
      <c r="V82" s="3500">
        <v>0.56000000000000005</v>
      </c>
      <c r="W82" s="3498" t="s">
        <v>4079</v>
      </c>
    </row>
    <row r="83" spans="1:23" ht="72" hidden="1">
      <c r="A83" s="3501">
        <v>78</v>
      </c>
      <c r="B83" s="3501" t="s">
        <v>4456</v>
      </c>
      <c r="C83" s="3501" t="s">
        <v>4457</v>
      </c>
      <c r="D83" s="3501" t="s">
        <v>3432</v>
      </c>
      <c r="E83" s="3501" t="s">
        <v>4178</v>
      </c>
      <c r="F83" s="3501" t="s">
        <v>4458</v>
      </c>
      <c r="G83" s="3501" t="s">
        <v>3550</v>
      </c>
      <c r="H83" s="3501">
        <v>10142.94</v>
      </c>
      <c r="I83" s="3501">
        <v>39145.39</v>
      </c>
      <c r="J83" s="3501">
        <v>33000</v>
      </c>
      <c r="K83" s="3501"/>
      <c r="L83" s="3501">
        <v>250000</v>
      </c>
      <c r="M83" s="3501">
        <v>63864</v>
      </c>
      <c r="N83" s="3501">
        <v>75758</v>
      </c>
      <c r="O83" s="3501" t="s">
        <v>4459</v>
      </c>
      <c r="P83" s="3502" t="s">
        <v>4460</v>
      </c>
      <c r="Q83" s="3501" t="s">
        <v>4461</v>
      </c>
      <c r="R83" s="3501" t="s">
        <v>4462</v>
      </c>
      <c r="S83" s="3501"/>
      <c r="T83" s="3501"/>
      <c r="U83" s="3501" t="s">
        <v>4463</v>
      </c>
      <c r="V83" s="3503"/>
      <c r="W83" s="3501"/>
    </row>
    <row r="84" spans="1:23" ht="72" hidden="1">
      <c r="A84" s="3498">
        <v>79</v>
      </c>
      <c r="B84" s="3498" t="s">
        <v>4464</v>
      </c>
      <c r="C84" s="3498" t="s">
        <v>4465</v>
      </c>
      <c r="D84" s="3498" t="s">
        <v>3422</v>
      </c>
      <c r="E84" s="3498" t="s">
        <v>4466</v>
      </c>
      <c r="F84" s="3498" t="s">
        <v>4467</v>
      </c>
      <c r="G84" s="3498" t="s">
        <v>4468</v>
      </c>
      <c r="H84" s="3498">
        <v>7078.77</v>
      </c>
      <c r="I84" s="3498">
        <v>48597.599999999999</v>
      </c>
      <c r="J84" s="3498">
        <v>41927.449999999997</v>
      </c>
      <c r="K84" s="3498">
        <v>6670.15</v>
      </c>
      <c r="L84" s="3498">
        <v>76978.570000000007</v>
      </c>
      <c r="M84" s="3498">
        <v>15840</v>
      </c>
      <c r="N84" s="3498">
        <v>18360</v>
      </c>
      <c r="O84" s="3498" t="s">
        <v>43</v>
      </c>
      <c r="P84" s="3499">
        <v>44286</v>
      </c>
      <c r="Q84" s="3498" t="s">
        <v>4469</v>
      </c>
      <c r="R84" s="3498" t="s">
        <v>43</v>
      </c>
      <c r="S84" s="3498">
        <v>91230.68</v>
      </c>
      <c r="T84" s="3498">
        <v>21759</v>
      </c>
      <c r="U84" s="3498"/>
      <c r="V84" s="3500">
        <v>0.84</v>
      </c>
      <c r="W84" s="3498" t="s">
        <v>4079</v>
      </c>
    </row>
    <row r="85" spans="1:23" ht="48" hidden="1">
      <c r="A85" s="3501">
        <v>80</v>
      </c>
      <c r="B85" s="3501" t="s">
        <v>4470</v>
      </c>
      <c r="C85" s="3501" t="s">
        <v>4471</v>
      </c>
      <c r="D85" s="3501" t="s">
        <v>3460</v>
      </c>
      <c r="E85" s="3501" t="s">
        <v>4472</v>
      </c>
      <c r="F85" s="3501" t="s">
        <v>4473</v>
      </c>
      <c r="G85" s="3501" t="s">
        <v>673</v>
      </c>
      <c r="H85" s="3501"/>
      <c r="I85" s="3501">
        <v>365.83</v>
      </c>
      <c r="J85" s="3501">
        <v>365.83</v>
      </c>
      <c r="K85" s="3501"/>
      <c r="L85" s="3501">
        <v>2603.1</v>
      </c>
      <c r="M85" s="3501">
        <v>71156</v>
      </c>
      <c r="N85" s="3501">
        <v>71156</v>
      </c>
      <c r="O85" s="3501" t="s">
        <v>43</v>
      </c>
      <c r="P85" s="3502">
        <v>43980</v>
      </c>
      <c r="Q85" s="3501" t="s">
        <v>4474</v>
      </c>
      <c r="R85" s="3501" t="s">
        <v>4475</v>
      </c>
      <c r="S85" s="3501"/>
      <c r="T85" s="3501">
        <v>0</v>
      </c>
      <c r="U85" s="3501"/>
      <c r="V85" s="3503" t="e">
        <v>#DIV/0!</v>
      </c>
      <c r="W85" s="3501"/>
    </row>
    <row r="86" spans="1:23" ht="48" hidden="1">
      <c r="A86" s="3498"/>
      <c r="B86" s="3498"/>
      <c r="C86" s="3498"/>
      <c r="D86" s="3498"/>
      <c r="E86" s="3498"/>
      <c r="F86" s="3498"/>
      <c r="G86" s="3498"/>
      <c r="H86" s="3498"/>
      <c r="I86" s="3498"/>
      <c r="J86" s="3498"/>
      <c r="K86" s="3498"/>
      <c r="L86" s="3498"/>
      <c r="M86" s="3498"/>
      <c r="N86" s="3498"/>
      <c r="O86" s="3498"/>
      <c r="P86" s="3499"/>
      <c r="Q86" s="3498" t="s">
        <v>4476</v>
      </c>
      <c r="R86" s="3498"/>
      <c r="S86" s="3498"/>
      <c r="T86" s="3498"/>
      <c r="U86" s="3498"/>
      <c r="V86" s="3500"/>
      <c r="W86" s="3498"/>
    </row>
    <row r="87" spans="1:23" ht="36" hidden="1">
      <c r="A87" s="3501">
        <v>81</v>
      </c>
      <c r="B87" s="3501" t="s">
        <v>4477</v>
      </c>
      <c r="C87" s="3501" t="s">
        <v>4478</v>
      </c>
      <c r="D87" s="3501" t="s">
        <v>4479</v>
      </c>
      <c r="E87" s="3501" t="s">
        <v>4480</v>
      </c>
      <c r="F87" s="3501" t="s">
        <v>4481</v>
      </c>
      <c r="G87" s="3501" t="s">
        <v>3</v>
      </c>
      <c r="H87" s="3501">
        <v>12403.2</v>
      </c>
      <c r="I87" s="3501">
        <v>8602.56</v>
      </c>
      <c r="J87" s="3501">
        <v>8602.56</v>
      </c>
      <c r="K87" s="3501"/>
      <c r="L87" s="3501">
        <v>3409.424</v>
      </c>
      <c r="M87" s="3501">
        <v>3963</v>
      </c>
      <c r="N87" s="3501">
        <v>3963</v>
      </c>
      <c r="O87" s="3501" t="s">
        <v>4482</v>
      </c>
      <c r="P87" s="3502">
        <v>43837</v>
      </c>
      <c r="Q87" s="3501" t="s">
        <v>4483</v>
      </c>
      <c r="R87" s="3501" t="s">
        <v>4086</v>
      </c>
      <c r="S87" s="3501">
        <v>4261.78</v>
      </c>
      <c r="T87" s="3501">
        <v>4954</v>
      </c>
      <c r="U87" s="3501"/>
      <c r="V87" s="3503">
        <v>0.8</v>
      </c>
      <c r="W87" s="3501" t="s">
        <v>4079</v>
      </c>
    </row>
    <row r="88" spans="1:23" ht="36" hidden="1">
      <c r="A88" s="3498">
        <v>82</v>
      </c>
      <c r="B88" s="3498" t="s">
        <v>4484</v>
      </c>
      <c r="C88" s="3498" t="s">
        <v>4485</v>
      </c>
      <c r="D88" s="3498" t="s">
        <v>3442</v>
      </c>
      <c r="E88" s="3498" t="s">
        <v>4486</v>
      </c>
      <c r="F88" s="3498" t="s">
        <v>4487</v>
      </c>
      <c r="G88" s="3498" t="s">
        <v>3</v>
      </c>
      <c r="H88" s="3498">
        <v>6621.48</v>
      </c>
      <c r="I88" s="3498">
        <v>5935.8</v>
      </c>
      <c r="J88" s="3498">
        <v>5935.8</v>
      </c>
      <c r="K88" s="3498"/>
      <c r="L88" s="3498">
        <v>3411</v>
      </c>
      <c r="M88" s="3498">
        <v>5746</v>
      </c>
      <c r="N88" s="3498">
        <v>5746</v>
      </c>
      <c r="O88" s="3498" t="s">
        <v>4488</v>
      </c>
      <c r="P88" s="3499">
        <v>43977</v>
      </c>
      <c r="Q88" s="3498" t="s">
        <v>4489</v>
      </c>
      <c r="R88" s="3498" t="s">
        <v>4338</v>
      </c>
      <c r="S88" s="3498">
        <v>4263</v>
      </c>
      <c r="T88" s="3498">
        <v>7182</v>
      </c>
      <c r="U88" s="3498"/>
      <c r="V88" s="3500">
        <v>0.8</v>
      </c>
      <c r="W88" s="3498" t="s">
        <v>4079</v>
      </c>
    </row>
    <row r="89" spans="1:23" ht="36" hidden="1">
      <c r="A89" s="3501">
        <v>83</v>
      </c>
      <c r="B89" s="3501" t="s">
        <v>4490</v>
      </c>
      <c r="C89" s="3501" t="s">
        <v>4490</v>
      </c>
      <c r="D89" s="3501" t="s">
        <v>3503</v>
      </c>
      <c r="E89" s="3501" t="s">
        <v>4381</v>
      </c>
      <c r="F89" s="3501" t="s">
        <v>4491</v>
      </c>
      <c r="G89" s="3501" t="s">
        <v>3</v>
      </c>
      <c r="H89" s="3501">
        <v>10214.31</v>
      </c>
      <c r="I89" s="3501">
        <v>1892.11</v>
      </c>
      <c r="J89" s="3501">
        <v>1892.11</v>
      </c>
      <c r="K89" s="3501"/>
      <c r="L89" s="3501">
        <v>4002.4589999999998</v>
      </c>
      <c r="M89" s="3501">
        <v>3918</v>
      </c>
      <c r="N89" s="3501">
        <v>21153</v>
      </c>
      <c r="O89" s="3501" t="s">
        <v>4492</v>
      </c>
      <c r="P89" s="3502">
        <v>44147</v>
      </c>
      <c r="Q89" s="3501" t="s">
        <v>4493</v>
      </c>
      <c r="R89" s="3501" t="s">
        <v>4404</v>
      </c>
      <c r="S89" s="3501">
        <v>2426.37</v>
      </c>
      <c r="T89" s="3501">
        <v>12824</v>
      </c>
      <c r="U89" s="3501"/>
      <c r="V89" s="3503">
        <v>1.65</v>
      </c>
      <c r="W89" s="3501" t="s">
        <v>4079</v>
      </c>
    </row>
    <row r="90" spans="1:23" hidden="1">
      <c r="A90" s="3498"/>
      <c r="B90" s="3498"/>
      <c r="C90" s="3498"/>
      <c r="D90" s="3498"/>
      <c r="E90" s="3498"/>
      <c r="F90" s="3498" t="s">
        <v>4494</v>
      </c>
      <c r="G90" s="3498"/>
      <c r="H90" s="3498"/>
      <c r="I90" s="3498"/>
      <c r="J90" s="3498"/>
      <c r="K90" s="3498"/>
      <c r="L90" s="3498"/>
      <c r="M90" s="3498"/>
      <c r="N90" s="3498"/>
      <c r="O90" s="3498"/>
      <c r="P90" s="3499"/>
      <c r="Q90" s="3498"/>
      <c r="R90" s="3498"/>
      <c r="S90" s="3498"/>
      <c r="T90" s="3498"/>
      <c r="U90" s="3498"/>
      <c r="V90" s="3500"/>
      <c r="W90" s="3498"/>
    </row>
    <row r="91" spans="1:23" ht="48" hidden="1">
      <c r="A91" s="3501">
        <v>84</v>
      </c>
      <c r="B91" s="3501" t="s">
        <v>4495</v>
      </c>
      <c r="C91" s="3501" t="s">
        <v>4496</v>
      </c>
      <c r="D91" s="3501" t="s">
        <v>3503</v>
      </c>
      <c r="E91" s="3501" t="s">
        <v>4381</v>
      </c>
      <c r="F91" s="3501" t="s">
        <v>4497</v>
      </c>
      <c r="G91" s="3501" t="s">
        <v>3</v>
      </c>
      <c r="H91" s="3501">
        <v>14034</v>
      </c>
      <c r="I91" s="3501">
        <v>6998.6</v>
      </c>
      <c r="J91" s="3501">
        <v>6998.6</v>
      </c>
      <c r="K91" s="3501"/>
      <c r="L91" s="3501">
        <v>4204</v>
      </c>
      <c r="M91" s="3501">
        <v>2996</v>
      </c>
      <c r="N91" s="3501">
        <v>6007</v>
      </c>
      <c r="O91" s="3501" t="s">
        <v>4498</v>
      </c>
      <c r="P91" s="3502">
        <v>44171</v>
      </c>
      <c r="Q91" s="3501" t="s">
        <v>4499</v>
      </c>
      <c r="R91" s="3501" t="s">
        <v>4128</v>
      </c>
      <c r="S91" s="3501">
        <v>3034</v>
      </c>
      <c r="T91" s="3501">
        <v>4335</v>
      </c>
      <c r="U91" s="3501"/>
      <c r="V91" s="3503">
        <v>1.39</v>
      </c>
      <c r="W91" s="3501" t="s">
        <v>4079</v>
      </c>
    </row>
    <row r="92" spans="1:23" ht="36" hidden="1">
      <c r="A92" s="3498">
        <v>85</v>
      </c>
      <c r="B92" s="3498" t="s">
        <v>4500</v>
      </c>
      <c r="C92" s="3498" t="s">
        <v>4501</v>
      </c>
      <c r="D92" s="3498" t="s">
        <v>4502</v>
      </c>
      <c r="E92" s="3498" t="s">
        <v>4503</v>
      </c>
      <c r="F92" s="3498" t="s">
        <v>4504</v>
      </c>
      <c r="G92" s="3498" t="s">
        <v>3</v>
      </c>
      <c r="H92" s="3498">
        <v>9999.3700000000008</v>
      </c>
      <c r="I92" s="3498">
        <v>1957.15</v>
      </c>
      <c r="J92" s="3498">
        <v>1957.15</v>
      </c>
      <c r="K92" s="3498"/>
      <c r="L92" s="3498">
        <v>1049</v>
      </c>
      <c r="M92" s="3498">
        <v>1049</v>
      </c>
      <c r="N92" s="3498">
        <v>5360</v>
      </c>
      <c r="O92" s="3498" t="s">
        <v>4505</v>
      </c>
      <c r="P92" s="3499">
        <v>44211</v>
      </c>
      <c r="Q92" s="3498" t="s">
        <v>4506</v>
      </c>
      <c r="R92" s="3498" t="s">
        <v>4338</v>
      </c>
      <c r="S92" s="3498">
        <v>814.17439999999999</v>
      </c>
      <c r="T92" s="3498">
        <v>4160</v>
      </c>
      <c r="U92" s="3498"/>
      <c r="V92" s="3500">
        <v>1.29</v>
      </c>
      <c r="W92" s="3498" t="s">
        <v>4079</v>
      </c>
    </row>
    <row r="93" spans="1:23" ht="60" hidden="1">
      <c r="A93" s="3501">
        <v>86</v>
      </c>
      <c r="B93" s="3501" t="s">
        <v>4507</v>
      </c>
      <c r="C93" s="3501" t="s">
        <v>4508</v>
      </c>
      <c r="D93" s="3501" t="s">
        <v>3437</v>
      </c>
      <c r="E93" s="3501" t="s">
        <v>4108</v>
      </c>
      <c r="F93" s="3501" t="s">
        <v>4509</v>
      </c>
      <c r="G93" s="3501" t="s">
        <v>3</v>
      </c>
      <c r="H93" s="3501">
        <v>13333.3</v>
      </c>
      <c r="I93" s="3501">
        <v>22954.2</v>
      </c>
      <c r="J93" s="3501">
        <v>22954.2</v>
      </c>
      <c r="K93" s="3501"/>
      <c r="L93" s="3501">
        <v>6010.4170000000004</v>
      </c>
      <c r="M93" s="3501">
        <v>4508</v>
      </c>
      <c r="N93" s="3501">
        <v>2618</v>
      </c>
      <c r="O93" s="3501" t="s">
        <v>4510</v>
      </c>
      <c r="P93" s="3502">
        <v>44551</v>
      </c>
      <c r="Q93" s="3501" t="s">
        <v>4511</v>
      </c>
      <c r="R93" s="3501"/>
      <c r="S93" s="3501">
        <v>4466.3100000000004</v>
      </c>
      <c r="T93" s="3501">
        <v>1946</v>
      </c>
      <c r="U93" s="3501"/>
      <c r="V93" s="3503">
        <v>1.35</v>
      </c>
      <c r="W93" s="3501" t="s">
        <v>4079</v>
      </c>
    </row>
    <row r="94" spans="1:23" ht="60" hidden="1">
      <c r="A94" s="3498">
        <v>87</v>
      </c>
      <c r="B94" s="3498" t="s">
        <v>4512</v>
      </c>
      <c r="C94" s="3498" t="s">
        <v>4513</v>
      </c>
      <c r="D94" s="3498" t="s">
        <v>4514</v>
      </c>
      <c r="E94" s="3498" t="s">
        <v>4515</v>
      </c>
      <c r="F94" s="3498" t="s">
        <v>4516</v>
      </c>
      <c r="G94" s="3498" t="s">
        <v>3</v>
      </c>
      <c r="H94" s="3498">
        <v>8627.5</v>
      </c>
      <c r="I94" s="3498">
        <v>3661.48</v>
      </c>
      <c r="J94" s="3498">
        <v>3661.48</v>
      </c>
      <c r="K94" s="3498"/>
      <c r="L94" s="3498">
        <v>900.90139999999997</v>
      </c>
      <c r="M94" s="3498">
        <v>1044</v>
      </c>
      <c r="N94" s="3498">
        <v>2460</v>
      </c>
      <c r="O94" s="3498" t="s">
        <v>4517</v>
      </c>
      <c r="P94" s="3499">
        <v>44520</v>
      </c>
      <c r="Q94" s="3498" t="s">
        <v>4518</v>
      </c>
      <c r="R94" s="3498" t="s">
        <v>4404</v>
      </c>
      <c r="S94" s="3498">
        <v>1174.28</v>
      </c>
      <c r="T94" s="3498">
        <v>3207</v>
      </c>
      <c r="U94" s="3498"/>
      <c r="V94" s="3500">
        <v>0.77</v>
      </c>
      <c r="W94" s="3498" t="s">
        <v>4079</v>
      </c>
    </row>
    <row r="95" spans="1:23" ht="60" hidden="1">
      <c r="A95" s="3501">
        <v>88</v>
      </c>
      <c r="B95" s="3501" t="s">
        <v>4519</v>
      </c>
      <c r="C95" s="3501" t="s">
        <v>4520</v>
      </c>
      <c r="D95" s="3501" t="s">
        <v>4348</v>
      </c>
      <c r="E95" s="3501" t="s">
        <v>3510</v>
      </c>
      <c r="F95" s="3501" t="s">
        <v>4521</v>
      </c>
      <c r="G95" s="3501" t="s">
        <v>3315</v>
      </c>
      <c r="H95" s="3501">
        <v>16803.8</v>
      </c>
      <c r="I95" s="3501">
        <v>23578.400000000001</v>
      </c>
      <c r="J95" s="3501">
        <v>23578.400000000001</v>
      </c>
      <c r="K95" s="3501"/>
      <c r="L95" s="3501">
        <v>4422.3630000000003</v>
      </c>
      <c r="M95" s="3501">
        <v>2632</v>
      </c>
      <c r="N95" s="3501">
        <v>1876</v>
      </c>
      <c r="O95" s="3501" t="s">
        <v>4522</v>
      </c>
      <c r="P95" s="3502">
        <v>44425</v>
      </c>
      <c r="Q95" s="3501" t="s">
        <v>4523</v>
      </c>
      <c r="R95" s="3501"/>
      <c r="S95" s="3501">
        <v>4269.09</v>
      </c>
      <c r="T95" s="3501">
        <v>1811</v>
      </c>
      <c r="U95" s="3501"/>
      <c r="V95" s="3503">
        <v>1.04</v>
      </c>
      <c r="W95" s="3501" t="s">
        <v>4079</v>
      </c>
    </row>
    <row r="96" spans="1:23" ht="36" hidden="1">
      <c r="A96" s="3498">
        <v>89</v>
      </c>
      <c r="B96" s="3498" t="s">
        <v>4524</v>
      </c>
      <c r="C96" s="3498" t="s">
        <v>4525</v>
      </c>
      <c r="D96" s="3498" t="s">
        <v>3437</v>
      </c>
      <c r="E96" s="3498" t="s">
        <v>4108</v>
      </c>
      <c r="F96" s="3498" t="s">
        <v>43</v>
      </c>
      <c r="G96" s="3498" t="s">
        <v>3</v>
      </c>
      <c r="H96" s="3498">
        <v>13333.2</v>
      </c>
      <c r="I96" s="3498">
        <v>6185.81</v>
      </c>
      <c r="J96" s="3498">
        <v>6185.81</v>
      </c>
      <c r="K96" s="3498"/>
      <c r="L96" s="3498">
        <v>3950</v>
      </c>
      <c r="M96" s="3498">
        <v>6386</v>
      </c>
      <c r="N96" s="3498">
        <v>6386</v>
      </c>
      <c r="O96" s="3498" t="s">
        <v>4083</v>
      </c>
      <c r="P96" s="3499">
        <v>44222</v>
      </c>
      <c r="Q96" s="3498" t="s">
        <v>4526</v>
      </c>
      <c r="R96" s="3498"/>
      <c r="S96" s="3498">
        <v>6000</v>
      </c>
      <c r="T96" s="3498">
        <v>9700</v>
      </c>
      <c r="U96" s="3498"/>
      <c r="V96" s="3500">
        <v>0.66</v>
      </c>
      <c r="W96" s="3498" t="s">
        <v>4079</v>
      </c>
    </row>
    <row r="97" spans="1:23" ht="24" hidden="1">
      <c r="A97" s="3501">
        <v>90</v>
      </c>
      <c r="B97" s="3501" t="s">
        <v>4527</v>
      </c>
      <c r="C97" s="3501" t="s">
        <v>4527</v>
      </c>
      <c r="D97" s="3501" t="s">
        <v>3503</v>
      </c>
      <c r="E97" s="3501" t="s">
        <v>4381</v>
      </c>
      <c r="F97" s="3501"/>
      <c r="G97" s="3501" t="s">
        <v>3</v>
      </c>
      <c r="H97" s="3501">
        <v>13126.62</v>
      </c>
      <c r="I97" s="3501">
        <v>13126.62</v>
      </c>
      <c r="J97" s="3501">
        <v>13126.62</v>
      </c>
      <c r="K97" s="3501"/>
      <c r="L97" s="3501">
        <v>1159.1510000000001</v>
      </c>
      <c r="M97" s="3501">
        <v>883</v>
      </c>
      <c r="N97" s="3501">
        <v>883</v>
      </c>
      <c r="O97" s="3501" t="s">
        <v>4528</v>
      </c>
      <c r="P97" s="3502">
        <v>44119</v>
      </c>
      <c r="Q97" s="3501" t="s">
        <v>4529</v>
      </c>
      <c r="R97" s="3501"/>
      <c r="S97" s="3501">
        <v>1655.93</v>
      </c>
      <c r="T97" s="3501">
        <v>1262</v>
      </c>
      <c r="U97" s="3501"/>
      <c r="V97" s="3503">
        <v>0.7</v>
      </c>
      <c r="W97" s="3501" t="s">
        <v>4079</v>
      </c>
    </row>
    <row r="98" spans="1:23" ht="60" hidden="1">
      <c r="A98" s="3498">
        <v>91</v>
      </c>
      <c r="B98" s="3498" t="s">
        <v>4530</v>
      </c>
      <c r="C98" s="3498" t="s">
        <v>4531</v>
      </c>
      <c r="D98" s="3498" t="s">
        <v>3528</v>
      </c>
      <c r="E98" s="3498" t="s">
        <v>4532</v>
      </c>
      <c r="F98" s="3498" t="s">
        <v>4533</v>
      </c>
      <c r="G98" s="3498" t="s">
        <v>3</v>
      </c>
      <c r="H98" s="3498">
        <v>23887.03</v>
      </c>
      <c r="I98" s="3498">
        <v>31472</v>
      </c>
      <c r="J98" s="3498">
        <v>31472</v>
      </c>
      <c r="K98" s="3498"/>
      <c r="L98" s="3498">
        <v>12054.255999999999</v>
      </c>
      <c r="M98" s="3498">
        <v>3830</v>
      </c>
      <c r="N98" s="3498">
        <v>3830</v>
      </c>
      <c r="O98" s="3498" t="s">
        <v>4534</v>
      </c>
      <c r="P98" s="3499">
        <v>43984</v>
      </c>
      <c r="Q98" s="3498" t="s">
        <v>4535</v>
      </c>
      <c r="R98" s="3498"/>
      <c r="S98" s="3498">
        <v>16525.45</v>
      </c>
      <c r="T98" s="3498">
        <v>5251</v>
      </c>
      <c r="U98" s="3498"/>
      <c r="V98" s="3500">
        <v>0.73</v>
      </c>
      <c r="W98" s="3498" t="s">
        <v>4079</v>
      </c>
    </row>
    <row r="99" spans="1:23" hidden="1">
      <c r="A99" s="3501"/>
      <c r="B99" s="3501"/>
      <c r="C99" s="3501" t="s">
        <v>4536</v>
      </c>
      <c r="D99" s="3501"/>
      <c r="E99" s="3501"/>
      <c r="F99" s="3501"/>
      <c r="G99" s="3501"/>
      <c r="H99" s="3501"/>
      <c r="I99" s="3501"/>
      <c r="J99" s="3501"/>
      <c r="K99" s="3501"/>
      <c r="L99" s="3501"/>
      <c r="M99" s="3501"/>
      <c r="N99" s="3501"/>
      <c r="O99" s="3501"/>
      <c r="P99" s="3502"/>
      <c r="Q99" s="3501"/>
      <c r="R99" s="3501"/>
      <c r="S99" s="3501"/>
      <c r="T99" s="3501"/>
      <c r="U99" s="3501"/>
      <c r="V99" s="3503"/>
      <c r="W99" s="3501"/>
    </row>
    <row r="100" spans="1:23" ht="36" hidden="1">
      <c r="A100" s="3498">
        <v>92</v>
      </c>
      <c r="B100" s="3498" t="s">
        <v>4537</v>
      </c>
      <c r="C100" s="3498" t="s">
        <v>4538</v>
      </c>
      <c r="D100" s="3498" t="s">
        <v>3437</v>
      </c>
      <c r="E100" s="3498" t="s">
        <v>4108</v>
      </c>
      <c r="F100" s="3498" t="s">
        <v>4539</v>
      </c>
      <c r="G100" s="3498" t="s">
        <v>3</v>
      </c>
      <c r="H100" s="3498">
        <v>11107.2</v>
      </c>
      <c r="I100" s="3498">
        <v>5628.86</v>
      </c>
      <c r="J100" s="3498">
        <v>5628.86</v>
      </c>
      <c r="K100" s="3498"/>
      <c r="L100" s="3498">
        <v>2206.6</v>
      </c>
      <c r="M100" s="3498">
        <v>3920</v>
      </c>
      <c r="N100" s="3498">
        <v>3920</v>
      </c>
      <c r="O100" s="3498" t="s">
        <v>4540</v>
      </c>
      <c r="P100" s="3499">
        <v>43865</v>
      </c>
      <c r="Q100" s="3498" t="s">
        <v>4541</v>
      </c>
      <c r="R100" s="3498"/>
      <c r="S100" s="3498">
        <v>2752</v>
      </c>
      <c r="T100" s="3498">
        <v>4889</v>
      </c>
      <c r="U100" s="3498"/>
      <c r="V100" s="3500">
        <v>0.8</v>
      </c>
      <c r="W100" s="3498" t="s">
        <v>4079</v>
      </c>
    </row>
    <row r="101" spans="1:23" hidden="1">
      <c r="A101" s="3501"/>
      <c r="B101" s="3501"/>
      <c r="C101" s="3501"/>
      <c r="D101" s="3501"/>
      <c r="E101" s="3501"/>
      <c r="F101" s="3501" t="s">
        <v>4542</v>
      </c>
      <c r="G101" s="3501"/>
      <c r="H101" s="3501"/>
      <c r="I101" s="3501"/>
      <c r="J101" s="3501"/>
      <c r="K101" s="3501"/>
      <c r="L101" s="3501"/>
      <c r="M101" s="3501"/>
      <c r="N101" s="3501"/>
      <c r="O101" s="3501"/>
      <c r="P101" s="3502"/>
      <c r="Q101" s="3501"/>
      <c r="R101" s="3501"/>
      <c r="S101" s="3501"/>
      <c r="T101" s="3501"/>
      <c r="U101" s="3501"/>
      <c r="V101" s="3503"/>
      <c r="W101" s="3501"/>
    </row>
    <row r="102" spans="1:23" ht="48" hidden="1">
      <c r="A102" s="3498">
        <v>93</v>
      </c>
      <c r="B102" s="3498" t="s">
        <v>4543</v>
      </c>
      <c r="C102" s="3498" t="s">
        <v>4415</v>
      </c>
      <c r="D102" s="3498" t="s">
        <v>3427</v>
      </c>
      <c r="E102" s="3498" t="s">
        <v>4416</v>
      </c>
      <c r="F102" s="3498" t="s">
        <v>4417</v>
      </c>
      <c r="G102" s="3498" t="s">
        <v>4418</v>
      </c>
      <c r="H102" s="3498"/>
      <c r="I102" s="3498">
        <v>11235.4</v>
      </c>
      <c r="J102" s="3498">
        <v>11235.4</v>
      </c>
      <c r="K102" s="3498"/>
      <c r="L102" s="3498">
        <v>43033</v>
      </c>
      <c r="M102" s="3498">
        <v>38301</v>
      </c>
      <c r="N102" s="3498">
        <v>38301</v>
      </c>
      <c r="O102" s="3498" t="s">
        <v>4544</v>
      </c>
      <c r="P102" s="3499">
        <v>44531</v>
      </c>
      <c r="Q102" s="3498" t="s">
        <v>4420</v>
      </c>
      <c r="R102" s="3498" t="s">
        <v>4421</v>
      </c>
      <c r="S102" s="3498"/>
      <c r="T102" s="3498">
        <v>0</v>
      </c>
      <c r="U102" s="3498"/>
      <c r="V102" s="3500" t="e">
        <v>#DIV/0!</v>
      </c>
      <c r="W102" s="3498"/>
    </row>
    <row r="103" spans="1:23" ht="36" hidden="1">
      <c r="A103" s="3501">
        <v>94</v>
      </c>
      <c r="B103" s="3501" t="s">
        <v>4545</v>
      </c>
      <c r="C103" s="3501" t="s">
        <v>3524</v>
      </c>
      <c r="D103" s="3501" t="s">
        <v>3498</v>
      </c>
      <c r="E103" s="3501" t="s">
        <v>4231</v>
      </c>
      <c r="F103" s="3501" t="s">
        <v>4546</v>
      </c>
      <c r="G103" s="3501" t="s">
        <v>4257</v>
      </c>
      <c r="H103" s="3501">
        <v>11500</v>
      </c>
      <c r="I103" s="3501">
        <v>10735.26</v>
      </c>
      <c r="J103" s="3501">
        <v>10735.26</v>
      </c>
      <c r="K103" s="3501"/>
      <c r="L103" s="3501">
        <v>17001.41</v>
      </c>
      <c r="M103" s="3501">
        <v>15837</v>
      </c>
      <c r="N103" s="3501">
        <v>15837</v>
      </c>
      <c r="O103" s="3501" t="s">
        <v>4547</v>
      </c>
      <c r="P103" s="3502">
        <v>44436</v>
      </c>
      <c r="Q103" s="3501" t="s">
        <v>4548</v>
      </c>
      <c r="R103" s="3501" t="s">
        <v>4163</v>
      </c>
      <c r="S103" s="3501">
        <v>10671.41</v>
      </c>
      <c r="T103" s="3501">
        <v>9941</v>
      </c>
      <c r="U103" s="3501"/>
      <c r="V103" s="3503">
        <v>1.59</v>
      </c>
      <c r="W103" s="3501" t="s">
        <v>4079</v>
      </c>
    </row>
    <row r="104" spans="1:23" ht="36" hidden="1">
      <c r="A104" s="3498">
        <v>95</v>
      </c>
      <c r="B104" s="3498" t="s">
        <v>4549</v>
      </c>
      <c r="C104" s="3498" t="s">
        <v>4550</v>
      </c>
      <c r="D104" s="3498" t="s">
        <v>3437</v>
      </c>
      <c r="E104" s="3498" t="s">
        <v>4108</v>
      </c>
      <c r="F104" s="3498" t="s">
        <v>4551</v>
      </c>
      <c r="G104" s="3498" t="s">
        <v>4552</v>
      </c>
      <c r="H104" s="3498"/>
      <c r="I104" s="3498">
        <v>55410</v>
      </c>
      <c r="J104" s="3498">
        <v>55410</v>
      </c>
      <c r="K104" s="3498"/>
      <c r="L104" s="3498">
        <v>50000</v>
      </c>
      <c r="M104" s="3498">
        <v>9024</v>
      </c>
      <c r="N104" s="3498">
        <v>9024</v>
      </c>
      <c r="O104" s="3498" t="s">
        <v>4553</v>
      </c>
      <c r="P104" s="3499">
        <v>44440</v>
      </c>
      <c r="Q104" s="3498" t="s">
        <v>4554</v>
      </c>
      <c r="R104" s="3498" t="s">
        <v>4275</v>
      </c>
      <c r="S104" s="3498"/>
      <c r="T104" s="3498">
        <v>0</v>
      </c>
      <c r="U104" s="3498"/>
      <c r="V104" s="3500" t="e">
        <v>#DIV/0!</v>
      </c>
      <c r="W104" s="3498"/>
    </row>
    <row r="105" spans="1:23" ht="24" hidden="1">
      <c r="A105" s="3501">
        <v>96</v>
      </c>
      <c r="B105" s="3501" t="s">
        <v>4555</v>
      </c>
      <c r="C105" s="3501" t="s">
        <v>4556</v>
      </c>
      <c r="D105" s="3501" t="s">
        <v>4348</v>
      </c>
      <c r="E105" s="3501" t="s">
        <v>4348</v>
      </c>
      <c r="F105" s="3501" t="s">
        <v>4553</v>
      </c>
      <c r="G105" s="3501" t="s">
        <v>4557</v>
      </c>
      <c r="H105" s="3501">
        <v>38515</v>
      </c>
      <c r="I105" s="3501">
        <v>29000</v>
      </c>
      <c r="J105" s="3501">
        <v>29000</v>
      </c>
      <c r="K105" s="3501"/>
      <c r="L105" s="3501">
        <v>15000</v>
      </c>
      <c r="M105" s="3501">
        <v>5172</v>
      </c>
      <c r="N105" s="3501">
        <v>5172</v>
      </c>
      <c r="O105" s="3501" t="s">
        <v>4558</v>
      </c>
      <c r="P105" s="3502">
        <v>44409</v>
      </c>
      <c r="Q105" s="3501" t="s">
        <v>4559</v>
      </c>
      <c r="R105" s="3501"/>
      <c r="S105" s="3501"/>
      <c r="T105" s="3501">
        <v>0</v>
      </c>
      <c r="U105" s="3501"/>
      <c r="V105" s="3503" t="e">
        <v>#DIV/0!</v>
      </c>
      <c r="W105" s="3501"/>
    </row>
    <row r="106" spans="1:23" ht="24" hidden="1">
      <c r="A106" s="3498">
        <v>97</v>
      </c>
      <c r="B106" s="3498" t="s">
        <v>4560</v>
      </c>
      <c r="C106" s="3498" t="s">
        <v>4561</v>
      </c>
      <c r="D106" s="3498" t="s">
        <v>3498</v>
      </c>
      <c r="E106" s="3498" t="s">
        <v>4231</v>
      </c>
      <c r="F106" s="3498" t="s">
        <v>3636</v>
      </c>
      <c r="G106" s="3498" t="s">
        <v>21</v>
      </c>
      <c r="H106" s="3498"/>
      <c r="I106" s="3498">
        <v>73041.88</v>
      </c>
      <c r="J106" s="3498">
        <v>48546.98</v>
      </c>
      <c r="K106" s="3498">
        <v>24494.9</v>
      </c>
      <c r="L106" s="3498">
        <v>183370</v>
      </c>
      <c r="M106" s="3498">
        <v>25105</v>
      </c>
      <c r="N106" s="3498">
        <v>37772</v>
      </c>
      <c r="O106" s="3498" t="s">
        <v>4562</v>
      </c>
      <c r="P106" s="3499">
        <v>44501</v>
      </c>
      <c r="Q106" s="3498" t="s">
        <v>4563</v>
      </c>
      <c r="R106" s="3498"/>
      <c r="S106" s="3498"/>
      <c r="T106" s="3498">
        <v>0</v>
      </c>
      <c r="U106" s="3498"/>
      <c r="V106" s="3500" t="e">
        <v>#DIV/0!</v>
      </c>
      <c r="W106" s="3498"/>
    </row>
    <row r="107" spans="1:23" ht="72" hidden="1">
      <c r="A107" s="3501">
        <v>98</v>
      </c>
      <c r="B107" s="3501" t="s">
        <v>3489</v>
      </c>
      <c r="C107" s="3501" t="s">
        <v>4564</v>
      </c>
      <c r="D107" s="3501" t="s">
        <v>3460</v>
      </c>
      <c r="E107" s="3501" t="s">
        <v>4430</v>
      </c>
      <c r="F107" s="3501" t="s">
        <v>3491</v>
      </c>
      <c r="G107" s="3501" t="s">
        <v>4290</v>
      </c>
      <c r="H107" s="3501"/>
      <c r="I107" s="3501">
        <v>138490</v>
      </c>
      <c r="J107" s="3501">
        <v>104336.17</v>
      </c>
      <c r="K107" s="3501">
        <v>34153.83</v>
      </c>
      <c r="L107" s="3501">
        <v>618571.42859999998</v>
      </c>
      <c r="M107" s="3501">
        <v>44665</v>
      </c>
      <c r="N107" s="3501">
        <v>59286</v>
      </c>
      <c r="O107" s="3501" t="s">
        <v>4565</v>
      </c>
      <c r="P107" s="3502">
        <v>44348</v>
      </c>
      <c r="Q107" s="3501" t="s">
        <v>4566</v>
      </c>
      <c r="R107" s="3501" t="s">
        <v>4163</v>
      </c>
      <c r="S107" s="3501"/>
      <c r="T107" s="3501">
        <v>0</v>
      </c>
      <c r="U107" s="3501" t="s">
        <v>4463</v>
      </c>
      <c r="V107" s="3503" t="e">
        <v>#DIV/0!</v>
      </c>
      <c r="W107" s="3501"/>
    </row>
    <row r="108" spans="1:23" ht="24" hidden="1">
      <c r="A108" s="3498">
        <v>99</v>
      </c>
      <c r="B108" s="3498" t="s">
        <v>3467</v>
      </c>
      <c r="C108" s="3498" t="s">
        <v>4567</v>
      </c>
      <c r="D108" s="3498" t="s">
        <v>3427</v>
      </c>
      <c r="E108" s="3498" t="s">
        <v>4186</v>
      </c>
      <c r="F108" s="3498" t="s">
        <v>43</v>
      </c>
      <c r="G108" s="3498" t="s">
        <v>3435</v>
      </c>
      <c r="H108" s="3498">
        <v>2085.4899999999998</v>
      </c>
      <c r="I108" s="3498">
        <v>15121.75</v>
      </c>
      <c r="J108" s="3498">
        <v>12195.47</v>
      </c>
      <c r="K108" s="3498">
        <v>2926.28</v>
      </c>
      <c r="L108" s="3498">
        <v>60000</v>
      </c>
      <c r="M108" s="3498">
        <v>39678</v>
      </c>
      <c r="N108" s="3498">
        <v>49199</v>
      </c>
      <c r="O108" s="3498" t="s">
        <v>4568</v>
      </c>
      <c r="P108" s="3499">
        <v>44287</v>
      </c>
      <c r="Q108" s="3498" t="s">
        <v>4569</v>
      </c>
      <c r="R108" s="3498"/>
      <c r="S108" s="3498"/>
      <c r="T108" s="3498">
        <v>0</v>
      </c>
      <c r="U108" s="3498"/>
      <c r="V108" s="3500" t="e">
        <v>#DIV/0!</v>
      </c>
      <c r="W108" s="3498"/>
    </row>
    <row r="109" spans="1:23" ht="24">
      <c r="A109" s="3501">
        <v>100</v>
      </c>
      <c r="B109" s="3501" t="s">
        <v>3463</v>
      </c>
      <c r="C109" s="3501" t="s">
        <v>4570</v>
      </c>
      <c r="D109" s="3501" t="s">
        <v>3432</v>
      </c>
      <c r="E109" s="3501" t="s">
        <v>4178</v>
      </c>
      <c r="F109" s="3501" t="s">
        <v>4571</v>
      </c>
      <c r="G109" s="3501" t="s">
        <v>21</v>
      </c>
      <c r="H109" s="3501">
        <v>2699.92</v>
      </c>
      <c r="I109" s="3501">
        <v>11428.07</v>
      </c>
      <c r="J109" s="3501">
        <v>6959.3</v>
      </c>
      <c r="K109" s="3501">
        <v>4468.7700000000004</v>
      </c>
      <c r="L109" s="3501">
        <v>36600</v>
      </c>
      <c r="M109" s="3501">
        <v>32026</v>
      </c>
      <c r="N109" s="3501">
        <v>52591</v>
      </c>
      <c r="O109" s="3501" t="s">
        <v>43</v>
      </c>
      <c r="P109" s="3502">
        <v>44256</v>
      </c>
      <c r="Q109" s="3501" t="s">
        <v>4572</v>
      </c>
      <c r="R109" s="3501"/>
      <c r="S109" s="3501"/>
      <c r="T109" s="3501">
        <v>0</v>
      </c>
      <c r="U109" s="3501"/>
      <c r="V109" s="3503" t="e">
        <v>#DIV/0!</v>
      </c>
      <c r="W109" s="3501"/>
    </row>
    <row r="110" spans="1:23" ht="24" hidden="1">
      <c r="A110" s="3498">
        <v>101</v>
      </c>
      <c r="B110" s="3498" t="s">
        <v>4573</v>
      </c>
      <c r="C110" s="3498" t="s">
        <v>4574</v>
      </c>
      <c r="D110" s="3498" t="s">
        <v>3460</v>
      </c>
      <c r="E110" s="3498" t="s">
        <v>4575</v>
      </c>
      <c r="F110" s="3498" t="s">
        <v>3461</v>
      </c>
      <c r="G110" s="3498" t="s">
        <v>673</v>
      </c>
      <c r="H110" s="3498"/>
      <c r="I110" s="3498">
        <v>32414.42</v>
      </c>
      <c r="J110" s="3498">
        <v>24206.3</v>
      </c>
      <c r="K110" s="3498">
        <v>8208.1200000000008</v>
      </c>
      <c r="L110" s="3498">
        <v>105000</v>
      </c>
      <c r="M110" s="3498">
        <v>32393</v>
      </c>
      <c r="N110" s="3498">
        <v>43377</v>
      </c>
      <c r="O110" s="3498" t="s">
        <v>3462</v>
      </c>
      <c r="P110" s="3499">
        <v>44256</v>
      </c>
      <c r="Q110" s="3498" t="s">
        <v>4576</v>
      </c>
      <c r="R110" s="3498" t="s">
        <v>4345</v>
      </c>
      <c r="S110" s="3498"/>
      <c r="T110" s="3498">
        <v>0</v>
      </c>
      <c r="U110" s="3498"/>
      <c r="V110" s="3500" t="e">
        <v>#DIV/0!</v>
      </c>
      <c r="W110" s="3498"/>
    </row>
    <row r="111" spans="1:23" ht="24">
      <c r="A111" s="3501">
        <v>102</v>
      </c>
      <c r="B111" s="3501" t="s">
        <v>4577</v>
      </c>
      <c r="C111" s="3501" t="s">
        <v>4578</v>
      </c>
      <c r="D111" s="3501" t="s">
        <v>3432</v>
      </c>
      <c r="E111" s="3501" t="s">
        <v>4430</v>
      </c>
      <c r="F111" s="3501" t="s">
        <v>4579</v>
      </c>
      <c r="G111" s="3501" t="s">
        <v>21</v>
      </c>
      <c r="H111" s="3501"/>
      <c r="I111" s="3501">
        <v>52838</v>
      </c>
      <c r="J111" s="3501">
        <v>52838</v>
      </c>
      <c r="K111" s="3501"/>
      <c r="L111" s="3501">
        <v>300000</v>
      </c>
      <c r="M111" s="3501">
        <v>56777</v>
      </c>
      <c r="N111" s="3501">
        <v>56777</v>
      </c>
      <c r="O111" s="3501" t="s">
        <v>4580</v>
      </c>
      <c r="P111" s="3502">
        <v>44228</v>
      </c>
      <c r="Q111" s="3501" t="s">
        <v>4581</v>
      </c>
      <c r="R111" s="3501" t="s">
        <v>4097</v>
      </c>
      <c r="S111" s="3501"/>
      <c r="T111" s="3501">
        <v>0</v>
      </c>
      <c r="U111" s="3501" t="s">
        <v>4463</v>
      </c>
      <c r="V111" s="3503" t="e">
        <v>#DIV/0!</v>
      </c>
      <c r="W111" s="3501"/>
    </row>
    <row r="112" spans="1:23" ht="36" hidden="1">
      <c r="A112" s="3498">
        <v>103</v>
      </c>
      <c r="B112" s="3498" t="s">
        <v>4582</v>
      </c>
      <c r="C112" s="3498" t="s">
        <v>4583</v>
      </c>
      <c r="D112" s="3498" t="s">
        <v>3427</v>
      </c>
      <c r="E112" s="3498" t="s">
        <v>4219</v>
      </c>
      <c r="F112" s="3498" t="s">
        <v>4584</v>
      </c>
      <c r="G112" s="3498" t="s">
        <v>4257</v>
      </c>
      <c r="H112" s="3498"/>
      <c r="I112" s="3498">
        <v>114200</v>
      </c>
      <c r="J112" s="3498"/>
      <c r="K112" s="3498"/>
      <c r="L112" s="3498">
        <v>280000</v>
      </c>
      <c r="M112" s="3498">
        <v>24518</v>
      </c>
      <c r="N112" s="3498" t="e">
        <v>#DIV/0!</v>
      </c>
      <c r="O112" s="3498" t="s">
        <v>3429</v>
      </c>
      <c r="P112" s="3499">
        <v>44197</v>
      </c>
      <c r="Q112" s="3498" t="s">
        <v>4585</v>
      </c>
      <c r="R112" s="3498" t="s">
        <v>4093</v>
      </c>
      <c r="S112" s="3498"/>
      <c r="T112" s="3498" t="e">
        <v>#DIV/0!</v>
      </c>
      <c r="U112" s="3498"/>
      <c r="V112" s="3500" t="e">
        <v>#DIV/0!</v>
      </c>
      <c r="W112" s="3498"/>
    </row>
    <row r="113" spans="1:23" ht="24" hidden="1">
      <c r="A113" s="3501">
        <v>104</v>
      </c>
      <c r="B113" s="3501" t="s">
        <v>4586</v>
      </c>
      <c r="C113" s="3501" t="s">
        <v>4587</v>
      </c>
      <c r="D113" s="3501" t="s">
        <v>3442</v>
      </c>
      <c r="E113" s="3501" t="s">
        <v>4588</v>
      </c>
      <c r="F113" s="3501" t="s">
        <v>4589</v>
      </c>
      <c r="G113" s="3501" t="s">
        <v>4408</v>
      </c>
      <c r="H113" s="3501"/>
      <c r="I113" s="3501">
        <v>24251.599999999999</v>
      </c>
      <c r="J113" s="3501">
        <v>24251.599999999999</v>
      </c>
      <c r="K113" s="3501"/>
      <c r="L113" s="3501">
        <v>108437</v>
      </c>
      <c r="M113" s="3501">
        <v>44713</v>
      </c>
      <c r="N113" s="3501">
        <v>44713</v>
      </c>
      <c r="O113" s="3501" t="s">
        <v>3444</v>
      </c>
      <c r="P113" s="3502">
        <v>44197</v>
      </c>
      <c r="Q113" s="3501" t="s">
        <v>4590</v>
      </c>
      <c r="R113" s="3501"/>
      <c r="S113" s="3501"/>
      <c r="T113" s="3501">
        <v>0</v>
      </c>
      <c r="U113" s="3501"/>
      <c r="V113" s="3503" t="e">
        <v>#DIV/0!</v>
      </c>
      <c r="W113" s="3501"/>
    </row>
    <row r="114" spans="1:23" ht="36" hidden="1">
      <c r="A114" s="3498">
        <v>105</v>
      </c>
      <c r="B114" s="3498" t="s">
        <v>4591</v>
      </c>
      <c r="C114" s="3498" t="s">
        <v>4592</v>
      </c>
      <c r="D114" s="3498" t="s">
        <v>4348</v>
      </c>
      <c r="E114" s="3498" t="s">
        <v>3510</v>
      </c>
      <c r="F114" s="3498" t="s">
        <v>4593</v>
      </c>
      <c r="G114" s="3498" t="s">
        <v>3</v>
      </c>
      <c r="H114" s="3498">
        <v>54502.1</v>
      </c>
      <c r="I114" s="3498">
        <v>2472.46</v>
      </c>
      <c r="J114" s="3498">
        <v>2472.46</v>
      </c>
      <c r="K114" s="3498"/>
      <c r="L114" s="3498">
        <v>6763.7079999999996</v>
      </c>
      <c r="M114" s="3498">
        <v>1241</v>
      </c>
      <c r="N114" s="3498">
        <v>27356</v>
      </c>
      <c r="O114" s="3498" t="s">
        <v>4594</v>
      </c>
      <c r="P114" s="3499">
        <v>44152</v>
      </c>
      <c r="Q114" s="3498" t="s">
        <v>4595</v>
      </c>
      <c r="R114" s="3498" t="s">
        <v>4293</v>
      </c>
      <c r="S114" s="3498">
        <v>9662.44</v>
      </c>
      <c r="T114" s="3498">
        <v>39080</v>
      </c>
      <c r="U114" s="3498"/>
      <c r="V114" s="3500">
        <v>0.7</v>
      </c>
      <c r="W114" s="3498" t="s">
        <v>4079</v>
      </c>
    </row>
    <row r="115" spans="1:23" ht="60" hidden="1">
      <c r="A115" s="3501">
        <v>106</v>
      </c>
      <c r="B115" s="3501" t="s">
        <v>4596</v>
      </c>
      <c r="C115" s="3501" t="s">
        <v>4597</v>
      </c>
      <c r="D115" s="3501" t="s">
        <v>3503</v>
      </c>
      <c r="E115" s="3501" t="s">
        <v>4598</v>
      </c>
      <c r="F115" s="3501" t="s">
        <v>4599</v>
      </c>
      <c r="G115" s="3501" t="s">
        <v>3</v>
      </c>
      <c r="H115" s="3501">
        <v>24120.12</v>
      </c>
      <c r="I115" s="3501">
        <v>25929.51</v>
      </c>
      <c r="J115" s="3501">
        <v>23846.59</v>
      </c>
      <c r="K115" s="3501">
        <v>2082.92</v>
      </c>
      <c r="L115" s="3501">
        <v>6830.53</v>
      </c>
      <c r="M115" s="3501">
        <v>2634</v>
      </c>
      <c r="N115" s="3501">
        <v>2864</v>
      </c>
      <c r="O115" s="3501" t="s">
        <v>4600</v>
      </c>
      <c r="P115" s="3502">
        <v>44419</v>
      </c>
      <c r="Q115" s="3501" t="s">
        <v>4601</v>
      </c>
      <c r="R115" s="3501" t="s">
        <v>4105</v>
      </c>
      <c r="S115" s="3501">
        <v>9715.0400000000009</v>
      </c>
      <c r="T115" s="3501">
        <v>4074</v>
      </c>
      <c r="U115" s="3501"/>
      <c r="V115" s="3503">
        <v>0.7</v>
      </c>
      <c r="W115" s="3501" t="s">
        <v>4079</v>
      </c>
    </row>
    <row r="116" spans="1:23" ht="36" hidden="1">
      <c r="A116" s="3498">
        <v>107</v>
      </c>
      <c r="B116" s="3498" t="s">
        <v>4602</v>
      </c>
      <c r="C116" s="3498" t="s">
        <v>4602</v>
      </c>
      <c r="D116" s="3498" t="s">
        <v>4479</v>
      </c>
      <c r="E116" s="3498" t="s">
        <v>4480</v>
      </c>
      <c r="F116" s="3498" t="s">
        <v>43</v>
      </c>
      <c r="G116" s="3498" t="s">
        <v>3</v>
      </c>
      <c r="H116" s="3498">
        <v>9552.59</v>
      </c>
      <c r="I116" s="3498">
        <v>5262.22</v>
      </c>
      <c r="J116" s="3498">
        <v>5262.22</v>
      </c>
      <c r="K116" s="3498"/>
      <c r="L116" s="3498">
        <v>1609.6063999999999</v>
      </c>
      <c r="M116" s="3498">
        <v>1685</v>
      </c>
      <c r="N116" s="3498">
        <v>3059</v>
      </c>
      <c r="O116" s="3498" t="s">
        <v>4603</v>
      </c>
      <c r="P116" s="3499">
        <v>44145</v>
      </c>
      <c r="Q116" s="3498" t="s">
        <v>4604</v>
      </c>
      <c r="R116" s="3498" t="s">
        <v>4378</v>
      </c>
      <c r="S116" s="3498">
        <v>2483.7600000000002</v>
      </c>
      <c r="T116" s="3498">
        <v>4720</v>
      </c>
      <c r="U116" s="3498"/>
      <c r="V116" s="3500">
        <v>0.65</v>
      </c>
      <c r="W116" s="3498" t="s">
        <v>4079</v>
      </c>
    </row>
    <row r="117" spans="1:23" ht="24" hidden="1">
      <c r="A117" s="3501">
        <v>108</v>
      </c>
      <c r="B117" s="3501" t="s">
        <v>4605</v>
      </c>
      <c r="C117" s="3501" t="s">
        <v>4606</v>
      </c>
      <c r="D117" s="3501" t="s">
        <v>3503</v>
      </c>
      <c r="E117" s="3501" t="s">
        <v>4381</v>
      </c>
      <c r="F117" s="3501" t="s">
        <v>4607</v>
      </c>
      <c r="G117" s="3501" t="s">
        <v>21</v>
      </c>
      <c r="H117" s="3501"/>
      <c r="I117" s="3501">
        <v>11084.7</v>
      </c>
      <c r="J117" s="3501">
        <v>11084.7</v>
      </c>
      <c r="K117" s="3501"/>
      <c r="L117" s="3501">
        <v>26714</v>
      </c>
      <c r="M117" s="3501">
        <v>24100</v>
      </c>
      <c r="N117" s="3501">
        <v>24100</v>
      </c>
      <c r="O117" s="3501" t="s">
        <v>43</v>
      </c>
      <c r="P117" s="3502">
        <v>44348</v>
      </c>
      <c r="Q117" s="3501" t="s">
        <v>4608</v>
      </c>
      <c r="R117" s="3501" t="s">
        <v>4132</v>
      </c>
      <c r="S117" s="3501"/>
      <c r="T117" s="3501">
        <v>0</v>
      </c>
      <c r="U117" s="3501"/>
      <c r="V117" s="3503" t="e">
        <v>#DIV/0!</v>
      </c>
      <c r="W117" s="3501"/>
    </row>
    <row r="118" spans="1:23" ht="24" hidden="1">
      <c r="A118" s="3498">
        <v>109</v>
      </c>
      <c r="B118" s="3498" t="s">
        <v>4609</v>
      </c>
      <c r="C118" s="3498" t="s">
        <v>4606</v>
      </c>
      <c r="D118" s="3498" t="s">
        <v>3503</v>
      </c>
      <c r="E118" s="3498" t="s">
        <v>4381</v>
      </c>
      <c r="F118" s="3498" t="s">
        <v>4607</v>
      </c>
      <c r="G118" s="3498" t="s">
        <v>21</v>
      </c>
      <c r="H118" s="3498"/>
      <c r="I118" s="3498">
        <v>11586.64</v>
      </c>
      <c r="J118" s="3498">
        <v>11586.64</v>
      </c>
      <c r="K118" s="3498"/>
      <c r="L118" s="3498">
        <v>27924</v>
      </c>
      <c r="M118" s="3498">
        <v>24100</v>
      </c>
      <c r="N118" s="3498">
        <v>24100</v>
      </c>
      <c r="O118" s="3498" t="s">
        <v>43</v>
      </c>
      <c r="P118" s="3499">
        <v>44287</v>
      </c>
      <c r="Q118" s="3498" t="s">
        <v>4610</v>
      </c>
      <c r="R118" s="3498" t="s">
        <v>4132</v>
      </c>
      <c r="S118" s="3498"/>
      <c r="T118" s="3498">
        <v>0</v>
      </c>
      <c r="U118" s="3498"/>
      <c r="V118" s="3500" t="e">
        <v>#DIV/0!</v>
      </c>
      <c r="W118" s="3498"/>
    </row>
    <row r="119" spans="1:23" hidden="1">
      <c r="A119" s="3501">
        <v>110</v>
      </c>
      <c r="B119" s="3501"/>
      <c r="C119" s="3501"/>
      <c r="D119" s="3501"/>
      <c r="E119" s="3501"/>
      <c r="F119" s="3501"/>
      <c r="G119" s="3501"/>
      <c r="H119" s="3501"/>
      <c r="I119" s="3501"/>
      <c r="J119" s="3501"/>
      <c r="K119" s="3501"/>
      <c r="L119" s="3501"/>
      <c r="M119" s="3501" t="e">
        <v>#DIV/0!</v>
      </c>
      <c r="N119" s="3501" t="e">
        <v>#DIV/0!</v>
      </c>
      <c r="O119" s="3501"/>
      <c r="P119" s="3502"/>
      <c r="Q119" s="3501"/>
      <c r="R119" s="3501"/>
      <c r="S119" s="3501"/>
      <c r="T119" s="3501" t="e">
        <v>#DIV/0!</v>
      </c>
      <c r="U119" s="3501"/>
      <c r="V119" s="3503" t="e">
        <v>#DIV/0!</v>
      </c>
      <c r="W119" s="3501"/>
    </row>
  </sheetData>
  <autoFilter ref="A1:W119">
    <filterColumn colId="3">
      <filters>
        <filter val="朝阳区"/>
        <filter val="丰台区"/>
        <filter val="海淀区"/>
        <filter val="西城区"/>
      </filters>
    </filterColumn>
    <filterColumn colId="6">
      <filters>
        <filter val="办公"/>
        <filter val="办公、地下车库"/>
      </filters>
    </filterColumn>
    <filterColumn colId="12">
      <customFilters>
        <customFilter operator="greaterThanOrEqual" val="30000"/>
      </customFilters>
    </filterColumn>
  </autoFilter>
  <phoneticPr fontId="13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1443</v>
      </c>
      <c r="B1" s="1470"/>
      <c r="C1" s="1859" t="s">
        <v>1545</v>
      </c>
      <c r="D1" s="198"/>
      <c r="E1" s="198"/>
      <c r="F1" s="198"/>
      <c r="G1" s="1126">
        <f>MATCH(B1,'数据-取费表'!A6:A16,0)+5</f>
        <v>7</v>
      </c>
      <c r="H1" s="1061" t="str">
        <f>IF(ISERROR(FIND("住宅",B1)),"非住宅","住宅")</f>
        <v>非住宅</v>
      </c>
    </row>
    <row r="2" spans="1:8" s="200" customFormat="1" ht="18" customHeight="1">
      <c r="A2" s="201" t="s">
        <v>1444</v>
      </c>
      <c r="B2" s="3400">
        <f ca="1">ROUND(IF(D2="——",C52/10000,C52/10000-E2),4)</f>
        <v>19671.857100000001</v>
      </c>
      <c r="C2" s="199" t="s">
        <v>1445</v>
      </c>
      <c r="D2" s="1853" t="s">
        <v>43</v>
      </c>
      <c r="E2" s="1169" t="e">
        <f ca="1">SUMIF(INDIRECT("'"&amp;G2&amp;"'"&amp;"!A:A"),"承租人权益价值",INDIRECT("'"&amp;G2&amp;"'"&amp;"!c:c"))</f>
        <v>#REF!</v>
      </c>
      <c r="F2" s="1854" t="s">
        <v>1445</v>
      </c>
      <c r="G2" s="1855"/>
    </row>
    <row r="3" spans="1:8" s="200" customFormat="1" ht="18" customHeight="1" thickBot="1">
      <c r="A3" s="203" t="s">
        <v>1446</v>
      </c>
      <c r="B3" s="204">
        <f ca="1">ROUND(B2*10000/(IF(B1="",'数据-汇总表'!E3,INDIRECT("'数据-取费表'!k"&amp;$G$1))),0)</f>
        <v>6127</v>
      </c>
      <c r="C3" s="199" t="s">
        <v>1447</v>
      </c>
      <c r="D3" s="199"/>
      <c r="E3" s="199"/>
      <c r="F3" s="199"/>
      <c r="G3" s="199"/>
    </row>
    <row r="4" spans="1:8" s="208" customFormat="1" ht="15.75">
      <c r="A4" s="205" t="s">
        <v>1448</v>
      </c>
      <c r="B4" s="206"/>
      <c r="C4" s="206"/>
      <c r="D4" s="206"/>
      <c r="E4" s="206"/>
      <c r="F4" s="206"/>
      <c r="G4" s="207"/>
    </row>
    <row r="5" spans="1:8" s="214" customFormat="1" ht="13.5" customHeight="1">
      <c r="A5" s="255" t="s">
        <v>1449</v>
      </c>
      <c r="B5" s="210" t="s">
        <v>1450</v>
      </c>
      <c r="C5" s="211">
        <f ca="1">C6+C7+C8</f>
        <v>6421110</v>
      </c>
      <c r="D5" s="211" t="s">
        <v>1451</v>
      </c>
      <c r="E5" s="212" t="s">
        <v>1452</v>
      </c>
      <c r="F5" s="212" t="s">
        <v>1453</v>
      </c>
      <c r="G5" s="213"/>
    </row>
    <row r="6" spans="1:8" s="214" customFormat="1" ht="13.5" customHeight="1">
      <c r="A6" s="778" t="s">
        <v>1454</v>
      </c>
      <c r="B6" s="215" t="s">
        <v>1455</v>
      </c>
      <c r="C6" s="216"/>
      <c r="D6" s="217"/>
      <c r="E6" s="218"/>
      <c r="F6" s="218"/>
      <c r="G6" s="219"/>
    </row>
    <row r="7" spans="1:8" s="214" customFormat="1" ht="13.5" customHeight="1">
      <c r="A7" s="778" t="s">
        <v>1456</v>
      </c>
      <c r="B7" s="215" t="s">
        <v>1457</v>
      </c>
      <c r="C7" s="220">
        <f>ROUND(C6*F7,0)</f>
        <v>0</v>
      </c>
      <c r="D7" s="220"/>
      <c r="E7" s="218"/>
      <c r="F7" s="221">
        <f>IF(项目基本情况!B8="出让",0,'数据-取费表'!B48+'数据-取费表'!B49)</f>
        <v>3.0499999999999999E-2</v>
      </c>
      <c r="G7" s="219"/>
    </row>
    <row r="8" spans="1:8" s="223" customFormat="1">
      <c r="A8" s="778" t="s">
        <v>1458</v>
      </c>
      <c r="B8" s="215" t="s">
        <v>1459</v>
      </c>
      <c r="C8" s="220">
        <f ca="1">IF(G8="已包含在土地购买价格中",0,C9+C10)</f>
        <v>6421110</v>
      </c>
      <c r="D8" s="222"/>
      <c r="E8" s="220"/>
      <c r="F8" s="221"/>
      <c r="G8" s="1856"/>
    </row>
    <row r="9" spans="1:8" s="214" customFormat="1" ht="13.5" customHeight="1">
      <c r="A9" s="779" t="s">
        <v>355</v>
      </c>
      <c r="B9" s="224" t="s">
        <v>1460</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1462</v>
      </c>
      <c r="C10" s="225">
        <f ca="1">ROUND(D10*E10,0)</f>
        <v>6421110</v>
      </c>
      <c r="D10" s="845">
        <f ca="1">IF(B1="",'数据-汇总表'!E6,IF(INDIRECT("'数据-取费表'!c"&amp;$G$1)="住宅",INDIRECT("'数据-取费表'!s"&amp;$G$1),INDIRECT("'数据-取费表'!k"&amp;$G$1)+INDIRECT("'数据-取费表'!s"&amp;$G$1)))</f>
        <v>32105.55</v>
      </c>
      <c r="E10" s="225">
        <f>'数据-取费表'!B28</f>
        <v>200</v>
      </c>
      <c r="F10" s="221"/>
      <c r="G10" s="226"/>
    </row>
    <row r="11" spans="1:8" s="214" customFormat="1" ht="13.5" hidden="1" customHeight="1">
      <c r="A11" s="227" t="s">
        <v>4</v>
      </c>
      <c r="B11" s="215" t="s">
        <v>1463</v>
      </c>
      <c r="C11" s="211"/>
      <c r="D11" s="847"/>
      <c r="E11" s="218"/>
      <c r="F11" s="218"/>
      <c r="G11" s="219"/>
    </row>
    <row r="12" spans="1:8" s="214" customFormat="1" ht="13.5" hidden="1" customHeight="1">
      <c r="A12" s="227" t="s">
        <v>5</v>
      </c>
      <c r="B12" s="215" t="s">
        <v>1546</v>
      </c>
      <c r="C12" s="211">
        <v>0</v>
      </c>
      <c r="D12" s="847"/>
      <c r="E12" s="228"/>
      <c r="F12" s="221">
        <v>3.0499999999999999E-2</v>
      </c>
      <c r="G12" s="219"/>
    </row>
    <row r="13" spans="1:8" s="214" customFormat="1" ht="13.5" hidden="1" customHeight="1">
      <c r="A13" s="227" t="s">
        <v>6</v>
      </c>
      <c r="B13" s="215" t="s">
        <v>1547</v>
      </c>
      <c r="C13" s="211"/>
      <c r="D13" s="847"/>
      <c r="E13" s="218"/>
      <c r="F13" s="218"/>
      <c r="G13" s="219"/>
    </row>
    <row r="14" spans="1:8" s="214" customFormat="1" ht="13.5" hidden="1" customHeight="1">
      <c r="A14" s="227" t="s">
        <v>7</v>
      </c>
      <c r="B14" s="215" t="s">
        <v>1459</v>
      </c>
      <c r="C14" s="211"/>
      <c r="D14" s="847"/>
      <c r="E14" s="218"/>
      <c r="F14" s="218"/>
      <c r="G14" s="219" t="s">
        <v>1548</v>
      </c>
    </row>
    <row r="15" spans="1:8" s="214" customFormat="1" ht="13.5" hidden="1" customHeight="1">
      <c r="A15" s="227" t="s">
        <v>8</v>
      </c>
      <c r="B15" s="215" t="s">
        <v>1549</v>
      </c>
      <c r="C15" s="220"/>
      <c r="D15" s="847"/>
      <c r="E15" s="218"/>
      <c r="F15" s="218"/>
      <c r="G15" s="219" t="s">
        <v>1550</v>
      </c>
    </row>
    <row r="16" spans="1:8" s="214" customFormat="1" ht="13.5" hidden="1" customHeight="1">
      <c r="A16" s="227" t="s">
        <v>9</v>
      </c>
      <c r="B16" s="215" t="s">
        <v>1459</v>
      </c>
      <c r="C16" s="220"/>
      <c r="D16" s="847"/>
      <c r="E16" s="218"/>
      <c r="F16" s="218"/>
      <c r="G16" s="219"/>
    </row>
    <row r="17" spans="1:7" s="214" customFormat="1" ht="13.5" hidden="1" customHeight="1">
      <c r="A17" s="227" t="s">
        <v>10</v>
      </c>
      <c r="B17" s="215" t="s">
        <v>1551</v>
      </c>
      <c r="C17" s="229"/>
      <c r="D17" s="848"/>
      <c r="E17" s="229"/>
      <c r="F17" s="229"/>
      <c r="G17" s="219" t="s">
        <v>1550</v>
      </c>
    </row>
    <row r="18" spans="1:7" s="214" customFormat="1" ht="13.5" hidden="1" customHeight="1">
      <c r="A18" s="227" t="s">
        <v>11</v>
      </c>
      <c r="B18" s="215" t="s">
        <v>1552</v>
      </c>
      <c r="C18" s="220">
        <v>0</v>
      </c>
      <c r="D18" s="847"/>
      <c r="E18" s="218"/>
      <c r="F18" s="221">
        <v>3.0499999999999999E-2</v>
      </c>
      <c r="G18" s="219" t="s">
        <v>1553</v>
      </c>
    </row>
    <row r="19" spans="1:7" s="223" customFormat="1" ht="13.5" customHeight="1">
      <c r="A19" s="255" t="s">
        <v>1554</v>
      </c>
      <c r="B19" s="210" t="s">
        <v>1555</v>
      </c>
      <c r="C19" s="211">
        <f ca="1">IF(G19="已包含在土地取得成本中","0",ROUND(D19*E19,0))</f>
        <v>5778999</v>
      </c>
      <c r="D19" s="849">
        <f ca="1">D9+D10</f>
        <v>32105.55</v>
      </c>
      <c r="E19" s="211">
        <f>'数据-取费表'!B31</f>
        <v>180</v>
      </c>
      <c r="F19" s="231"/>
      <c r="G19" s="1856"/>
    </row>
    <row r="20" spans="1:7" s="214" customFormat="1" ht="13.5" customHeight="1">
      <c r="A20" s="255" t="s">
        <v>1556</v>
      </c>
      <c r="B20" s="210" t="s">
        <v>1557</v>
      </c>
      <c r="C20" s="232">
        <f ca="1">ROUND((C5+C19)*F20,0)</f>
        <v>244002</v>
      </c>
      <c r="D20" s="232"/>
      <c r="E20" s="232"/>
      <c r="F20" s="233">
        <f>'数据-取费表'!B37</f>
        <v>0.02</v>
      </c>
      <c r="G20" s="234" t="s">
        <v>1558</v>
      </c>
    </row>
    <row r="21" spans="1:7" s="214" customFormat="1" ht="13.5" customHeight="1">
      <c r="A21" s="255" t="s">
        <v>1559</v>
      </c>
      <c r="B21" s="210" t="s">
        <v>1560</v>
      </c>
      <c r="C21" s="235">
        <f>F21</f>
        <v>0.02</v>
      </c>
      <c r="D21" s="236" t="s">
        <v>1561</v>
      </c>
      <c r="E21" s="232"/>
      <c r="F21" s="233">
        <f>'数据-取费表'!B38</f>
        <v>0.02</v>
      </c>
      <c r="G21" s="234" t="s">
        <v>1562</v>
      </c>
    </row>
    <row r="22" spans="1:7" s="214" customFormat="1" ht="13.5" customHeight="1">
      <c r="A22" s="255" t="s">
        <v>1563</v>
      </c>
      <c r="B22" s="210" t="s">
        <v>1564</v>
      </c>
      <c r="C22" s="1127">
        <f ca="1">ROUND(SUM(C23:C25),0)</f>
        <v>864746</v>
      </c>
      <c r="D22" s="235">
        <f ca="1">C26</f>
        <v>6.9999999999999999E-4</v>
      </c>
      <c r="E22" s="236" t="s">
        <v>1561</v>
      </c>
      <c r="F22" s="237">
        <f ca="1">'数据-取费表'!B40</f>
        <v>3.4500000000000003E-2</v>
      </c>
      <c r="G22" s="234" t="str">
        <f>IF('数据-取费表'!B22&lt;=1,"单利计息","复利计息")</f>
        <v>复利计息</v>
      </c>
    </row>
    <row r="23" spans="1:7" s="214" customFormat="1" ht="13.5" customHeight="1">
      <c r="A23" s="780" t="s">
        <v>1454</v>
      </c>
      <c r="B23" s="215" t="s">
        <v>1565</v>
      </c>
      <c r="C23" s="1128">
        <f ca="1">ROUND(IF('数据-取费表'!B22&lt;=1,C5*F22*'数据-取费表'!B22,C5*(POWER((1+F22),'数据-取费表'!B22)-1)),0)</f>
        <v>450699</v>
      </c>
      <c r="D23" s="238"/>
      <c r="E23" s="238"/>
      <c r="F23" s="239"/>
      <c r="G23" s="240" t="s">
        <v>1566</v>
      </c>
    </row>
    <row r="24" spans="1:7" s="214" customFormat="1" ht="13.5" customHeight="1">
      <c r="A24" s="780" t="s">
        <v>1456</v>
      </c>
      <c r="B24" s="215" t="s">
        <v>1567</v>
      </c>
      <c r="C24" s="1128">
        <f ca="1">ROUND(IF('数据-取费表'!B22&lt;=1,C19*F22*('数据-取费表'!B19/2+'数据-取费表'!B20),C19*(POWER((1+F22),('数据-取费表'!B19/2+'数据-取费表'!B20))-1)),0)</f>
        <v>405629</v>
      </c>
      <c r="D24" s="238"/>
      <c r="E24" s="238"/>
      <c r="F24" s="239"/>
      <c r="G24" s="240" t="s">
        <v>1568</v>
      </c>
    </row>
    <row r="25" spans="1:7" s="214" customFormat="1" ht="24">
      <c r="A25" s="780" t="s">
        <v>1458</v>
      </c>
      <c r="B25" s="215" t="s">
        <v>1569</v>
      </c>
      <c r="C25" s="1128">
        <f ca="1">ROUND(IF('数据-取费表'!B22&lt;=1,C20*F22*'数据-取费表'!B22/2,C20*(POWER((1+F22),'数据-取费表'!B22/2)-1)),0)</f>
        <v>8418</v>
      </c>
      <c r="D25" s="238"/>
      <c r="E25" s="241"/>
      <c r="F25" s="239"/>
      <c r="G25" s="242" t="s">
        <v>1570</v>
      </c>
    </row>
    <row r="26" spans="1:7" s="214" customFormat="1">
      <c r="A26" s="780" t="s">
        <v>350</v>
      </c>
      <c r="B26" s="215" t="s">
        <v>1493</v>
      </c>
      <c r="C26" s="238">
        <f ca="1">ROUND(IF('数据-取费表'!B22&lt;=1,F21*F22*'数据-取费表'!B22/2,F21*(POWER((1+F22),'数据-取费表'!B22/2)-1)),4)</f>
        <v>6.9999999999999999E-4</v>
      </c>
      <c r="D26" s="238"/>
      <c r="E26" s="241"/>
      <c r="F26" s="239"/>
      <c r="G26" s="243"/>
    </row>
    <row r="27" spans="1:7" s="214" customFormat="1" ht="24.75">
      <c r="A27" s="255" t="s">
        <v>1494</v>
      </c>
      <c r="B27" s="244" t="s">
        <v>1495</v>
      </c>
      <c r="C27" s="245">
        <f ca="1">C28</f>
        <v>1866617</v>
      </c>
      <c r="D27" s="235">
        <f ca="1">C29</f>
        <v>3.0000000000000001E-3</v>
      </c>
      <c r="E27" s="236" t="s">
        <v>1496</v>
      </c>
      <c r="F27" s="246">
        <f ca="1">IF(B1="",'数据-取费表'!Q16,INDIRECT("'数据-取费表'!q"&amp;$G$1))</f>
        <v>0.15</v>
      </c>
      <c r="G27" s="247" t="s">
        <v>1497</v>
      </c>
    </row>
    <row r="28" spans="1:7" s="214" customFormat="1" ht="13.5" customHeight="1">
      <c r="A28" s="780" t="s">
        <v>346</v>
      </c>
      <c r="B28" s="248" t="s">
        <v>1498</v>
      </c>
      <c r="C28" s="249">
        <f ca="1">ROUND((C5+C19+C20)*F27,0)</f>
        <v>1866617</v>
      </c>
      <c r="D28" s="235"/>
      <c r="E28" s="236"/>
      <c r="F28" s="246"/>
      <c r="G28" s="247"/>
    </row>
    <row r="29" spans="1:7" s="214" customFormat="1" ht="13.5" customHeight="1">
      <c r="A29" s="780" t="s">
        <v>347</v>
      </c>
      <c r="B29" s="248" t="s">
        <v>1499</v>
      </c>
      <c r="C29" s="238">
        <f ca="1">ROUND(C21*F27,4)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16441467</v>
      </c>
      <c r="D31" s="230"/>
      <c r="E31" s="211"/>
      <c r="F31" s="250"/>
      <c r="G31" s="234" t="s">
        <v>1504</v>
      </c>
    </row>
    <row r="32" spans="1:7" s="208" customFormat="1" ht="15.75">
      <c r="A32" s="252" t="s">
        <v>1571</v>
      </c>
      <c r="B32" s="253"/>
      <c r="C32" s="253"/>
      <c r="D32" s="253"/>
      <c r="E32" s="253"/>
      <c r="F32" s="253"/>
      <c r="G32" s="254"/>
    </row>
    <row r="33" spans="1:7" s="214" customFormat="1" ht="13.5" customHeight="1">
      <c r="A33" s="255" t="s">
        <v>337</v>
      </c>
      <c r="B33" s="210" t="s">
        <v>1572</v>
      </c>
      <c r="C33" s="256">
        <f ca="1">SUM(C34:C38)</f>
        <v>174333137</v>
      </c>
      <c r="D33" s="232"/>
      <c r="E33" s="212"/>
      <c r="F33" s="241"/>
      <c r="G33" s="234"/>
    </row>
    <row r="34" spans="1:7" s="258" customFormat="1" ht="13.5" customHeight="1">
      <c r="A34" s="780" t="s">
        <v>346</v>
      </c>
      <c r="B34" s="215" t="s">
        <v>1507</v>
      </c>
      <c r="C34" s="220">
        <f ca="1">ROUND(IF(B1="",SUMPRODUCT('数据-取费表'!K6:K14,'数据-取费表'!L6:L14),INDIRECT("'数据-取费表'!l"&amp;$G$1)*INDIRECT("'数据-取费表'!k"&amp;$G$1)+'数据-取费表'!L14*INDIRECT("'数据-取费表'!S"&amp;$G$1)),0)</f>
        <v>160527750</v>
      </c>
      <c r="D34" s="217"/>
      <c r="E34" s="220"/>
      <c r="F34" s="257"/>
      <c r="G34" s="219"/>
    </row>
    <row r="35" spans="1:7" ht="13.5" customHeight="1">
      <c r="A35" s="780" t="s">
        <v>351</v>
      </c>
      <c r="B35" s="215" t="s">
        <v>1509</v>
      </c>
      <c r="C35" s="220">
        <f ca="1">ROUND(C34*F35,0)</f>
        <v>4815833</v>
      </c>
      <c r="D35" s="220"/>
      <c r="E35" s="220"/>
      <c r="F35" s="259">
        <f>'数据-取费表'!B33</f>
        <v>0.03</v>
      </c>
      <c r="G35" s="219" t="s">
        <v>1510</v>
      </c>
    </row>
    <row r="36" spans="1:7" ht="24">
      <c r="A36" s="780"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80" t="s">
        <v>353</v>
      </c>
      <c r="B37" s="215" t="s">
        <v>1513</v>
      </c>
      <c r="C37" s="249">
        <f ca="1">ROUND(E37*D37,0)</f>
        <v>5778999</v>
      </c>
      <c r="D37" s="217">
        <f ca="1">D19</f>
        <v>32105.55</v>
      </c>
      <c r="E37" s="249">
        <f>'数据-取费表'!B35</f>
        <v>180</v>
      </c>
      <c r="F37" s="259"/>
      <c r="G37" s="261"/>
    </row>
    <row r="38" spans="1:7" ht="13.5" customHeight="1">
      <c r="A38" s="780" t="s">
        <v>354</v>
      </c>
      <c r="B38" s="215" t="s">
        <v>1515</v>
      </c>
      <c r="C38" s="220">
        <f ca="1">ROUND(C34*F38,0)</f>
        <v>3210555</v>
      </c>
      <c r="D38" s="220"/>
      <c r="E38" s="220"/>
      <c r="F38" s="259">
        <f>'数据-取费表'!B36</f>
        <v>0.02</v>
      </c>
      <c r="G38" s="219" t="s">
        <v>1510</v>
      </c>
    </row>
    <row r="39" spans="1:7" s="214" customFormat="1" ht="13.5" customHeight="1">
      <c r="A39" s="255" t="s">
        <v>1516</v>
      </c>
      <c r="B39" s="210" t="s">
        <v>1517</v>
      </c>
      <c r="C39" s="232">
        <f ca="1">ROUND(C33*F20,0)</f>
        <v>3486663</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6134783</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ROUND(IF('数据-取费表'!B22&lt;=1,C33*F22*'数据-取费表'!B20/2,C33*(POWER((1+F22),'数据-取费表'!B20/2)-1)),0)</f>
        <v>6014493</v>
      </c>
      <c r="D42" s="238"/>
      <c r="E42" s="238"/>
      <c r="F42" s="239"/>
      <c r="G42" s="3816" t="s">
        <v>1573</v>
      </c>
    </row>
    <row r="43" spans="1:7" ht="13.5" customHeight="1">
      <c r="A43" s="780" t="s">
        <v>347</v>
      </c>
      <c r="B43" s="215" t="s">
        <v>1527</v>
      </c>
      <c r="C43" s="238">
        <f ca="1">ROUND(IF('数据-取费表'!B22&lt;=1,C39*F22*'数据-取费表'!B20/2,C39*(POWER((1+F22),'数据-取费表'!B20/2)-1)),0)</f>
        <v>120290</v>
      </c>
      <c r="D43" s="238"/>
      <c r="E43" s="238"/>
      <c r="F43" s="239"/>
      <c r="G43" s="3817"/>
    </row>
    <row r="44" spans="1:7" ht="13.5" customHeight="1">
      <c r="A44" s="780" t="s">
        <v>348</v>
      </c>
      <c r="B44" s="215" t="s">
        <v>1528</v>
      </c>
      <c r="C44" s="238">
        <f ca="1">ROUND(IF('数据-取费表'!B22&lt;=1,C40*F22*'数据-取费表'!B20/2,C40*(POWER((1+F22),'数据-取费表'!B20/2)-1)),4)</f>
        <v>6.9999999999999999E-4</v>
      </c>
      <c r="D44" s="238"/>
      <c r="E44" s="238"/>
      <c r="F44" s="239"/>
      <c r="G44" s="3818"/>
    </row>
    <row r="45" spans="1:7" s="214" customFormat="1" ht="13.5" customHeight="1">
      <c r="A45" s="255" t="s">
        <v>1529</v>
      </c>
      <c r="B45" s="244" t="s">
        <v>1495</v>
      </c>
      <c r="C45" s="245">
        <f ca="1">C46</f>
        <v>26672970</v>
      </c>
      <c r="D45" s="235">
        <f ca="1">C47</f>
        <v>3.0000000000000001E-3</v>
      </c>
      <c r="E45" s="236" t="s">
        <v>1521</v>
      </c>
      <c r="F45" s="246">
        <f ca="1">F27</f>
        <v>0.15</v>
      </c>
      <c r="G45" s="247" t="s">
        <v>1530</v>
      </c>
    </row>
    <row r="46" spans="1:7" s="214" customFormat="1" ht="13.5" customHeight="1">
      <c r="A46" s="780" t="s">
        <v>346</v>
      </c>
      <c r="B46" s="248" t="s">
        <v>1531</v>
      </c>
      <c r="C46" s="249">
        <f ca="1">ROUND((C33+C39)*F27,0)</f>
        <v>26672970</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228198866</v>
      </c>
      <c r="D49" s="232"/>
      <c r="E49" s="232"/>
      <c r="F49" s="264"/>
      <c r="G49" s="234" t="s">
        <v>1536</v>
      </c>
    </row>
    <row r="50" spans="1:7" s="258" customFormat="1">
      <c r="A50" s="255" t="s">
        <v>1537</v>
      </c>
      <c r="B50" s="210" t="s">
        <v>1538</v>
      </c>
      <c r="C50" s="232"/>
      <c r="D50" s="232"/>
      <c r="E50" s="232"/>
      <c r="F50" s="264">
        <f>IF('数据-取费表'!B24=0,'数据-取费表'!N16,1)</f>
        <v>0.79</v>
      </c>
      <c r="G50" s="247"/>
    </row>
    <row r="51" spans="1:7" ht="16.5" customHeight="1">
      <c r="A51" s="255" t="s">
        <v>1540</v>
      </c>
      <c r="B51" s="210" t="s">
        <v>1575</v>
      </c>
      <c r="C51" s="232">
        <f ca="1">ROUND(C49*F50,0)</f>
        <v>180277104</v>
      </c>
      <c r="D51" s="232"/>
      <c r="E51" s="232"/>
      <c r="F51" s="264"/>
      <c r="G51" s="234" t="s">
        <v>1542</v>
      </c>
    </row>
    <row r="52" spans="1:7" s="208" customFormat="1" ht="16.5" thickBot="1">
      <c r="A52" s="265" t="s">
        <v>1543</v>
      </c>
      <c r="B52" s="266"/>
      <c r="C52" s="267">
        <f ca="1">C31+C51</f>
        <v>196718571</v>
      </c>
      <c r="D52" s="266"/>
      <c r="E52" s="266"/>
      <c r="F52" s="266"/>
      <c r="G52" s="268"/>
    </row>
    <row r="55" spans="1:7" ht="15">
      <c r="B55" s="270" t="s">
        <v>1544</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1576</v>
      </c>
      <c r="B1" s="1191"/>
      <c r="C1" s="1192"/>
      <c r="D1" s="1190"/>
      <c r="E1" s="2782"/>
      <c r="F1" s="2782"/>
      <c r="G1" s="2647"/>
      <c r="H1" s="2782"/>
      <c r="I1" s="2782"/>
      <c r="J1" s="2782"/>
      <c r="K1" s="2783">
        <f>MATCH(C1,'数据-取费表'!A6:A16,0)+5</f>
        <v>7</v>
      </c>
    </row>
    <row r="2" spans="1:33" ht="18" customHeight="1">
      <c r="A2" s="201" t="s">
        <v>1444</v>
      </c>
      <c r="B2" s="204">
        <f ca="1">C32</f>
        <v>0</v>
      </c>
      <c r="C2" s="276" t="s">
        <v>1577</v>
      </c>
      <c r="D2" s="276"/>
      <c r="E2" s="2782"/>
      <c r="F2" s="2782"/>
      <c r="G2" s="2782"/>
      <c r="H2" s="2782"/>
      <c r="I2" s="2782"/>
      <c r="J2" s="2782"/>
      <c r="K2" s="2782"/>
    </row>
    <row r="3" spans="1:33" ht="18" customHeight="1" thickBot="1">
      <c r="A3" s="203" t="s">
        <v>1446</v>
      </c>
      <c r="B3" s="204">
        <f ca="1">ROUND(B2*10000/IF(C1="",'数据-汇总表'!E3,INDIRECT("'数据-取费表'!K"&amp;$K$1)),0)</f>
        <v>0</v>
      </c>
      <c r="C3" s="276" t="s">
        <v>1578</v>
      </c>
      <c r="D3" s="276"/>
      <c r="E3" s="2782"/>
      <c r="F3" s="2782"/>
      <c r="G3" s="2782"/>
      <c r="H3" s="2782"/>
      <c r="I3" s="2782"/>
      <c r="J3" s="2782"/>
      <c r="K3" s="2782"/>
    </row>
    <row r="4" spans="1:33" s="785" customFormat="1" ht="16.5" customHeight="1">
      <c r="A4" s="782" t="s">
        <v>1579</v>
      </c>
      <c r="B4" s="783"/>
      <c r="C4" s="824">
        <f>SUM(C8:K8)</f>
        <v>0</v>
      </c>
      <c r="D4" s="783"/>
      <c r="E4" s="783"/>
      <c r="F4" s="783"/>
      <c r="G4" s="783"/>
      <c r="H4" s="783"/>
      <c r="I4" s="783"/>
      <c r="J4" s="783"/>
      <c r="K4" s="784"/>
    </row>
    <row r="5" spans="1:33" s="789" customFormat="1" ht="15">
      <c r="A5" s="786" t="s">
        <v>1580</v>
      </c>
      <c r="B5" s="787" t="s">
        <v>1581</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1582</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1583</v>
      </c>
      <c r="B7" s="131" t="s">
        <v>1584</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1585</v>
      </c>
      <c r="B8" s="164" t="s">
        <v>1586</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1587</v>
      </c>
      <c r="B9" s="783"/>
      <c r="C9" s="783"/>
      <c r="D9" s="783"/>
      <c r="E9" s="783"/>
      <c r="F9" s="783"/>
      <c r="G9" s="783"/>
      <c r="H9" s="783"/>
      <c r="I9" s="783"/>
      <c r="J9" s="783"/>
      <c r="K9" s="784"/>
    </row>
    <row r="10" spans="1:33" s="799" customFormat="1" ht="13.5" customHeight="1">
      <c r="A10" s="786" t="s">
        <v>1588</v>
      </c>
      <c r="B10" s="5" t="s">
        <v>1589</v>
      </c>
      <c r="C10" s="795" t="s">
        <v>1590</v>
      </c>
      <c r="D10" s="796" t="s">
        <v>1591</v>
      </c>
      <c r="E10" s="796" t="s">
        <v>1592</v>
      </c>
      <c r="F10" s="796" t="s">
        <v>1593</v>
      </c>
      <c r="G10" s="5"/>
      <c r="H10" s="797"/>
      <c r="I10" s="797"/>
      <c r="J10" s="797"/>
      <c r="K10" s="798"/>
    </row>
    <row r="11" spans="1:33" s="803" customFormat="1" ht="13.5" customHeight="1">
      <c r="A11" s="800" t="s">
        <v>635</v>
      </c>
      <c r="B11" s="801" t="s">
        <v>1594</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1595</v>
      </c>
      <c r="C12" s="21">
        <f ca="1">ROUND(C11*F12,0)</f>
        <v>0</v>
      </c>
      <c r="D12" s="802"/>
      <c r="E12" s="329"/>
      <c r="F12" s="812">
        <f>'数据-取费表'!B33</f>
        <v>0.03</v>
      </c>
      <c r="G12" s="5" t="s">
        <v>1596</v>
      </c>
      <c r="H12" s="797"/>
      <c r="I12" s="797"/>
      <c r="J12" s="797"/>
      <c r="K12" s="798"/>
    </row>
    <row r="13" spans="1:33" s="803" customFormat="1" ht="13.5" customHeight="1">
      <c r="A13" s="800" t="s">
        <v>637</v>
      </c>
      <c r="B13" s="801" t="s">
        <v>1597</v>
      </c>
      <c r="C13" s="21">
        <f ca="1">ROUND(IF(C1="",SUMIF('数据-取费表'!C:C,"住宅",'数据-取费表'!P:P)*F13,IF(INDIRECT("'数据-取费表'!c"&amp;$K$1)="住宅",INDIRECT("'数据-取费表'!P"&amp;$K$1)*F13,0)),0)</f>
        <v>0</v>
      </c>
      <c r="D13" s="846"/>
      <c r="E13" s="329"/>
      <c r="F13" s="812">
        <f>'数据-取费表'!B34</f>
        <v>0</v>
      </c>
      <c r="G13" s="5" t="s">
        <v>1598</v>
      </c>
      <c r="H13" s="797"/>
      <c r="I13" s="797"/>
      <c r="J13" s="797"/>
      <c r="K13" s="798"/>
    </row>
    <row r="14" spans="1:33" s="805" customFormat="1" ht="13.5" customHeight="1">
      <c r="A14" s="800" t="s">
        <v>638</v>
      </c>
      <c r="B14" s="801" t="s">
        <v>1599</v>
      </c>
      <c r="C14" s="21">
        <f ca="1">ROUND(D14*E14*F11/10000,0)</f>
        <v>0</v>
      </c>
      <c r="D14" s="846">
        <f ca="1">IF(C1="",'数据-汇总表'!E3,INDIRECT("'数据-取费表'!K"&amp;$K$1)+INDIRECT("'数据-取费表'!S"&amp;$K$1))</f>
        <v>32105.55</v>
      </c>
      <c r="E14" s="21">
        <f>'数据-取费表'!B35</f>
        <v>180</v>
      </c>
      <c r="F14" s="804"/>
      <c r="G14" s="5" t="s">
        <v>1600</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1601</v>
      </c>
      <c r="C15" s="811">
        <f ca="1">ROUND(C11*F15,0)</f>
        <v>0</v>
      </c>
      <c r="D15" s="806"/>
      <c r="E15" s="811"/>
      <c r="F15" s="812">
        <f>'数据-取费表'!B36</f>
        <v>0.02</v>
      </c>
      <c r="G15" s="131" t="s">
        <v>1602</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1603</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1604</v>
      </c>
      <c r="C17" s="21">
        <f ca="1">ROUND(D17*E17/10000,0)</f>
        <v>0</v>
      </c>
      <c r="D17" s="846">
        <f ca="1">D14</f>
        <v>32105.55</v>
      </c>
      <c r="E17" s="21">
        <f>'数据-取费表'!B32</f>
        <v>0</v>
      </c>
      <c r="F17" s="806"/>
      <c r="G17" s="131" t="s">
        <v>1605</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1606</v>
      </c>
      <c r="C18" s="21">
        <f ca="1">C19+C20-IF(C1="",'数据-取费表'!B29,IF(G18="已全部缴纳",C19+C20,H18))</f>
        <v>0</v>
      </c>
      <c r="D18" s="846"/>
      <c r="E18" s="21"/>
      <c r="F18" s="804"/>
      <c r="G18" s="1862"/>
      <c r="H18" s="1187"/>
      <c r="I18" s="1863" t="s">
        <v>1607</v>
      </c>
      <c r="J18" s="807"/>
      <c r="K18" s="808"/>
    </row>
    <row r="19" spans="1:33" s="803" customFormat="1" ht="13.5" customHeight="1">
      <c r="A19" s="800" t="s">
        <v>360</v>
      </c>
      <c r="B19" s="801" t="s">
        <v>1608</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1609</v>
      </c>
      <c r="C20" s="21">
        <f ca="1">ROUND(D20*E20/10000,0)</f>
        <v>642</v>
      </c>
      <c r="D20" s="846">
        <f ca="1">IF(C1="",'数据-汇总表'!E6,IF(INDIRECT("'数据-取费表'!c"&amp;$K$1)="住宅",INDIRECT("'数据-取费表'!s"&amp;$K$1),INDIRECT("'数据-取费表'!k"&amp;$K$1)+INDIRECT("'数据-取费表'!s"&amp;$K$1)))</f>
        <v>32105.55</v>
      </c>
      <c r="E20" s="21">
        <f>'数据-取费表'!B28</f>
        <v>200</v>
      </c>
      <c r="F20" s="804"/>
      <c r="G20" s="12"/>
      <c r="H20" s="809"/>
      <c r="I20" s="809"/>
      <c r="J20" s="809"/>
      <c r="K20" s="810"/>
    </row>
    <row r="21" spans="1:33" s="803" customFormat="1" ht="13.5" customHeight="1">
      <c r="A21" s="790" t="s">
        <v>357</v>
      </c>
      <c r="B21" s="813" t="s">
        <v>1610</v>
      </c>
      <c r="C21" s="814">
        <f ca="1">C16+C17+C18</f>
        <v>0</v>
      </c>
      <c r="D21" s="815"/>
      <c r="E21" s="281"/>
      <c r="F21" s="281"/>
      <c r="G21" s="131" t="s">
        <v>1611</v>
      </c>
      <c r="H21" s="807"/>
      <c r="I21" s="807"/>
      <c r="J21" s="807"/>
      <c r="K21" s="808"/>
    </row>
    <row r="22" spans="1:33" s="803" customFormat="1" ht="13.5" customHeight="1">
      <c r="A22" s="790" t="s">
        <v>1583</v>
      </c>
      <c r="B22" s="813" t="s">
        <v>1612</v>
      </c>
      <c r="C22" s="814">
        <f ca="1">ROUND(C21*F22,0)</f>
        <v>0</v>
      </c>
      <c r="D22" s="281"/>
      <c r="E22" s="281"/>
      <c r="F22" s="816">
        <f>'数据-取费表'!B37</f>
        <v>0.02</v>
      </c>
      <c r="G22" s="5" t="s">
        <v>1613</v>
      </c>
      <c r="H22" s="797"/>
      <c r="I22" s="797"/>
      <c r="J22" s="797"/>
      <c r="K22" s="798"/>
    </row>
    <row r="23" spans="1:33" s="803" customFormat="1" ht="13.5" customHeight="1">
      <c r="A23" s="790" t="s">
        <v>1585</v>
      </c>
      <c r="B23" s="813" t="s">
        <v>1614</v>
      </c>
      <c r="C23" s="814">
        <f ca="1">ROUND(C4*F23*F11,0)</f>
        <v>0</v>
      </c>
      <c r="D23" s="281"/>
      <c r="E23" s="281"/>
      <c r="F23" s="816">
        <f>'数据-取费表'!B38</f>
        <v>0.02</v>
      </c>
      <c r="G23" s="5" t="s">
        <v>1615</v>
      </c>
      <c r="H23" s="797"/>
      <c r="I23" s="797"/>
      <c r="J23" s="797"/>
      <c r="K23" s="798"/>
    </row>
    <row r="24" spans="1:33" s="803" customFormat="1" ht="13.5" customHeight="1">
      <c r="A24" s="790" t="s">
        <v>1616</v>
      </c>
      <c r="B24" s="813" t="s">
        <v>1617</v>
      </c>
      <c r="C24" s="280">
        <f>ROUND(F24/(1+'数据-取费表'!C42),4)</f>
        <v>2.9000000000000001E-2</v>
      </c>
      <c r="D24" s="281" t="s">
        <v>12</v>
      </c>
      <c r="E24" s="281"/>
      <c r="F24" s="816">
        <f>IF(项目基本情况!B8="出让",0,'数据-取费表'!B48+'数据-取费表'!B49)</f>
        <v>3.0499999999999999E-2</v>
      </c>
      <c r="G24" s="5" t="s">
        <v>1618</v>
      </c>
      <c r="H24" s="818"/>
      <c r="I24" s="818"/>
      <c r="J24" s="818"/>
      <c r="K24" s="819"/>
    </row>
    <row r="25" spans="1:33" s="803" customFormat="1" ht="13.5" customHeight="1">
      <c r="A25" s="790" t="s">
        <v>1619</v>
      </c>
      <c r="B25" s="815" t="s">
        <v>1620</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1621</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1622</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1623</v>
      </c>
      <c r="B28" s="1865" t="s">
        <v>1624</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1625</v>
      </c>
      <c r="C29" s="284">
        <f ca="1">ROUND((1+C24)*F28*'数据-取费表'!B24/'数据-取费表'!B20,4)</f>
        <v>0</v>
      </c>
      <c r="D29" s="284"/>
      <c r="E29" s="285"/>
      <c r="F29" s="290"/>
      <c r="G29" s="131" t="s">
        <v>1626</v>
      </c>
      <c r="H29" s="807"/>
      <c r="I29" s="807"/>
      <c r="J29" s="807"/>
      <c r="K29" s="808"/>
    </row>
    <row r="30" spans="1:33" s="291" customFormat="1" ht="13.5" customHeight="1">
      <c r="A30" s="800" t="s">
        <v>359</v>
      </c>
      <c r="B30" s="822" t="s">
        <v>1627</v>
      </c>
      <c r="C30" s="292">
        <f ca="1">ROUND((C21+C22+C23)*F28,0)</f>
        <v>0</v>
      </c>
      <c r="D30" s="284"/>
      <c r="E30" s="285"/>
      <c r="F30" s="290"/>
      <c r="G30" s="131"/>
      <c r="H30" s="807"/>
      <c r="I30" s="807"/>
      <c r="J30" s="807"/>
      <c r="K30" s="808"/>
    </row>
    <row r="31" spans="1:33" s="803" customFormat="1" ht="13.5" customHeight="1" thickBot="1">
      <c r="A31" s="1866" t="s">
        <v>1628</v>
      </c>
      <c r="B31" s="833" t="s">
        <v>1629</v>
      </c>
      <c r="C31" s="834">
        <f>ROUND(C4*F31/(1+'数据-取费表'!C42),0)</f>
        <v>0</v>
      </c>
      <c r="D31" s="835"/>
      <c r="E31" s="836"/>
      <c r="F31" s="837">
        <f>'数据-取费表'!B41</f>
        <v>5.6000000000000001E-2</v>
      </c>
      <c r="G31" s="838" t="s">
        <v>1630</v>
      </c>
      <c r="H31" s="839"/>
      <c r="I31" s="839"/>
      <c r="J31" s="839"/>
      <c r="K31" s="840"/>
    </row>
    <row r="32" spans="1:33" s="799" customFormat="1" ht="13.5" customHeight="1" thickBot="1">
      <c r="A32" s="828" t="s">
        <v>1631</v>
      </c>
      <c r="B32" s="829"/>
      <c r="C32" s="830">
        <f ca="1">ROUND((C4-C21-C22-C23-C25-C28-C31)/(1+C24+D25+D28),0)</f>
        <v>0</v>
      </c>
      <c r="D32" s="829"/>
      <c r="E32" s="829"/>
      <c r="F32" s="829"/>
      <c r="G32" s="831" t="s">
        <v>1632</v>
      </c>
      <c r="H32" s="829"/>
      <c r="I32" s="829"/>
      <c r="J32" s="829"/>
      <c r="K32" s="832"/>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19" t="s">
        <v>694</v>
      </c>
      <c r="C6" s="1074">
        <f ca="1">ROUND(F6*F8*F7*(1-F9),0)</f>
        <v>0</v>
      </c>
      <c r="D6" s="155" t="s">
        <v>2088</v>
      </c>
      <c r="E6" s="302" t="s">
        <v>696</v>
      </c>
      <c r="F6" s="303">
        <f ca="1">INDIRECT("'数据-取费表'!u"&amp;$G$1)</f>
        <v>0</v>
      </c>
      <c r="G6" s="1384"/>
      <c r="H6" s="1069" t="s">
        <v>398</v>
      </c>
      <c r="I6" s="3819" t="s">
        <v>694</v>
      </c>
      <c r="J6" s="301">
        <f ca="1">ROUND(M6*M8*M7*(1-M9),0)</f>
        <v>0</v>
      </c>
      <c r="K6" s="1376" t="s">
        <v>2089</v>
      </c>
      <c r="L6" s="302" t="s">
        <v>696</v>
      </c>
      <c r="M6" s="303">
        <f ca="1">INDIRECT("'数据-取费表'!z"&amp;$G$1)</f>
        <v>0</v>
      </c>
    </row>
    <row r="7" spans="1:37" ht="18" customHeight="1">
      <c r="A7" s="1073"/>
      <c r="B7" s="3820"/>
      <c r="C7" s="1075"/>
      <c r="D7" s="307"/>
      <c r="E7" s="1076" t="s">
        <v>697</v>
      </c>
      <c r="F7" s="303">
        <f ca="1">IF(INDIRECT("'数据-取费表'!ah"&amp;$G$1)="",INDIRECT("'数据-取费表'!k"&amp;$G$1),INDIRECT("'数据-取费表'!ah"&amp;$G$1))</f>
        <v>0</v>
      </c>
      <c r="G7" s="1384"/>
      <c r="H7" s="304"/>
      <c r="I7" s="3820"/>
      <c r="J7" s="306"/>
      <c r="K7" s="307"/>
      <c r="L7" s="302" t="s">
        <v>697</v>
      </c>
      <c r="M7" s="303">
        <f ca="1">F7</f>
        <v>0</v>
      </c>
    </row>
    <row r="8" spans="1:37" ht="18" customHeight="1">
      <c r="A8" s="304"/>
      <c r="B8" s="3820"/>
      <c r="C8" s="306"/>
      <c r="D8" s="307"/>
      <c r="E8" s="302" t="s">
        <v>698</v>
      </c>
      <c r="F8" s="303">
        <f ca="1">INDIRECT("'数据-取费表'!ai"&amp;$G$1)</f>
        <v>0</v>
      </c>
      <c r="G8" s="1384"/>
      <c r="H8" s="304"/>
      <c r="I8" s="3820"/>
      <c r="J8" s="306"/>
      <c r="K8" s="307"/>
      <c r="L8" s="302" t="s">
        <v>698</v>
      </c>
      <c r="M8" s="303">
        <f ca="1">INDIRECT("'数据-取费表'!ai"&amp;$G$1)</f>
        <v>0</v>
      </c>
    </row>
    <row r="9" spans="1:37" ht="18" customHeight="1">
      <c r="A9" s="304"/>
      <c r="B9" s="3821"/>
      <c r="C9" s="306"/>
      <c r="D9" s="307"/>
      <c r="E9" s="302" t="s">
        <v>699</v>
      </c>
      <c r="F9" s="312">
        <f ca="1">INDIRECT("'数据-取费表'!w"&amp;$G$1)</f>
        <v>0</v>
      </c>
      <c r="G9" s="1384"/>
      <c r="H9" s="304"/>
      <c r="I9" s="382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180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71"/>
      <c r="L30" s="2674"/>
      <c r="M30" s="2675"/>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1"/>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1"/>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3407" t="s">
        <v>3333</v>
      </c>
      <c r="B45" s="1400"/>
      <c r="C45" s="1472" t="e">
        <f ca="1">ROUND((C68-C40)/10000,4)</f>
        <v>#DIV/0!</v>
      </c>
      <c r="D45" s="3408" t="s">
        <v>3334</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8">
        <f ca="1">IF(M47="住宅",IF(D1="——",MAX(J51,L48),MAX(J51,L48-'数据-取费表'!B24)),IF(D1="——",MIN(J51,L48),MIN(J51,L48-'数据-取费表'!B24)))</f>
        <v>0</v>
      </c>
      <c r="K53" s="3822" t="s">
        <v>837</v>
      </c>
      <c r="L53" s="382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2416</v>
      </c>
      <c r="B1" s="2808"/>
      <c r="C1" s="2820"/>
      <c r="D1" s="2820"/>
      <c r="E1" s="2809"/>
      <c r="F1" s="2810"/>
      <c r="G1" s="2811"/>
      <c r="J1" s="2814" t="s">
        <v>2295</v>
      </c>
      <c r="K1" s="2815"/>
      <c r="L1" s="2815"/>
      <c r="M1" s="2815"/>
      <c r="N1" s="2815"/>
      <c r="O1" s="2815"/>
      <c r="P1" s="2815"/>
      <c r="Q1" s="2815"/>
      <c r="R1" s="2816"/>
      <c r="S1" s="2817"/>
      <c r="T1" s="2817"/>
      <c r="U1" s="2817"/>
    </row>
    <row r="2" spans="1:22" s="2829" customFormat="1" ht="13.15" customHeight="1">
      <c r="A2" s="1385" t="s">
        <v>2296</v>
      </c>
      <c r="B2" s="2819" t="e">
        <f>IF(D2="——",C40,C40+E2)</f>
        <v>#DIV/0!</v>
      </c>
      <c r="C2" s="2820" t="s">
        <v>2297</v>
      </c>
      <c r="D2" s="3419" t="s">
        <v>3340</v>
      </c>
      <c r="E2" s="3420"/>
      <c r="F2" s="2822"/>
      <c r="G2" s="2823"/>
      <c r="H2" s="2824"/>
      <c r="I2" s="2825"/>
      <c r="J2" s="3824" t="s">
        <v>2298</v>
      </c>
      <c r="K2" s="3825"/>
      <c r="L2" s="2826" t="s">
        <v>2299</v>
      </c>
      <c r="M2" s="2826" t="s">
        <v>2300</v>
      </c>
      <c r="N2" s="2826" t="s">
        <v>2301</v>
      </c>
      <c r="O2" s="2826" t="s">
        <v>2302</v>
      </c>
      <c r="P2" s="2826" t="s">
        <v>2303</v>
      </c>
      <c r="Q2" s="2827" t="s">
        <v>2304</v>
      </c>
      <c r="R2" s="2828" t="s">
        <v>2305</v>
      </c>
      <c r="S2" s="2817"/>
      <c r="T2" s="2817"/>
      <c r="U2" s="2817"/>
      <c r="V2" s="2825"/>
    </row>
    <row r="3" spans="1:22" s="2829" customFormat="1" ht="13.15" customHeight="1">
      <c r="A3" s="2830" t="s">
        <v>2306</v>
      </c>
      <c r="B3" s="2831" t="e">
        <f>ROUND(B2*10000/B4,0)</f>
        <v>#DIV/0!</v>
      </c>
      <c r="C3" s="2820" t="s">
        <v>2307</v>
      </c>
      <c r="D3" s="2820"/>
      <c r="E3" s="2821"/>
      <c r="F3" s="2822"/>
      <c r="G3" s="2823"/>
      <c r="H3" s="2824"/>
      <c r="I3" s="2825"/>
      <c r="J3" s="3826" t="s">
        <v>2308</v>
      </c>
      <c r="K3" s="3827"/>
      <c r="L3" s="2832"/>
      <c r="M3" s="2832"/>
      <c r="N3" s="2832"/>
      <c r="O3" s="2832"/>
      <c r="P3" s="2832"/>
      <c r="Q3" s="2833"/>
      <c r="R3" s="2834">
        <f>SUM(L3:Q3)</f>
        <v>0</v>
      </c>
      <c r="S3" s="2817"/>
      <c r="T3" s="2817"/>
      <c r="U3" s="2817"/>
      <c r="V3" s="2825"/>
    </row>
    <row r="4" spans="1:22" s="2829" customFormat="1" ht="13.15" customHeight="1">
      <c r="A4" s="2835" t="s">
        <v>2309</v>
      </c>
      <c r="B4" s="2836"/>
      <c r="C4" s="2820"/>
      <c r="D4" s="2820"/>
      <c r="E4" s="2821"/>
      <c r="F4" s="2822"/>
      <c r="G4" s="2823"/>
      <c r="H4" s="2824"/>
      <c r="I4" s="2825"/>
      <c r="J4" s="3826" t="s">
        <v>2310</v>
      </c>
      <c r="K4" s="3827"/>
      <c r="L4" s="2837"/>
      <c r="M4" s="2837"/>
      <c r="N4" s="2837"/>
      <c r="O4" s="2837"/>
      <c r="P4" s="2837"/>
      <c r="Q4" s="2838"/>
      <c r="R4" s="2839">
        <f>SUM(L4:Q4)</f>
        <v>0</v>
      </c>
      <c r="S4" s="2817"/>
      <c r="T4" s="2817"/>
      <c r="U4" s="2817"/>
      <c r="V4" s="2825"/>
    </row>
    <row r="5" spans="1:22" s="2829" customFormat="1" ht="13.15" customHeight="1" thickBot="1">
      <c r="A5" s="2840" t="s">
        <v>2311</v>
      </c>
      <c r="B5" s="2841"/>
      <c r="C5" s="2820"/>
      <c r="D5" s="2842"/>
      <c r="E5" s="2822"/>
      <c r="F5" s="2822"/>
      <c r="G5" s="2823"/>
      <c r="H5" s="2824"/>
      <c r="I5" s="2825"/>
      <c r="J5" s="2843" t="s">
        <v>2312</v>
      </c>
      <c r="K5" s="2844"/>
      <c r="L5" s="2844"/>
      <c r="M5" s="2845"/>
      <c r="N5" s="2845"/>
      <c r="O5" s="2845"/>
      <c r="P5" s="2845"/>
      <c r="Q5" s="2845"/>
      <c r="R5" s="2828">
        <f>SUM(R14,R19,R24,R25,R27,R28)</f>
        <v>0</v>
      </c>
      <c r="S5" s="2817"/>
      <c r="T5" s="2817" t="s">
        <v>2313</v>
      </c>
      <c r="U5" s="2817" t="e">
        <f>ROUND(R5*10000/365/R3,1)</f>
        <v>#DIV/0!</v>
      </c>
      <c r="V5" s="2825"/>
    </row>
    <row r="6" spans="1:22" s="2829" customFormat="1" ht="13.15" customHeight="1" thickBot="1">
      <c r="A6" s="3828" t="s">
        <v>2314</v>
      </c>
      <c r="B6" s="3829"/>
      <c r="C6" s="3830"/>
      <c r="D6" s="2846"/>
      <c r="E6" s="2847"/>
      <c r="F6" s="2848"/>
      <c r="G6" s="2849"/>
      <c r="H6" s="2824"/>
      <c r="I6" s="2825"/>
      <c r="J6" s="3831">
        <v>1</v>
      </c>
      <c r="K6" s="3832" t="s">
        <v>2315</v>
      </c>
      <c r="L6" s="2850" t="s">
        <v>2316</v>
      </c>
      <c r="M6" s="2851" t="s">
        <v>2317</v>
      </c>
      <c r="N6" s="2851" t="s">
        <v>2318</v>
      </c>
      <c r="O6" s="2851" t="s">
        <v>2319</v>
      </c>
      <c r="P6" s="2851" t="s">
        <v>2320</v>
      </c>
      <c r="Q6" s="2851" t="s">
        <v>2321</v>
      </c>
      <c r="R6" s="2834" t="s">
        <v>2322</v>
      </c>
      <c r="S6" s="2817"/>
      <c r="T6" s="2817" t="s">
        <v>2323</v>
      </c>
      <c r="U6" s="2817"/>
      <c r="V6" s="2825"/>
    </row>
    <row r="7" spans="1:22" s="2829" customFormat="1" ht="13.15" customHeight="1">
      <c r="A7" s="2852" t="s">
        <v>2324</v>
      </c>
      <c r="B7" s="2853"/>
      <c r="C7" s="2854"/>
      <c r="D7" s="2855">
        <f>SUM(D9,D10,D11,D17,0)</f>
        <v>0</v>
      </c>
      <c r="E7" s="2856" t="e">
        <f>E9+E10+E11+E17</f>
        <v>#DIV/0!</v>
      </c>
      <c r="F7" s="2857"/>
      <c r="G7" s="2858"/>
      <c r="H7" s="2824"/>
      <c r="I7" s="2825"/>
      <c r="J7" s="3831"/>
      <c r="K7" s="3833"/>
      <c r="L7" s="2859" t="s">
        <v>2325</v>
      </c>
      <c r="M7" s="2860"/>
      <c r="N7" s="2836"/>
      <c r="O7" s="2861"/>
      <c r="P7" s="2861"/>
      <c r="Q7" s="2862">
        <v>365</v>
      </c>
      <c r="R7" s="2863">
        <f>ROUND(M7*N7*O7*P7*Q7/10000,0)</f>
        <v>0</v>
      </c>
      <c r="S7" s="2817"/>
      <c r="T7" s="2817" t="s">
        <v>2326</v>
      </c>
      <c r="U7" s="2817"/>
      <c r="V7" s="2825"/>
    </row>
    <row r="8" spans="1:22" s="2829" customFormat="1" ht="13.15" customHeight="1">
      <c r="A8" s="2864" t="s">
        <v>2327</v>
      </c>
      <c r="B8" s="3835" t="s">
        <v>2328</v>
      </c>
      <c r="C8" s="3836"/>
      <c r="D8" s="2865" t="s">
        <v>2329</v>
      </c>
      <c r="E8" s="2866" t="s">
        <v>2330</v>
      </c>
      <c r="F8" s="2867" t="s">
        <v>2331</v>
      </c>
      <c r="G8" s="2868"/>
      <c r="H8" s="2824"/>
      <c r="I8" s="2825"/>
      <c r="J8" s="3831"/>
      <c r="K8" s="3833"/>
      <c r="L8" s="2859" t="s">
        <v>2332</v>
      </c>
      <c r="M8" s="2860"/>
      <c r="N8" s="2836"/>
      <c r="O8" s="2861"/>
      <c r="P8" s="2861"/>
      <c r="Q8" s="2862">
        <v>365</v>
      </c>
      <c r="R8" s="2863">
        <f t="shared" ref="R8:R13" si="0">ROUND(M8*N8*O8*P8*Q8/10000,0)</f>
        <v>0</v>
      </c>
      <c r="S8" s="2817"/>
      <c r="T8" s="2817" t="s">
        <v>2333</v>
      </c>
      <c r="U8" s="2817"/>
      <c r="V8" s="2825"/>
    </row>
    <row r="9" spans="1:22" s="2829" customFormat="1" ht="13.15" customHeight="1">
      <c r="A9" s="2864">
        <v>1</v>
      </c>
      <c r="B9" s="3835" t="s">
        <v>2334</v>
      </c>
      <c r="C9" s="3836"/>
      <c r="D9" s="2865">
        <f>ROUND(D6*E9,0)</f>
        <v>0</v>
      </c>
      <c r="E9" s="2869"/>
      <c r="F9" s="2870" t="s">
        <v>2335</v>
      </c>
      <c r="G9" s="2849"/>
      <c r="H9" s="2824"/>
      <c r="I9" s="2825"/>
      <c r="J9" s="3831"/>
      <c r="K9" s="3833"/>
      <c r="L9" s="2859" t="s">
        <v>2336</v>
      </c>
      <c r="M9" s="2860"/>
      <c r="N9" s="2836"/>
      <c r="O9" s="2861"/>
      <c r="P9" s="2861"/>
      <c r="Q9" s="2862">
        <v>365</v>
      </c>
      <c r="R9" s="2863">
        <f t="shared" si="0"/>
        <v>0</v>
      </c>
      <c r="S9" s="2817"/>
      <c r="T9" s="2817"/>
      <c r="U9" s="2817"/>
      <c r="V9" s="2825"/>
    </row>
    <row r="10" spans="1:22" s="2829" customFormat="1" ht="13.15" customHeight="1">
      <c r="A10" s="2864">
        <v>2</v>
      </c>
      <c r="B10" s="3835" t="s">
        <v>2337</v>
      </c>
      <c r="C10" s="3836"/>
      <c r="D10" s="2865">
        <f>ROUND(D6*E10,0)</f>
        <v>0</v>
      </c>
      <c r="E10" s="2869"/>
      <c r="F10" s="2870" t="s">
        <v>2338</v>
      </c>
      <c r="G10" s="2849"/>
      <c r="H10" s="2824"/>
      <c r="I10" s="2825"/>
      <c r="J10" s="3831"/>
      <c r="K10" s="3833"/>
      <c r="L10" s="2859" t="s">
        <v>2339</v>
      </c>
      <c r="M10" s="2860"/>
      <c r="N10" s="2836"/>
      <c r="O10" s="2861"/>
      <c r="P10" s="2861"/>
      <c r="Q10" s="2862">
        <v>365</v>
      </c>
      <c r="R10" s="2863">
        <f t="shared" si="0"/>
        <v>0</v>
      </c>
      <c r="S10" s="2817"/>
      <c r="T10" s="2817"/>
      <c r="U10" s="2817"/>
      <c r="V10" s="2825"/>
    </row>
    <row r="11" spans="1:22" s="2829" customFormat="1" ht="13.15" customHeight="1">
      <c r="A11" s="2864">
        <v>3</v>
      </c>
      <c r="B11" s="3835" t="s">
        <v>2340</v>
      </c>
      <c r="C11" s="3836"/>
      <c r="D11" s="2865">
        <f>D12+D14+D15+D16</f>
        <v>0</v>
      </c>
      <c r="E11" s="2871" t="e">
        <f>D11/D6</f>
        <v>#DIV/0!</v>
      </c>
      <c r="F11" s="2867"/>
      <c r="G11" s="2868"/>
      <c r="H11" s="2824"/>
      <c r="I11" s="2825"/>
      <c r="J11" s="3831"/>
      <c r="K11" s="3833"/>
      <c r="L11" s="2859" t="s">
        <v>2341</v>
      </c>
      <c r="M11" s="2860"/>
      <c r="N11" s="2836"/>
      <c r="O11" s="2861"/>
      <c r="P11" s="2861"/>
      <c r="Q11" s="2862">
        <v>365</v>
      </c>
      <c r="R11" s="2863">
        <f t="shared" si="0"/>
        <v>0</v>
      </c>
      <c r="S11" s="2817"/>
      <c r="T11" s="2817"/>
      <c r="U11" s="2817"/>
      <c r="V11" s="2825"/>
    </row>
    <row r="12" spans="1:22" s="2829" customFormat="1" ht="13.15" customHeight="1">
      <c r="A12" s="2872" t="s">
        <v>2342</v>
      </c>
      <c r="B12" s="3837" t="s">
        <v>2343</v>
      </c>
      <c r="C12" s="3838"/>
      <c r="D12" s="2873">
        <f>ROUND(D13*1.2%*(1-30%),0)</f>
        <v>0</v>
      </c>
      <c r="E12" s="2874">
        <v>1.2E-2</v>
      </c>
      <c r="F12" s="2867" t="s">
        <v>2344</v>
      </c>
      <c r="G12" s="2868"/>
      <c r="H12" s="2824"/>
      <c r="I12" s="2825"/>
      <c r="J12" s="3831"/>
      <c r="K12" s="3833"/>
      <c r="L12" s="2859" t="s">
        <v>2345</v>
      </c>
      <c r="M12" s="2860"/>
      <c r="N12" s="2836"/>
      <c r="O12" s="2861"/>
      <c r="P12" s="2861"/>
      <c r="Q12" s="2862">
        <v>365</v>
      </c>
      <c r="R12" s="2863">
        <f t="shared" si="0"/>
        <v>0</v>
      </c>
      <c r="S12" s="2817"/>
      <c r="T12" s="2817"/>
      <c r="U12" s="2817"/>
      <c r="V12" s="2825"/>
    </row>
    <row r="13" spans="1:22" s="2829" customFormat="1" ht="13.15" customHeight="1">
      <c r="A13" s="2872"/>
      <c r="B13" s="2875"/>
      <c r="C13" s="2876" t="s">
        <v>2346</v>
      </c>
      <c r="D13" s="2877"/>
      <c r="E13" s="2878"/>
      <c r="F13" s="2867"/>
      <c r="G13" s="2868"/>
      <c r="H13" s="2824"/>
      <c r="I13" s="2825"/>
      <c r="J13" s="3831"/>
      <c r="K13" s="3833"/>
      <c r="L13" s="2859" t="s">
        <v>2347</v>
      </c>
      <c r="M13" s="2860"/>
      <c r="N13" s="2836"/>
      <c r="O13" s="2861"/>
      <c r="P13" s="2861"/>
      <c r="Q13" s="2862">
        <v>365</v>
      </c>
      <c r="R13" s="2863">
        <f t="shared" si="0"/>
        <v>0</v>
      </c>
      <c r="S13" s="2817"/>
      <c r="T13" s="2817"/>
      <c r="U13" s="2817"/>
      <c r="V13" s="2825"/>
    </row>
    <row r="14" spans="1:22" s="2829" customFormat="1" ht="13.15" customHeight="1">
      <c r="A14" s="2872" t="s">
        <v>2348</v>
      </c>
      <c r="B14" s="3837" t="s">
        <v>2349</v>
      </c>
      <c r="C14" s="3838"/>
      <c r="D14" s="2873">
        <f>ROUND(E14*B5/10000,0)</f>
        <v>0</v>
      </c>
      <c r="E14" s="2862"/>
      <c r="F14" s="2867" t="s">
        <v>2350</v>
      </c>
      <c r="G14" s="2868"/>
      <c r="H14" s="2824"/>
      <c r="I14" s="2825"/>
      <c r="J14" s="3831"/>
      <c r="K14" s="3834"/>
      <c r="L14" s="2879" t="s">
        <v>2351</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2352</v>
      </c>
      <c r="B15" s="3837" t="s">
        <v>2353</v>
      </c>
      <c r="C15" s="3838"/>
      <c r="D15" s="2873">
        <f>ROUND(D6*E15,0)</f>
        <v>0</v>
      </c>
      <c r="E15" s="2874">
        <v>5.5E-2</v>
      </c>
      <c r="F15" s="2867" t="s">
        <v>2354</v>
      </c>
      <c r="G15" s="2849"/>
      <c r="H15" s="2824"/>
      <c r="I15" s="2825"/>
      <c r="J15" s="3831">
        <v>2</v>
      </c>
      <c r="K15" s="3832" t="s">
        <v>2355</v>
      </c>
      <c r="L15" s="2859" t="s">
        <v>2356</v>
      </c>
      <c r="M15" s="2860" t="s">
        <v>2357</v>
      </c>
      <c r="N15" s="2860" t="s">
        <v>2358</v>
      </c>
      <c r="O15" s="2861" t="s">
        <v>2359</v>
      </c>
      <c r="P15" s="2861" t="s">
        <v>2321</v>
      </c>
      <c r="Q15" s="2836" t="s">
        <v>2360</v>
      </c>
      <c r="R15" s="2883" t="s">
        <v>2322</v>
      </c>
      <c r="S15" s="2817"/>
      <c r="T15" s="2817"/>
      <c r="U15" s="2817"/>
      <c r="V15" s="2825"/>
    </row>
    <row r="16" spans="1:22" s="2829" customFormat="1" ht="13.15" customHeight="1">
      <c r="A16" s="2872" t="s">
        <v>2361</v>
      </c>
      <c r="B16" s="3837" t="s">
        <v>2362</v>
      </c>
      <c r="C16" s="3838"/>
      <c r="D16" s="2884">
        <f>D6*E16</f>
        <v>0</v>
      </c>
      <c r="E16" s="2885"/>
      <c r="F16" s="2870" t="s">
        <v>2363</v>
      </c>
      <c r="G16" s="2849"/>
      <c r="H16" s="2824"/>
      <c r="I16" s="2825"/>
      <c r="J16" s="3831"/>
      <c r="K16" s="3833"/>
      <c r="L16" s="2859" t="s">
        <v>2364</v>
      </c>
      <c r="M16" s="2860"/>
      <c r="N16" s="2860"/>
      <c r="O16" s="2861"/>
      <c r="P16" s="2862">
        <v>365</v>
      </c>
      <c r="Q16" s="2836"/>
      <c r="R16" s="2883">
        <f>ROUND(M16*N16*O16*P16/10000,0)</f>
        <v>0</v>
      </c>
      <c r="S16" s="2817"/>
      <c r="T16" s="2817"/>
      <c r="U16" s="2817"/>
      <c r="V16" s="2825"/>
    </row>
    <row r="17" spans="1:22" s="2829" customFormat="1" ht="13.15" customHeight="1" thickBot="1">
      <c r="A17" s="2886">
        <v>4</v>
      </c>
      <c r="B17" s="3839" t="s">
        <v>2365</v>
      </c>
      <c r="C17" s="3840"/>
      <c r="D17" s="2887">
        <f>ROUND(D6*E17,0)</f>
        <v>0</v>
      </c>
      <c r="E17" s="2888"/>
      <c r="F17" s="2889" t="s">
        <v>2366</v>
      </c>
      <c r="G17" s="2849"/>
      <c r="H17" s="2824"/>
      <c r="I17" s="2825"/>
      <c r="J17" s="3831"/>
      <c r="K17" s="3833"/>
      <c r="L17" s="2859" t="s">
        <v>2367</v>
      </c>
      <c r="M17" s="2860"/>
      <c r="N17" s="2860"/>
      <c r="O17" s="2861"/>
      <c r="P17" s="2862">
        <v>365</v>
      </c>
      <c r="Q17" s="2836"/>
      <c r="R17" s="2883">
        <f>ROUND(M17*N17*O17*P17/10000,0)</f>
        <v>0</v>
      </c>
      <c r="S17" s="2817"/>
      <c r="T17" s="2817"/>
      <c r="U17" s="2817"/>
      <c r="V17" s="2825"/>
    </row>
    <row r="18" spans="1:22" s="2829" customFormat="1" ht="13.15" customHeight="1" thickBot="1">
      <c r="A18" s="2852" t="s">
        <v>2368</v>
      </c>
      <c r="B18" s="2853"/>
      <c r="C18" s="2853"/>
      <c r="D18" s="2890">
        <f>ROUND(D6*E18,0)</f>
        <v>0</v>
      </c>
      <c r="E18" s="2891"/>
      <c r="F18" s="2892" t="s">
        <v>2369</v>
      </c>
      <c r="G18" s="2849"/>
      <c r="H18" s="2824"/>
      <c r="I18" s="2825"/>
      <c r="J18" s="3831"/>
      <c r="K18" s="3833"/>
      <c r="L18" s="2859" t="s">
        <v>2370</v>
      </c>
      <c r="M18" s="2860"/>
      <c r="N18" s="2860"/>
      <c r="O18" s="2861"/>
      <c r="P18" s="2862">
        <v>365</v>
      </c>
      <c r="Q18" s="2836"/>
      <c r="R18" s="2883">
        <f>ROUND(M18*N18*O18*P18/10000,0)</f>
        <v>0</v>
      </c>
      <c r="S18" s="2817"/>
      <c r="T18" s="2817"/>
      <c r="U18" s="2817"/>
      <c r="V18" s="2825"/>
    </row>
    <row r="19" spans="1:22" s="2829" customFormat="1" ht="13.15" customHeight="1" thickBot="1">
      <c r="A19" s="2893" t="s">
        <v>2371</v>
      </c>
      <c r="B19" s="2847"/>
      <c r="C19" s="2847"/>
      <c r="D19" s="2847"/>
      <c r="E19" s="2847"/>
      <c r="F19" s="2848"/>
      <c r="G19" s="2868"/>
      <c r="H19" s="2824"/>
      <c r="I19" s="2825"/>
      <c r="J19" s="3831"/>
      <c r="K19" s="3834"/>
      <c r="L19" s="2879" t="s">
        <v>2351</v>
      </c>
      <c r="M19" s="2880"/>
      <c r="N19" s="2880">
        <f>SUM(N16:N18)</f>
        <v>0</v>
      </c>
      <c r="O19" s="2881"/>
      <c r="P19" s="2894" t="s">
        <v>2415</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831">
        <v>3</v>
      </c>
      <c r="K20" s="3832" t="s">
        <v>2372</v>
      </c>
      <c r="L20" s="2859" t="s">
        <v>2373</v>
      </c>
      <c r="M20" s="2860" t="s">
        <v>2374</v>
      </c>
      <c r="N20" s="2897" t="s">
        <v>2375</v>
      </c>
      <c r="O20" s="2861" t="s">
        <v>2376</v>
      </c>
      <c r="P20" s="2862" t="s">
        <v>2377</v>
      </c>
      <c r="Q20" s="2836" t="s">
        <v>2378</v>
      </c>
      <c r="R20" s="2883" t="s">
        <v>2379</v>
      </c>
      <c r="S20" s="2898"/>
      <c r="T20" s="2898"/>
      <c r="U20" s="2898"/>
      <c r="V20" s="2825"/>
    </row>
    <row r="21" spans="1:22" s="2829" customFormat="1" ht="13.15" customHeight="1">
      <c r="A21" s="2852"/>
      <c r="B21" s="2853"/>
      <c r="C21" s="2899" t="s">
        <v>2380</v>
      </c>
      <c r="D21" s="2900" t="s">
        <v>2381</v>
      </c>
      <c r="E21" s="2901" t="s">
        <v>2382</v>
      </c>
      <c r="F21" s="2896"/>
      <c r="G21" s="2868"/>
      <c r="H21" s="2824"/>
      <c r="I21" s="2825"/>
      <c r="J21" s="3831"/>
      <c r="K21" s="3833"/>
      <c r="L21" s="2859" t="s">
        <v>2383</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2384</v>
      </c>
      <c r="D22" s="2904" t="s">
        <v>2385</v>
      </c>
      <c r="E22" s="2905" t="s">
        <v>2386</v>
      </c>
      <c r="F22" s="2896"/>
      <c r="G22" s="2906"/>
      <c r="H22" s="2824"/>
      <c r="I22" s="2825"/>
      <c r="J22" s="3831"/>
      <c r="K22" s="3833"/>
      <c r="L22" s="2859" t="s">
        <v>2387</v>
      </c>
      <c r="M22" s="2860"/>
      <c r="N22" s="2860"/>
      <c r="O22" s="2861"/>
      <c r="P22" s="2862">
        <v>365</v>
      </c>
      <c r="Q22" s="2836"/>
      <c r="R22" s="2902">
        <f>ROUND(M22*N22*O22*P22/10000,0)</f>
        <v>0</v>
      </c>
      <c r="S22" s="2898"/>
      <c r="T22" s="2898"/>
      <c r="U22" s="2898"/>
      <c r="V22" s="2825"/>
    </row>
    <row r="23" spans="1:22" s="2829" customFormat="1" ht="13.15" customHeight="1">
      <c r="A23" s="2907">
        <v>1</v>
      </c>
      <c r="B23" s="2908" t="s">
        <v>2388</v>
      </c>
      <c r="C23" s="2909">
        <f>D6</f>
        <v>0</v>
      </c>
      <c r="D23" s="2910">
        <f>C23*(1+D24)</f>
        <v>0</v>
      </c>
      <c r="E23" s="2911">
        <f>D23*(1+E24)</f>
        <v>0</v>
      </c>
      <c r="F23" s="2912"/>
      <c r="G23" s="2913"/>
      <c r="H23" s="2824"/>
      <c r="I23" s="2825"/>
      <c r="J23" s="3831"/>
      <c r="K23" s="3833"/>
      <c r="L23" s="2859" t="s">
        <v>2389</v>
      </c>
      <c r="M23" s="2860"/>
      <c r="N23" s="2860"/>
      <c r="O23" s="2861"/>
      <c r="P23" s="2862">
        <v>365</v>
      </c>
      <c r="Q23" s="2836"/>
      <c r="R23" s="2902">
        <f>ROUND(M23*N23*O23*P23/10000,0)</f>
        <v>0</v>
      </c>
      <c r="S23" s="2817"/>
      <c r="T23" s="2817"/>
      <c r="U23" s="2817"/>
      <c r="V23" s="2825"/>
    </row>
    <row r="24" spans="1:22" s="2829" customFormat="1" ht="13.15" customHeight="1">
      <c r="A24" s="2914"/>
      <c r="B24" s="2915" t="s">
        <v>2390</v>
      </c>
      <c r="C24" s="2916"/>
      <c r="D24" s="2917"/>
      <c r="E24" s="2918"/>
      <c r="F24" s="2919"/>
      <c r="G24" s="2913"/>
      <c r="H24" s="2824"/>
      <c r="I24" s="2825"/>
      <c r="J24" s="3831"/>
      <c r="K24" s="3834"/>
      <c r="L24" s="2879" t="s">
        <v>2351</v>
      </c>
      <c r="M24" s="2880">
        <f>SUM(M21:M23)</f>
        <v>0</v>
      </c>
      <c r="N24" s="2880"/>
      <c r="O24" s="2881"/>
      <c r="P24" s="2894" t="s">
        <v>2415</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2391</v>
      </c>
      <c r="L25" s="2922"/>
      <c r="M25" s="2922"/>
      <c r="N25" s="2922"/>
      <c r="O25" s="2922"/>
      <c r="P25" s="2923"/>
      <c r="Q25" s="2924">
        <v>0</v>
      </c>
      <c r="R25" s="2895">
        <f>ROUND(R14*Q25,0)</f>
        <v>0</v>
      </c>
      <c r="S25" s="2817"/>
      <c r="T25" s="2817"/>
      <c r="U25" s="2817"/>
      <c r="V25" s="2925"/>
    </row>
    <row r="26" spans="1:22" s="2926" customFormat="1" ht="13.15" customHeight="1">
      <c r="A26" s="2907">
        <v>2</v>
      </c>
      <c r="B26" s="2908" t="s">
        <v>2392</v>
      </c>
      <c r="C26" s="2909">
        <f>D7</f>
        <v>0</v>
      </c>
      <c r="D26" s="2910">
        <f>D23*D27</f>
        <v>0</v>
      </c>
      <c r="E26" s="2911">
        <f>E23*E27</f>
        <v>0</v>
      </c>
      <c r="F26" s="2912"/>
      <c r="G26" s="2913"/>
      <c r="H26" s="2824"/>
      <c r="I26" s="2825"/>
      <c r="J26" s="3841">
        <v>5</v>
      </c>
      <c r="K26" s="2927" t="s">
        <v>2393</v>
      </c>
      <c r="L26" s="2928"/>
      <c r="M26" s="2929"/>
      <c r="N26" s="2930" t="s">
        <v>2394</v>
      </c>
      <c r="O26" s="2930" t="s">
        <v>2395</v>
      </c>
      <c r="P26" s="2931" t="s">
        <v>2396</v>
      </c>
      <c r="Q26" s="2931" t="s">
        <v>2397</v>
      </c>
      <c r="R26" s="2834" t="s">
        <v>2322</v>
      </c>
      <c r="S26" s="2932"/>
      <c r="T26" s="2932"/>
      <c r="U26" s="2932"/>
      <c r="V26" s="2925"/>
    </row>
    <row r="27" spans="1:22" s="2829" customFormat="1" ht="13.15" customHeight="1">
      <c r="A27" s="2914"/>
      <c r="B27" s="2915" t="s">
        <v>2398</v>
      </c>
      <c r="C27" s="2933" t="e">
        <f>E7</f>
        <v>#DIV/0!</v>
      </c>
      <c r="D27" s="2917"/>
      <c r="E27" s="2918"/>
      <c r="F27" s="2919"/>
      <c r="G27" s="2913"/>
      <c r="H27" s="2934"/>
      <c r="I27" s="2925"/>
      <c r="J27" s="3842"/>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2399</v>
      </c>
      <c r="F28" s="2919"/>
      <c r="G28" s="2906"/>
      <c r="H28" s="2934"/>
      <c r="I28" s="2925"/>
      <c r="J28" s="2940">
        <v>6</v>
      </c>
      <c r="K28" s="2941" t="s">
        <v>2400</v>
      </c>
      <c r="L28" s="2942" t="s">
        <v>2401</v>
      </c>
      <c r="M28" s="2943"/>
      <c r="N28" s="2942" t="s">
        <v>2402</v>
      </c>
      <c r="O28" s="2944"/>
      <c r="P28" s="2942" t="s">
        <v>2403</v>
      </c>
      <c r="Q28" s="2945">
        <v>1.4999999999999999E-2</v>
      </c>
      <c r="R28" s="2946"/>
      <c r="S28" s="2898"/>
      <c r="T28" s="2898"/>
      <c r="U28" s="2898"/>
      <c r="V28" s="2925"/>
    </row>
    <row r="29" spans="1:22" s="2926" customFormat="1" ht="13.15" customHeight="1">
      <c r="A29" s="2907">
        <v>3</v>
      </c>
      <c r="B29" s="2908" t="s">
        <v>2404</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2398</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2405</v>
      </c>
      <c r="K31" s="2815"/>
      <c r="L31" s="2815"/>
      <c r="M31" s="2815"/>
      <c r="N31" s="2815"/>
      <c r="O31" s="2815"/>
      <c r="P31" s="2815"/>
      <c r="Q31" s="2815"/>
      <c r="R31" s="2816"/>
      <c r="S31" s="2898"/>
      <c r="T31" s="2817"/>
      <c r="U31" s="2817"/>
      <c r="V31" s="2925"/>
    </row>
    <row r="32" spans="1:22" s="2926" customFormat="1" ht="13.15" customHeight="1">
      <c r="A32" s="2907">
        <v>4</v>
      </c>
      <c r="B32" s="2908" t="s">
        <v>2406</v>
      </c>
      <c r="C32" s="2909">
        <f>C23-C26-C29</f>
        <v>0</v>
      </c>
      <c r="D32" s="2910">
        <f>D23-D26-D29</f>
        <v>0</v>
      </c>
      <c r="E32" s="2911">
        <f>E23-E26-E29</f>
        <v>0</v>
      </c>
      <c r="F32" s="2912"/>
      <c r="G32" s="2906"/>
      <c r="H32" s="2824"/>
      <c r="I32" s="2825"/>
      <c r="J32" s="3824" t="s">
        <v>2298</v>
      </c>
      <c r="K32" s="3825"/>
      <c r="L32" s="2826" t="s">
        <v>2299</v>
      </c>
      <c r="M32" s="2826" t="s">
        <v>2300</v>
      </c>
      <c r="N32" s="2826" t="s">
        <v>2301</v>
      </c>
      <c r="O32" s="2826" t="s">
        <v>2302</v>
      </c>
      <c r="P32" s="2826" t="s">
        <v>2303</v>
      </c>
      <c r="Q32" s="2827" t="s">
        <v>2304</v>
      </c>
      <c r="R32" s="2949" t="s">
        <v>2305</v>
      </c>
      <c r="S32" s="2898"/>
      <c r="T32" s="2817"/>
      <c r="U32" s="2817"/>
      <c r="V32" s="2925"/>
    </row>
    <row r="33" spans="1:23" s="2829" customFormat="1" ht="13.15" customHeight="1">
      <c r="A33" s="2907"/>
      <c r="B33" s="2908"/>
      <c r="C33" s="2909"/>
      <c r="D33" s="2950"/>
      <c r="E33" s="2951"/>
      <c r="F33" s="2912"/>
      <c r="G33" s="2906"/>
      <c r="H33" s="2934"/>
      <c r="I33" s="2925"/>
      <c r="J33" s="3826" t="s">
        <v>2308</v>
      </c>
      <c r="K33" s="3827"/>
      <c r="L33" s="2832"/>
      <c r="M33" s="2832"/>
      <c r="N33" s="2832"/>
      <c r="O33" s="2832"/>
      <c r="P33" s="2832"/>
      <c r="Q33" s="2833"/>
      <c r="R33" s="2952">
        <f>SUM(L33:Q33)</f>
        <v>0</v>
      </c>
      <c r="S33" s="2898"/>
      <c r="T33" s="2817"/>
      <c r="U33" s="2817"/>
      <c r="V33" s="2825"/>
    </row>
    <row r="34" spans="1:23" s="2829" customFormat="1" ht="13.15" customHeight="1">
      <c r="A34" s="2907">
        <v>5</v>
      </c>
      <c r="B34" s="2908" t="s">
        <v>2407</v>
      </c>
      <c r="C34" s="2953"/>
      <c r="D34" s="2954"/>
      <c r="E34" s="2955"/>
      <c r="F34" s="2912"/>
      <c r="G34" s="2906"/>
      <c r="H34" s="2934"/>
      <c r="I34" s="2925"/>
      <c r="J34" s="3826" t="s">
        <v>2310</v>
      </c>
      <c r="K34" s="3827"/>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2408</v>
      </c>
      <c r="C35" s="2957"/>
      <c r="D35" s="2958"/>
      <c r="E35" s="2959"/>
      <c r="F35" s="2912"/>
      <c r="G35" s="2960"/>
      <c r="H35" s="2824"/>
      <c r="I35" s="2925"/>
      <c r="J35" s="2843" t="s">
        <v>2312</v>
      </c>
      <c r="K35" s="2844"/>
      <c r="L35" s="2844"/>
      <c r="M35" s="2845"/>
      <c r="N35" s="2845"/>
      <c r="O35" s="2845"/>
      <c r="P35" s="2845"/>
      <c r="Q35" s="2845"/>
      <c r="R35" s="2961">
        <f>R40+R41+R43</f>
        <v>0</v>
      </c>
      <c r="S35" s="2898"/>
      <c r="T35" s="2817" t="s">
        <v>2313</v>
      </c>
      <c r="U35" s="2817"/>
      <c r="V35" s="2825"/>
    </row>
    <row r="36" spans="1:23" s="2829" customFormat="1" ht="13.15" customHeight="1" thickBot="1">
      <c r="A36" s="2907">
        <v>7</v>
      </c>
      <c r="B36" s="2962" t="s">
        <v>2409</v>
      </c>
      <c r="C36" s="2963"/>
      <c r="D36" s="2964"/>
      <c r="E36" s="2965"/>
      <c r="F36" s="2966">
        <f>C36+D36+E36</f>
        <v>0</v>
      </c>
      <c r="G36" s="2906"/>
      <c r="H36" s="2824"/>
      <c r="I36" s="2825"/>
      <c r="J36" s="3831">
        <v>1</v>
      </c>
      <c r="K36" s="3832" t="s">
        <v>2410</v>
      </c>
      <c r="L36" s="2850"/>
      <c r="M36" s="2851"/>
      <c r="N36" s="2851"/>
      <c r="O36" s="2851"/>
      <c r="P36" s="2851"/>
      <c r="Q36" s="2851"/>
      <c r="R36" s="2834" t="s">
        <v>2322</v>
      </c>
      <c r="S36" s="2898"/>
      <c r="T36" s="2817" t="s">
        <v>2323</v>
      </c>
      <c r="U36" s="2817"/>
      <c r="V36" s="2825"/>
    </row>
    <row r="37" spans="1:23" s="2829" customFormat="1" ht="13.15" customHeight="1">
      <c r="A37" s="2907"/>
      <c r="B37" s="2908"/>
      <c r="C37" s="2908"/>
      <c r="D37" s="2908"/>
      <c r="E37" s="2908"/>
      <c r="F37" s="2912"/>
      <c r="G37" s="2906"/>
      <c r="H37" s="2824"/>
      <c r="I37" s="2825"/>
      <c r="J37" s="3831"/>
      <c r="K37" s="3833"/>
      <c r="L37" s="2859"/>
      <c r="M37" s="2860"/>
      <c r="N37" s="2836"/>
      <c r="O37" s="2861"/>
      <c r="P37" s="2861"/>
      <c r="Q37" s="2862"/>
      <c r="R37" s="2863"/>
      <c r="S37" s="2898"/>
      <c r="T37" s="2817" t="s">
        <v>2326</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831"/>
      <c r="K38" s="3833"/>
      <c r="L38" s="2859"/>
      <c r="M38" s="2860"/>
      <c r="N38" s="2836"/>
      <c r="O38" s="2861"/>
      <c r="P38" s="2861"/>
      <c r="Q38" s="2862"/>
      <c r="R38" s="2863"/>
      <c r="S38" s="2898"/>
      <c r="T38" s="2817" t="s">
        <v>2333</v>
      </c>
      <c r="U38" s="2817"/>
      <c r="V38" s="2825"/>
    </row>
    <row r="39" spans="1:23" s="2829" customFormat="1" ht="13.15" customHeight="1">
      <c r="A39" s="2907">
        <v>9</v>
      </c>
      <c r="B39" s="2908" t="s">
        <v>2411</v>
      </c>
      <c r="C39" s="2873" t="e">
        <f>C38</f>
        <v>#DIV/0!</v>
      </c>
      <c r="D39" s="2908">
        <f>D38/(1+D34)^C36</f>
        <v>0</v>
      </c>
      <c r="E39" s="2908">
        <f>E38/(1+E34)^(C36+D36)</f>
        <v>0</v>
      </c>
      <c r="F39" s="2912"/>
      <c r="G39" s="2967"/>
      <c r="H39" s="2824"/>
      <c r="I39" s="2825"/>
      <c r="J39" s="3831"/>
      <c r="K39" s="3833"/>
      <c r="L39" s="2859"/>
      <c r="M39" s="2860"/>
      <c r="N39" s="2836"/>
      <c r="O39" s="2861"/>
      <c r="P39" s="2861"/>
      <c r="Q39" s="2862"/>
      <c r="R39" s="2863"/>
      <c r="S39" s="2898"/>
      <c r="T39" s="2817"/>
      <c r="U39" s="2817"/>
      <c r="V39" s="2825"/>
    </row>
    <row r="40" spans="1:23" s="2829" customFormat="1" ht="13.15" customHeight="1">
      <c r="A40" s="2968">
        <v>10</v>
      </c>
      <c r="B40" s="2908" t="s">
        <v>2412</v>
      </c>
      <c r="C40" s="2969" t="e">
        <f>C39+D39+E39</f>
        <v>#DIV/0!</v>
      </c>
      <c r="D40" s="2970"/>
      <c r="E40" s="2970"/>
      <c r="F40" s="2971"/>
      <c r="G40" s="2906"/>
      <c r="H40" s="2824"/>
      <c r="I40" s="2825"/>
      <c r="J40" s="3831"/>
      <c r="K40" s="3834"/>
      <c r="L40" s="2879" t="s">
        <v>2351</v>
      </c>
      <c r="M40" s="2880"/>
      <c r="N40" s="2880"/>
      <c r="O40" s="2881"/>
      <c r="P40" s="2881"/>
      <c r="Q40" s="2882"/>
      <c r="R40" s="2828">
        <f>SUM(R37:R39)</f>
        <v>0</v>
      </c>
      <c r="S40" s="2898"/>
      <c r="T40" s="2817"/>
      <c r="U40" s="2817"/>
      <c r="V40" s="2825"/>
    </row>
    <row r="41" spans="1:23" s="2829" customFormat="1" ht="13.15" customHeight="1" thickBot="1">
      <c r="A41" s="2972">
        <v>11</v>
      </c>
      <c r="B41" s="2973" t="s">
        <v>2413</v>
      </c>
      <c r="C41" s="2973" t="e">
        <f>ROUND(C40*10000/B4,0)</f>
        <v>#DIV/0!</v>
      </c>
      <c r="D41" s="2974"/>
      <c r="E41" s="2974"/>
      <c r="F41" s="2975"/>
      <c r="G41" s="2976"/>
      <c r="H41" s="2824"/>
      <c r="I41" s="2825"/>
      <c r="J41" s="2920">
        <v>2</v>
      </c>
      <c r="K41" s="2921" t="s">
        <v>2391</v>
      </c>
      <c r="L41" s="2922"/>
      <c r="M41" s="2922"/>
      <c r="N41" s="2922"/>
      <c r="O41" s="2922"/>
      <c r="P41" s="2923"/>
      <c r="Q41" s="2924"/>
      <c r="R41" s="2895">
        <f>ROUND(R40*Q41,0)</f>
        <v>0</v>
      </c>
      <c r="S41" s="2898"/>
      <c r="T41" s="2817"/>
      <c r="U41" s="2932"/>
      <c r="V41" s="2825"/>
    </row>
    <row r="42" spans="1:23" s="2829" customFormat="1" ht="13.15" customHeight="1">
      <c r="G42" s="2976"/>
      <c r="H42" s="2824"/>
      <c r="I42" s="2825"/>
      <c r="J42" s="3841">
        <v>3</v>
      </c>
      <c r="K42" s="2927" t="s">
        <v>2393</v>
      </c>
      <c r="L42" s="2928"/>
      <c r="M42" s="2929"/>
      <c r="N42" s="2930" t="s">
        <v>2394</v>
      </c>
      <c r="O42" s="2930" t="s">
        <v>2395</v>
      </c>
      <c r="P42" s="2931" t="s">
        <v>2396</v>
      </c>
      <c r="Q42" s="2931" t="s">
        <v>2397</v>
      </c>
      <c r="R42" s="2834" t="s">
        <v>2322</v>
      </c>
      <c r="S42" s="2932"/>
      <c r="T42" s="2932"/>
      <c r="U42" s="2817"/>
      <c r="V42" s="2825"/>
    </row>
    <row r="43" spans="1:23" ht="13.15" customHeight="1">
      <c r="A43" s="2829"/>
      <c r="B43" s="2829"/>
      <c r="C43" s="2829"/>
      <c r="D43" s="2829"/>
      <c r="E43" s="2829"/>
      <c r="F43" s="2829"/>
      <c r="I43" s="2812"/>
      <c r="J43" s="3842"/>
      <c r="K43" s="2935"/>
      <c r="L43" s="2936"/>
      <c r="M43" s="2937"/>
      <c r="N43" s="2860"/>
      <c r="O43" s="2860"/>
      <c r="P43" s="2860"/>
      <c r="Q43" s="2924"/>
      <c r="R43" s="2895">
        <f>ROUND(O43*N43*P43*(1-Q43)/10000,0)</f>
        <v>0</v>
      </c>
      <c r="S43" s="2898"/>
      <c r="T43" s="2817"/>
      <c r="V43" s="2978"/>
      <c r="W43" s="2979"/>
    </row>
    <row r="44" spans="1:23" ht="13.15" customHeight="1" thickBot="1">
      <c r="J44" s="2940">
        <v>6</v>
      </c>
      <c r="K44" s="2941" t="s">
        <v>2400</v>
      </c>
      <c r="L44" s="2980" t="s">
        <v>2401</v>
      </c>
      <c r="M44" s="2943"/>
      <c r="N44" s="2980" t="s">
        <v>2402</v>
      </c>
      <c r="O44" s="2943"/>
      <c r="P44" s="2980" t="s">
        <v>2403</v>
      </c>
      <c r="Q44" s="2945">
        <v>1.4999999999999999E-2</v>
      </c>
      <c r="R44" s="29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1643</v>
      </c>
      <c r="C1" s="1238" t="s">
        <v>1644</v>
      </c>
      <c r="D1" s="1225"/>
      <c r="E1" s="3402"/>
      <c r="F1" s="1879"/>
      <c r="G1" s="1235" t="s">
        <v>1645</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1646</v>
      </c>
      <c r="F2" s="1883"/>
      <c r="G2" s="907"/>
      <c r="H2" s="907"/>
      <c r="I2" s="907"/>
      <c r="J2" s="907"/>
      <c r="K2" s="1884"/>
      <c r="L2" s="2689"/>
      <c r="M2" s="2690"/>
      <c r="N2" s="2690"/>
      <c r="O2" s="269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1647</v>
      </c>
      <c r="D3" s="353">
        <f>IF(D1="",'数据-汇总表'!E3,SUMIF('数据-汇总表'!$C19:$C33,D1,'数据-汇总表'!$E19:$E33))</f>
        <v>32105.55</v>
      </c>
      <c r="E3" s="907"/>
      <c r="F3" s="1888"/>
      <c r="G3" s="907"/>
      <c r="H3" s="907"/>
      <c r="I3" s="907"/>
      <c r="J3" s="907"/>
      <c r="K3" s="1884"/>
      <c r="L3" s="2689"/>
      <c r="M3" s="2690"/>
      <c r="N3" s="2690"/>
      <c r="O3" s="2690"/>
      <c r="P3" s="1885"/>
      <c r="Q3" s="1886"/>
      <c r="R3" s="1886"/>
      <c r="S3" s="1886"/>
      <c r="T3" s="1886"/>
      <c r="U3" s="1886"/>
      <c r="V3" s="1886"/>
      <c r="W3" s="1886"/>
      <c r="X3" s="1886"/>
      <c r="Y3" s="1886"/>
      <c r="Z3" s="1886"/>
      <c r="AA3" s="1886"/>
      <c r="AB3" s="1886"/>
      <c r="AC3" s="1061"/>
    </row>
    <row r="4" spans="1:29" ht="15">
      <c r="A4" s="355" t="s">
        <v>1648</v>
      </c>
      <c r="B4" s="356"/>
      <c r="C4" s="3786" t="s">
        <v>1649</v>
      </c>
      <c r="D4" s="3787"/>
      <c r="E4" s="3788" t="s">
        <v>1650</v>
      </c>
      <c r="F4" s="3789"/>
      <c r="G4" s="3786" t="s">
        <v>1651</v>
      </c>
      <c r="H4" s="3787"/>
      <c r="I4" s="3786" t="s">
        <v>1652</v>
      </c>
      <c r="J4" s="3787"/>
      <c r="K4" s="1889" t="s">
        <v>1653</v>
      </c>
      <c r="L4" s="2691"/>
      <c r="M4" s="2692"/>
      <c r="N4" s="2692"/>
      <c r="O4" s="2692"/>
      <c r="P4" s="3847" t="s">
        <v>1654</v>
      </c>
      <c r="Q4" s="3848"/>
      <c r="R4" s="3844" t="s">
        <v>1650</v>
      </c>
      <c r="S4" s="3845"/>
      <c r="T4" s="3844" t="s">
        <v>1651</v>
      </c>
      <c r="U4" s="3845"/>
      <c r="V4" s="3799" t="s">
        <v>1652</v>
      </c>
      <c r="W4" s="3799"/>
      <c r="X4" s="1355"/>
      <c r="Y4" s="3844" t="s">
        <v>1654</v>
      </c>
      <c r="Z4" s="3845"/>
      <c r="AA4" s="3843" t="s">
        <v>1650</v>
      </c>
      <c r="AB4" s="3843" t="s">
        <v>1651</v>
      </c>
      <c r="AC4" s="3843" t="s">
        <v>1652</v>
      </c>
    </row>
    <row r="5" spans="1:29" ht="15">
      <c r="A5" s="358"/>
      <c r="B5" s="359"/>
      <c r="C5" s="3776" t="s">
        <v>1655</v>
      </c>
      <c r="D5" s="3777"/>
      <c r="E5" s="3846" t="s">
        <v>1656</v>
      </c>
      <c r="F5" s="3775"/>
      <c r="G5" s="3776" t="s">
        <v>1657</v>
      </c>
      <c r="H5" s="3777"/>
      <c r="I5" s="3776" t="s">
        <v>1658</v>
      </c>
      <c r="J5" s="3777"/>
      <c r="K5" s="1890"/>
      <c r="L5" s="2691"/>
      <c r="M5" s="2692"/>
      <c r="N5" s="2692"/>
      <c r="O5" s="2692"/>
      <c r="P5" s="3849"/>
      <c r="Q5" s="3793"/>
      <c r="R5" s="3772"/>
      <c r="S5" s="3773"/>
      <c r="T5" s="3772"/>
      <c r="U5" s="3773"/>
      <c r="V5" s="3799"/>
      <c r="W5" s="3799"/>
      <c r="X5" s="1355"/>
      <c r="Y5" s="3772"/>
      <c r="Z5" s="3773"/>
      <c r="AA5" s="3766"/>
      <c r="AB5" s="3766"/>
      <c r="AC5" s="3766"/>
    </row>
    <row r="6" spans="1:29" ht="15.75" thickBot="1">
      <c r="A6" s="360"/>
      <c r="B6" s="361"/>
      <c r="C6" s="3778" t="s">
        <v>1659</v>
      </c>
      <c r="D6" s="3779"/>
      <c r="E6" s="3780" t="s">
        <v>1659</v>
      </c>
      <c r="F6" s="3781"/>
      <c r="G6" s="3778" t="s">
        <v>1659</v>
      </c>
      <c r="H6" s="3779"/>
      <c r="I6" s="3778" t="s">
        <v>1659</v>
      </c>
      <c r="J6" s="3779"/>
      <c r="K6" s="1890" t="s">
        <v>1660</v>
      </c>
      <c r="L6" s="2691"/>
      <c r="M6" s="2692"/>
      <c r="N6" s="2692"/>
      <c r="O6" s="2692"/>
      <c r="P6" s="3850"/>
      <c r="Q6" s="3795"/>
      <c r="R6" s="3772"/>
      <c r="S6" s="3773"/>
      <c r="T6" s="3796"/>
      <c r="U6" s="3797"/>
      <c r="V6" s="3799"/>
      <c r="W6" s="3799"/>
      <c r="X6" s="1355"/>
      <c r="Y6" s="3796"/>
      <c r="Z6" s="3797"/>
      <c r="AA6" s="3767"/>
      <c r="AB6" s="3767"/>
      <c r="AC6" s="3767"/>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1891"/>
      <c r="L7" s="2693"/>
      <c r="M7" s="2694"/>
      <c r="N7" s="2694"/>
      <c r="O7" s="2694"/>
      <c r="P7" s="3768" t="s">
        <v>1662</v>
      </c>
      <c r="Q7" s="3801"/>
      <c r="R7" s="701" t="s">
        <v>20</v>
      </c>
      <c r="S7" s="702">
        <f t="shared" ref="S7:S15" si="0">F7</f>
        <v>0</v>
      </c>
      <c r="T7" s="701" t="s">
        <v>20</v>
      </c>
      <c r="U7" s="702">
        <f t="shared" ref="U7:U15" si="1">H7</f>
        <v>0</v>
      </c>
      <c r="V7" s="701" t="s">
        <v>20</v>
      </c>
      <c r="W7" s="702">
        <f t="shared" ref="W7:W15" si="2">J7</f>
        <v>0</v>
      </c>
      <c r="X7" s="703"/>
      <c r="Y7" s="3768" t="s">
        <v>1662</v>
      </c>
      <c r="Z7" s="3769"/>
      <c r="AA7" s="704" t="e">
        <f>D7/F7</f>
        <v>#DIV/0!</v>
      </c>
      <c r="AB7" s="704" t="e">
        <f>D7/H7</f>
        <v>#DIV/0!</v>
      </c>
      <c r="AC7" s="704" t="e">
        <f>D7/J7</f>
        <v>#DIV/0!</v>
      </c>
    </row>
    <row r="8" spans="1:29" s="108" customFormat="1" ht="15.75" thickBot="1">
      <c r="A8" s="362" t="s">
        <v>1663</v>
      </c>
      <c r="B8" s="363"/>
      <c r="C8" s="368"/>
      <c r="D8" s="365">
        <v>100</v>
      </c>
      <c r="E8" s="1892"/>
      <c r="F8" s="367">
        <f>SUMIF(61:61,E8,62:62)-SUMIF(61:61,C8,62:62)+100</f>
        <v>100</v>
      </c>
      <c r="G8" s="368"/>
      <c r="H8" s="365">
        <f>SUMIF(61:61,G8,62:62)-SUMIF(61:61,C8,62:62)+100</f>
        <v>100</v>
      </c>
      <c r="I8" s="1892"/>
      <c r="J8" s="365">
        <f>SUMIF(61:61,I8,62:62)-SUMIF(61:61,C8,62:62)+100</f>
        <v>100</v>
      </c>
      <c r="K8" s="1891"/>
      <c r="L8" s="2693"/>
      <c r="M8" s="2694"/>
      <c r="N8" s="2694"/>
      <c r="O8" s="2694"/>
      <c r="P8" s="3768" t="s">
        <v>1665</v>
      </c>
      <c r="Q8" s="3769"/>
      <c r="R8" s="701" t="s">
        <v>20</v>
      </c>
      <c r="S8" s="702">
        <f t="shared" si="0"/>
        <v>100</v>
      </c>
      <c r="T8" s="701" t="s">
        <v>20</v>
      </c>
      <c r="U8" s="702">
        <f t="shared" si="1"/>
        <v>100</v>
      </c>
      <c r="V8" s="701" t="s">
        <v>20</v>
      </c>
      <c r="W8" s="702">
        <f t="shared" si="2"/>
        <v>100</v>
      </c>
      <c r="X8" s="703"/>
      <c r="Y8" s="3768" t="s">
        <v>1665</v>
      </c>
      <c r="Z8" s="3769"/>
      <c r="AA8" s="704">
        <f t="shared" ref="AA8:AA19" si="3">D8/F8</f>
        <v>1</v>
      </c>
      <c r="AB8" s="704">
        <f t="shared" ref="AB8:AB19" si="4">D8/H8</f>
        <v>1</v>
      </c>
      <c r="AC8" s="704">
        <f t="shared" ref="AC8:AC19" si="5">D8/J8</f>
        <v>1</v>
      </c>
    </row>
    <row r="9" spans="1:29" s="108" customFormat="1">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91"/>
      <c r="L9" s="2693"/>
      <c r="M9" s="2694"/>
      <c r="N9" s="2694"/>
      <c r="O9" s="2694"/>
      <c r="P9" s="3782" t="s">
        <v>1668</v>
      </c>
      <c r="Q9" s="1343" t="str">
        <f t="shared" ref="Q9:Q15" si="6">B9</f>
        <v>用途</v>
      </c>
      <c r="R9" s="701" t="s">
        <v>14</v>
      </c>
      <c r="S9" s="702">
        <f t="shared" si="0"/>
        <v>100</v>
      </c>
      <c r="T9" s="701" t="s">
        <v>14</v>
      </c>
      <c r="U9" s="702">
        <f t="shared" si="1"/>
        <v>100</v>
      </c>
      <c r="V9" s="701" t="s">
        <v>14</v>
      </c>
      <c r="W9" s="702">
        <f t="shared" si="2"/>
        <v>100</v>
      </c>
      <c r="X9" s="703"/>
      <c r="Y9" s="3741"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1891"/>
      <c r="L10" s="2695"/>
      <c r="M10" s="2696"/>
      <c r="N10" s="2696"/>
      <c r="O10" s="2696"/>
      <c r="P10" s="3782"/>
      <c r="Q10" s="1343"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782"/>
      <c r="Q11" s="1343" t="str">
        <f t="shared" si="6"/>
        <v>容积率</v>
      </c>
      <c r="R11" s="701" t="s">
        <v>18</v>
      </c>
      <c r="S11" s="702" t="e">
        <f t="shared" si="0"/>
        <v>#N/A</v>
      </c>
      <c r="T11" s="701" t="s">
        <v>18</v>
      </c>
      <c r="U11" s="702" t="e">
        <f t="shared" si="1"/>
        <v>#N/A</v>
      </c>
      <c r="V11" s="701" t="s">
        <v>18</v>
      </c>
      <c r="W11" s="702" t="e">
        <f t="shared" si="2"/>
        <v>#N/A</v>
      </c>
      <c r="X11" s="703"/>
      <c r="Y11" s="37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3"/>
      <c r="M12" s="2694"/>
      <c r="N12" s="2694"/>
      <c r="O12" s="2694"/>
      <c r="P12" s="3782"/>
      <c r="Q12" s="1343">
        <f t="shared" si="6"/>
        <v>111</v>
      </c>
      <c r="R12" s="701" t="s">
        <v>18</v>
      </c>
      <c r="S12" s="702">
        <f t="shared" si="0"/>
        <v>100</v>
      </c>
      <c r="T12" s="701" t="s">
        <v>18</v>
      </c>
      <c r="U12" s="702">
        <f t="shared" si="1"/>
        <v>100</v>
      </c>
      <c r="V12" s="701" t="s">
        <v>18</v>
      </c>
      <c r="W12" s="702">
        <f t="shared" si="2"/>
        <v>100</v>
      </c>
      <c r="X12" s="703"/>
      <c r="Y12" s="37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8"/>
      <c r="M13" s="2692"/>
      <c r="N13" s="2692"/>
      <c r="O13" s="2692"/>
      <c r="P13" s="3782"/>
      <c r="Q13" s="1343">
        <f t="shared" si="6"/>
        <v>111</v>
      </c>
      <c r="R13" s="701" t="s">
        <v>18</v>
      </c>
      <c r="S13" s="702">
        <f t="shared" si="0"/>
        <v>100</v>
      </c>
      <c r="T13" s="701" t="s">
        <v>18</v>
      </c>
      <c r="U13" s="702">
        <f t="shared" si="1"/>
        <v>100</v>
      </c>
      <c r="V13" s="701" t="s">
        <v>18</v>
      </c>
      <c r="W13" s="702">
        <f t="shared" si="2"/>
        <v>100</v>
      </c>
      <c r="X13" s="703"/>
      <c r="Y13" s="37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8"/>
      <c r="M14" s="2692"/>
      <c r="N14" s="2692"/>
      <c r="O14" s="2692"/>
      <c r="P14" s="3782"/>
      <c r="Q14" s="1343">
        <f t="shared" si="6"/>
        <v>111</v>
      </c>
      <c r="R14" s="701" t="s">
        <v>18</v>
      </c>
      <c r="S14" s="702">
        <f t="shared" si="0"/>
        <v>100</v>
      </c>
      <c r="T14" s="701" t="s">
        <v>18</v>
      </c>
      <c r="U14" s="702">
        <f t="shared" si="1"/>
        <v>100</v>
      </c>
      <c r="V14" s="701" t="s">
        <v>18</v>
      </c>
      <c r="W14" s="702">
        <f t="shared" si="2"/>
        <v>100</v>
      </c>
      <c r="X14" s="703"/>
      <c r="Y14" s="3741"/>
      <c r="Z14" s="52">
        <f t="shared" si="7"/>
        <v>111</v>
      </c>
      <c r="AA14" s="704">
        <f t="shared" si="3"/>
        <v>1</v>
      </c>
      <c r="AB14" s="704">
        <f t="shared" si="4"/>
        <v>1</v>
      </c>
      <c r="AC14" s="704">
        <f t="shared" si="5"/>
        <v>1</v>
      </c>
    </row>
    <row r="15" spans="1:29" ht="15">
      <c r="A15" s="391" t="s">
        <v>1672</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802" t="s">
        <v>1673</v>
      </c>
      <c r="Q15" s="1352" t="str">
        <f t="shared" si="6"/>
        <v>居住社区成熟度</v>
      </c>
      <c r="R15" s="705" t="s">
        <v>18</v>
      </c>
      <c r="S15" s="706">
        <f t="shared" si="0"/>
        <v>100</v>
      </c>
      <c r="T15" s="705" t="s">
        <v>18</v>
      </c>
      <c r="U15" s="706">
        <f t="shared" si="1"/>
        <v>100</v>
      </c>
      <c r="V15" s="705" t="s">
        <v>18</v>
      </c>
      <c r="W15" s="706">
        <f t="shared" si="2"/>
        <v>100</v>
      </c>
      <c r="X15" s="1355"/>
      <c r="Y15" s="3804" t="s">
        <v>1673</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8"/>
      <c r="M16" s="2692"/>
      <c r="N16" s="2692"/>
      <c r="O16" s="2692"/>
      <c r="P16" s="3803"/>
      <c r="Q16" s="1352"/>
      <c r="R16" s="705"/>
      <c r="S16" s="706"/>
      <c r="T16" s="705"/>
      <c r="U16" s="706"/>
      <c r="V16" s="705"/>
      <c r="W16" s="706"/>
      <c r="X16" s="1355"/>
      <c r="Y16" s="3805"/>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803"/>
      <c r="Q17" s="1352" t="str">
        <f>B17</f>
        <v>交通便捷度</v>
      </c>
      <c r="R17" s="705" t="s">
        <v>18</v>
      </c>
      <c r="S17" s="706">
        <f>F17</f>
        <v>100</v>
      </c>
      <c r="T17" s="705" t="s">
        <v>18</v>
      </c>
      <c r="U17" s="706">
        <f>H17</f>
        <v>100</v>
      </c>
      <c r="V17" s="705" t="s">
        <v>18</v>
      </c>
      <c r="W17" s="706">
        <f>J17</f>
        <v>100</v>
      </c>
      <c r="X17" s="1355"/>
      <c r="Y17" s="38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8"/>
      <c r="M18" s="2692"/>
      <c r="N18" s="2692"/>
      <c r="O18" s="2692"/>
      <c r="P18" s="3803"/>
      <c r="Q18" s="1352"/>
      <c r="R18" s="705"/>
      <c r="S18" s="706"/>
      <c r="T18" s="705"/>
      <c r="U18" s="706"/>
      <c r="V18" s="705"/>
      <c r="W18" s="706"/>
      <c r="X18" s="1355"/>
      <c r="Y18" s="3805"/>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803"/>
      <c r="Q19" s="1352" t="str">
        <f>B19</f>
        <v>公共配套设施</v>
      </c>
      <c r="R19" s="705" t="s">
        <v>18</v>
      </c>
      <c r="S19" s="706">
        <f>F19</f>
        <v>100</v>
      </c>
      <c r="T19" s="705" t="s">
        <v>18</v>
      </c>
      <c r="U19" s="706">
        <f>H19</f>
        <v>100</v>
      </c>
      <c r="V19" s="705" t="s">
        <v>18</v>
      </c>
      <c r="W19" s="706">
        <f>J19</f>
        <v>100</v>
      </c>
      <c r="X19" s="1355"/>
      <c r="Y19" s="38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8"/>
      <c r="M20" s="2692"/>
      <c r="N20" s="2692"/>
      <c r="O20" s="2692"/>
      <c r="P20" s="3803"/>
      <c r="Q20" s="1352"/>
      <c r="R20" s="705"/>
      <c r="S20" s="706"/>
      <c r="T20" s="705"/>
      <c r="U20" s="706"/>
      <c r="V20" s="705"/>
      <c r="W20" s="706"/>
      <c r="X20" s="1355"/>
      <c r="Y20" s="3805"/>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803"/>
      <c r="Q21" s="1352" t="str">
        <f>B21</f>
        <v>基础设施水平</v>
      </c>
      <c r="R21" s="705" t="s">
        <v>14</v>
      </c>
      <c r="S21" s="706">
        <f>F21</f>
        <v>100</v>
      </c>
      <c r="T21" s="705" t="s">
        <v>14</v>
      </c>
      <c r="U21" s="706">
        <f>H21</f>
        <v>100</v>
      </c>
      <c r="V21" s="705" t="s">
        <v>14</v>
      </c>
      <c r="W21" s="706">
        <f>J21</f>
        <v>100</v>
      </c>
      <c r="X21" s="1355"/>
      <c r="Y21" s="38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8"/>
      <c r="M22" s="2692"/>
      <c r="N22" s="2692"/>
      <c r="O22" s="2692"/>
      <c r="P22" s="3803"/>
      <c r="Q22" s="1352"/>
      <c r="R22" s="705"/>
      <c r="S22" s="706"/>
      <c r="T22" s="705"/>
      <c r="U22" s="706"/>
      <c r="V22" s="705"/>
      <c r="W22" s="706"/>
      <c r="X22" s="1355"/>
      <c r="Y22" s="3805"/>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803"/>
      <c r="Q23" s="1352" t="str">
        <f>B23</f>
        <v>自然及人文环境</v>
      </c>
      <c r="R23" s="705" t="s">
        <v>18</v>
      </c>
      <c r="S23" s="706">
        <f>F23</f>
        <v>100</v>
      </c>
      <c r="T23" s="705" t="s">
        <v>18</v>
      </c>
      <c r="U23" s="706">
        <f>H23</f>
        <v>100</v>
      </c>
      <c r="V23" s="705" t="s">
        <v>18</v>
      </c>
      <c r="W23" s="706">
        <f>J23</f>
        <v>100</v>
      </c>
      <c r="X23" s="1355"/>
      <c r="Y23" s="38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8"/>
      <c r="M24" s="2692"/>
      <c r="N24" s="2692"/>
      <c r="O24" s="2692"/>
      <c r="P24" s="3803"/>
      <c r="Q24" s="1352"/>
      <c r="R24" s="705"/>
      <c r="S24" s="706"/>
      <c r="T24" s="705"/>
      <c r="U24" s="706"/>
      <c r="V24" s="705"/>
      <c r="W24" s="706"/>
      <c r="X24" s="1355"/>
      <c r="Y24" s="3805"/>
      <c r="Z24" s="1356"/>
      <c r="AA24" s="1353">
        <v>1</v>
      </c>
      <c r="AB24" s="1353">
        <v>1</v>
      </c>
      <c r="AC24" s="1353">
        <v>1</v>
      </c>
    </row>
    <row r="25" spans="1:29" ht="15">
      <c r="A25" s="379"/>
      <c r="B25" s="375" t="s">
        <v>1674</v>
      </c>
      <c r="C25" s="411"/>
      <c r="D25" s="386">
        <v>100</v>
      </c>
      <c r="E25" s="1906"/>
      <c r="F25" s="386">
        <f>SUMIF(86:86,E25,87:87)-SUMIF(86:86,C25,87:87)+100</f>
        <v>100</v>
      </c>
      <c r="G25" s="1907"/>
      <c r="H25" s="386">
        <f>SUMIF(86:86,G25,87:87)-SUMIF(86:86,C25,87:87)+100</f>
        <v>100</v>
      </c>
      <c r="I25" s="1907"/>
      <c r="J25" s="386">
        <f>SUMIF(86:86,I25,87:87)-SUMIF(86:86,C25,87:87)+100</f>
        <v>100</v>
      </c>
      <c r="K25" s="377"/>
      <c r="L25" s="2698"/>
      <c r="M25" s="2692"/>
      <c r="N25" s="2692"/>
      <c r="O25" s="2692"/>
      <c r="P25" s="38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05"/>
      <c r="Z25" s="1356" t="str">
        <f>Q25</f>
        <v>楼层-1</v>
      </c>
      <c r="AA25" s="1353">
        <f t="shared" ref="AA25:AA46" si="15">D25/F25</f>
        <v>1</v>
      </c>
      <c r="AB25" s="1353">
        <f t="shared" ref="AB25:AB46" si="16">D25/H25</f>
        <v>1</v>
      </c>
      <c r="AC25" s="1353">
        <f t="shared" ref="AC25:AC46" si="17">D25/J25</f>
        <v>1</v>
      </c>
    </row>
    <row r="26" spans="1:29" ht="15">
      <c r="A26" s="379"/>
      <c r="B26" s="375" t="s">
        <v>1675</v>
      </c>
      <c r="C26" s="411"/>
      <c r="D26" s="386">
        <v>100</v>
      </c>
      <c r="E26" s="1906"/>
      <c r="F26" s="386">
        <f>SUMIF(88:88,E26,89:89)-SUMIF(88:88,C26,89:89)+100</f>
        <v>100</v>
      </c>
      <c r="G26" s="1907"/>
      <c r="H26" s="386">
        <f>SUMIF(88:88,G26,89:89)-SUMIF(88:88,C26,89:89)+100</f>
        <v>100</v>
      </c>
      <c r="I26" s="1907"/>
      <c r="J26" s="386">
        <f>SUMIF(88:88,I26,89:89)-SUMIF(88:88,C26,89:89)+100</f>
        <v>100</v>
      </c>
      <c r="K26" s="377"/>
      <c r="L26" s="2698"/>
      <c r="M26" s="2692"/>
      <c r="N26" s="2692"/>
      <c r="O26" s="2692"/>
      <c r="P26" s="3803"/>
      <c r="Q26" s="1352" t="str">
        <f t="shared" si="11"/>
        <v>朝向</v>
      </c>
      <c r="R26" s="705" t="s">
        <v>18</v>
      </c>
      <c r="S26" s="706">
        <f t="shared" si="12"/>
        <v>100</v>
      </c>
      <c r="T26" s="705" t="s">
        <v>18</v>
      </c>
      <c r="U26" s="706">
        <f t="shared" si="13"/>
        <v>100</v>
      </c>
      <c r="V26" s="705" t="s">
        <v>18</v>
      </c>
      <c r="W26" s="706">
        <f t="shared" si="14"/>
        <v>100</v>
      </c>
      <c r="X26" s="1355"/>
      <c r="Y26" s="38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3"/>
      <c r="M27" s="2694"/>
      <c r="N27" s="2694"/>
      <c r="O27" s="2694"/>
      <c r="P27" s="3803"/>
      <c r="Q27" s="1343">
        <f t="shared" si="11"/>
        <v>111</v>
      </c>
      <c r="R27" s="701" t="s">
        <v>18</v>
      </c>
      <c r="S27" s="702">
        <f t="shared" si="12"/>
        <v>100</v>
      </c>
      <c r="T27" s="701" t="s">
        <v>18</v>
      </c>
      <c r="U27" s="702">
        <f t="shared" si="13"/>
        <v>100</v>
      </c>
      <c r="V27" s="701" t="s">
        <v>18</v>
      </c>
      <c r="W27" s="702">
        <f t="shared" si="14"/>
        <v>100</v>
      </c>
      <c r="X27" s="703"/>
      <c r="Y27" s="38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8"/>
      <c r="M28" s="2692"/>
      <c r="N28" s="2692"/>
      <c r="O28" s="2692"/>
      <c r="P28" s="3803"/>
      <c r="Q28" s="1352">
        <f t="shared" si="11"/>
        <v>111</v>
      </c>
      <c r="R28" s="705" t="s">
        <v>18</v>
      </c>
      <c r="S28" s="706">
        <f t="shared" si="12"/>
        <v>100</v>
      </c>
      <c r="T28" s="705" t="s">
        <v>18</v>
      </c>
      <c r="U28" s="706">
        <f t="shared" si="13"/>
        <v>100</v>
      </c>
      <c r="V28" s="705" t="s">
        <v>18</v>
      </c>
      <c r="W28" s="706">
        <f t="shared" si="14"/>
        <v>100</v>
      </c>
      <c r="X28" s="1355"/>
      <c r="Y28" s="38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8"/>
      <c r="M29" s="2692"/>
      <c r="N29" s="2692"/>
      <c r="O29" s="2692"/>
      <c r="P29" s="3803"/>
      <c r="Q29" s="1352">
        <f t="shared" si="11"/>
        <v>111</v>
      </c>
      <c r="R29" s="705" t="s">
        <v>18</v>
      </c>
      <c r="S29" s="706">
        <f t="shared" si="12"/>
        <v>100</v>
      </c>
      <c r="T29" s="705" t="s">
        <v>18</v>
      </c>
      <c r="U29" s="706">
        <f t="shared" si="13"/>
        <v>100</v>
      </c>
      <c r="V29" s="705" t="s">
        <v>18</v>
      </c>
      <c r="W29" s="706">
        <f t="shared" si="14"/>
        <v>100</v>
      </c>
      <c r="X29" s="1355"/>
      <c r="Y29" s="38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8"/>
      <c r="M30" s="2692"/>
      <c r="N30" s="2692"/>
      <c r="O30" s="2692"/>
      <c r="P30" s="3803"/>
      <c r="Q30" s="1352">
        <f t="shared" si="11"/>
        <v>111</v>
      </c>
      <c r="R30" s="705" t="s">
        <v>18</v>
      </c>
      <c r="S30" s="706">
        <f t="shared" si="12"/>
        <v>100</v>
      </c>
      <c r="T30" s="705" t="s">
        <v>18</v>
      </c>
      <c r="U30" s="706">
        <f t="shared" si="13"/>
        <v>100</v>
      </c>
      <c r="V30" s="705" t="s">
        <v>18</v>
      </c>
      <c r="W30" s="706">
        <f t="shared" si="14"/>
        <v>100</v>
      </c>
      <c r="X30" s="1355"/>
      <c r="Y30" s="38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8"/>
      <c r="M31" s="2692"/>
      <c r="N31" s="2692"/>
      <c r="O31" s="2692"/>
      <c r="P31" s="3803"/>
      <c r="Q31" s="1352">
        <f t="shared" si="11"/>
        <v>111</v>
      </c>
      <c r="R31" s="705" t="s">
        <v>18</v>
      </c>
      <c r="S31" s="706">
        <f t="shared" si="12"/>
        <v>100</v>
      </c>
      <c r="T31" s="705" t="s">
        <v>18</v>
      </c>
      <c r="U31" s="706">
        <f t="shared" si="13"/>
        <v>100</v>
      </c>
      <c r="V31" s="705" t="s">
        <v>18</v>
      </c>
      <c r="W31" s="706">
        <f t="shared" si="14"/>
        <v>100</v>
      </c>
      <c r="X31" s="1355"/>
      <c r="Y31" s="3805"/>
      <c r="Z31" s="1356">
        <f t="shared" si="18"/>
        <v>111</v>
      </c>
      <c r="AA31" s="1353">
        <f t="shared" si="15"/>
        <v>1</v>
      </c>
      <c r="AB31" s="1353">
        <f t="shared" si="16"/>
        <v>1</v>
      </c>
      <c r="AC31" s="1353">
        <f t="shared" si="17"/>
        <v>1</v>
      </c>
    </row>
    <row r="32" spans="1:29" ht="15">
      <c r="A32" s="391" t="s">
        <v>1676</v>
      </c>
      <c r="B32" s="63" t="s">
        <v>1677</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8"/>
      <c r="M32" s="2692"/>
      <c r="N32" s="2692"/>
      <c r="O32" s="2692"/>
      <c r="P32" s="3806" t="s">
        <v>1678</v>
      </c>
      <c r="Q32" s="1352" t="str">
        <f t="shared" si="11"/>
        <v>建筑类型</v>
      </c>
      <c r="R32" s="705" t="s">
        <v>18</v>
      </c>
      <c r="S32" s="706">
        <f t="shared" si="12"/>
        <v>100</v>
      </c>
      <c r="T32" s="705" t="s">
        <v>18</v>
      </c>
      <c r="U32" s="706">
        <f t="shared" si="13"/>
        <v>100</v>
      </c>
      <c r="V32" s="705" t="s">
        <v>18</v>
      </c>
      <c r="W32" s="706">
        <f t="shared" si="14"/>
        <v>100</v>
      </c>
      <c r="X32" s="1355"/>
      <c r="Y32" s="3809" t="s">
        <v>1678</v>
      </c>
      <c r="Z32" s="1356" t="str">
        <f t="shared" si="18"/>
        <v>建筑类型</v>
      </c>
      <c r="AA32" s="1353">
        <f t="shared" si="15"/>
        <v>1</v>
      </c>
      <c r="AB32" s="1353">
        <f t="shared" si="16"/>
        <v>1</v>
      </c>
      <c r="AC32" s="1353">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7"/>
      <c r="M33" s="2699"/>
      <c r="N33" s="2699"/>
      <c r="O33" s="2699"/>
      <c r="P33" s="3807"/>
      <c r="Q33" s="707" t="str">
        <f t="shared" si="11"/>
        <v>项目建筑规模</v>
      </c>
      <c r="R33" s="708" t="s">
        <v>18</v>
      </c>
      <c r="S33" s="709" t="e">
        <f t="shared" si="12"/>
        <v>#N/A</v>
      </c>
      <c r="T33" s="708" t="s">
        <v>18</v>
      </c>
      <c r="U33" s="709" t="e">
        <f t="shared" si="13"/>
        <v>#N/A</v>
      </c>
      <c r="V33" s="708" t="s">
        <v>18</v>
      </c>
      <c r="W33" s="709" t="e">
        <f t="shared" si="14"/>
        <v>#N/A</v>
      </c>
      <c r="X33" s="710"/>
      <c r="Y33" s="3809"/>
      <c r="Z33" s="711" t="str">
        <f t="shared" si="18"/>
        <v>项目建筑规模</v>
      </c>
      <c r="AA33" s="1353" t="e">
        <f t="shared" si="15"/>
        <v>#N/A</v>
      </c>
      <c r="AB33" s="1353" t="e">
        <f t="shared" si="16"/>
        <v>#N/A</v>
      </c>
      <c r="AC33" s="1353" t="e">
        <f t="shared" si="17"/>
        <v>#N/A</v>
      </c>
    </row>
    <row r="34" spans="1:29" ht="15">
      <c r="A34" s="423"/>
      <c r="B34" s="375" t="s">
        <v>1680</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8"/>
      <c r="M34" s="2692"/>
      <c r="N34" s="2692"/>
      <c r="O34" s="2692"/>
      <c r="P34" s="3807"/>
      <c r="Q34" s="1352" t="str">
        <f t="shared" si="11"/>
        <v>建筑结构</v>
      </c>
      <c r="R34" s="705" t="s">
        <v>18</v>
      </c>
      <c r="S34" s="706">
        <f t="shared" si="12"/>
        <v>100</v>
      </c>
      <c r="T34" s="705" t="s">
        <v>18</v>
      </c>
      <c r="U34" s="706">
        <f t="shared" si="13"/>
        <v>100</v>
      </c>
      <c r="V34" s="705" t="s">
        <v>18</v>
      </c>
      <c r="W34" s="706">
        <f t="shared" si="14"/>
        <v>100</v>
      </c>
      <c r="X34" s="1355"/>
      <c r="Y34" s="3809"/>
      <c r="Z34" s="1356" t="str">
        <f t="shared" si="18"/>
        <v>建筑结构</v>
      </c>
      <c r="AA34" s="1353">
        <f t="shared" si="15"/>
        <v>1</v>
      </c>
      <c r="AB34" s="1353">
        <f t="shared" si="16"/>
        <v>1</v>
      </c>
      <c r="AC34" s="1353">
        <f t="shared" si="17"/>
        <v>1</v>
      </c>
    </row>
    <row r="35" spans="1:29" ht="15">
      <c r="A35" s="423"/>
      <c r="B35" s="375" t="s">
        <v>1681</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8"/>
      <c r="M35" s="2692"/>
      <c r="N35" s="2692"/>
      <c r="O35" s="2692"/>
      <c r="P35" s="3807"/>
      <c r="Q35" s="1352" t="str">
        <f t="shared" si="11"/>
        <v>建筑品质</v>
      </c>
      <c r="R35" s="705" t="s">
        <v>18</v>
      </c>
      <c r="S35" s="706">
        <f t="shared" si="12"/>
        <v>100</v>
      </c>
      <c r="T35" s="705" t="s">
        <v>18</v>
      </c>
      <c r="U35" s="706">
        <f t="shared" si="13"/>
        <v>100</v>
      </c>
      <c r="V35" s="705" t="s">
        <v>18</v>
      </c>
      <c r="W35" s="706">
        <f t="shared" si="14"/>
        <v>100</v>
      </c>
      <c r="X35" s="1355"/>
      <c r="Y35" s="3809"/>
      <c r="Z35" s="1356" t="str">
        <f t="shared" si="18"/>
        <v>建筑品质</v>
      </c>
      <c r="AA35" s="1353">
        <f t="shared" si="15"/>
        <v>1</v>
      </c>
      <c r="AB35" s="1353">
        <f t="shared" si="16"/>
        <v>1</v>
      </c>
      <c r="AC35" s="1353">
        <f t="shared" si="17"/>
        <v>1</v>
      </c>
    </row>
    <row r="36" spans="1:29" ht="15">
      <c r="A36" s="423"/>
      <c r="B36" s="375" t="s">
        <v>1682</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8"/>
      <c r="M36" s="2692"/>
      <c r="N36" s="2692"/>
      <c r="O36" s="2692"/>
      <c r="P36" s="3807"/>
      <c r="Q36" s="1352" t="str">
        <f t="shared" si="11"/>
        <v>公共部分装修</v>
      </c>
      <c r="R36" s="705" t="s">
        <v>18</v>
      </c>
      <c r="S36" s="706">
        <f t="shared" si="12"/>
        <v>100</v>
      </c>
      <c r="T36" s="705" t="s">
        <v>18</v>
      </c>
      <c r="U36" s="706">
        <f t="shared" si="13"/>
        <v>100</v>
      </c>
      <c r="V36" s="705" t="s">
        <v>18</v>
      </c>
      <c r="W36" s="706">
        <f t="shared" si="14"/>
        <v>100</v>
      </c>
      <c r="X36" s="1355"/>
      <c r="Y36" s="3809"/>
      <c r="Z36" s="1356" t="str">
        <f t="shared" si="18"/>
        <v>公共部分装修</v>
      </c>
      <c r="AA36" s="1353">
        <f t="shared" si="15"/>
        <v>1</v>
      </c>
      <c r="AB36" s="1353">
        <f t="shared" si="16"/>
        <v>1</v>
      </c>
      <c r="AC36" s="1353">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807"/>
      <c r="Q37" s="1343" t="str">
        <f t="shared" si="11"/>
        <v>成新度</v>
      </c>
      <c r="R37" s="701" t="s">
        <v>18</v>
      </c>
      <c r="S37" s="702" t="e">
        <f t="shared" si="12"/>
        <v>#N/A</v>
      </c>
      <c r="T37" s="701" t="s">
        <v>18</v>
      </c>
      <c r="U37" s="702" t="e">
        <f t="shared" si="13"/>
        <v>#N/A</v>
      </c>
      <c r="V37" s="701" t="s">
        <v>18</v>
      </c>
      <c r="W37" s="702" t="e">
        <f t="shared" si="14"/>
        <v>#N/A</v>
      </c>
      <c r="X37" s="703"/>
      <c r="Y37" s="3809"/>
      <c r="Z37" s="52" t="str">
        <f t="shared" si="18"/>
        <v>成新度</v>
      </c>
      <c r="AA37" s="704" t="e">
        <f t="shared" si="15"/>
        <v>#N/A</v>
      </c>
      <c r="AB37" s="704" t="e">
        <f t="shared" si="16"/>
        <v>#N/A</v>
      </c>
      <c r="AC37" s="704" t="e">
        <f t="shared" si="17"/>
        <v>#N/A</v>
      </c>
    </row>
    <row r="38" spans="1:29" ht="15">
      <c r="A38" s="423"/>
      <c r="B38" s="375" t="s">
        <v>1684</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8"/>
      <c r="M38" s="2692"/>
      <c r="N38" s="2692"/>
      <c r="O38" s="2692"/>
      <c r="P38" s="3807" t="s">
        <v>1678</v>
      </c>
      <c r="Q38" s="1352" t="str">
        <f t="shared" si="11"/>
        <v>物业管理</v>
      </c>
      <c r="R38" s="705" t="s">
        <v>18</v>
      </c>
      <c r="S38" s="706">
        <f t="shared" si="12"/>
        <v>100</v>
      </c>
      <c r="T38" s="705" t="s">
        <v>18</v>
      </c>
      <c r="U38" s="706">
        <f t="shared" si="13"/>
        <v>100</v>
      </c>
      <c r="V38" s="705" t="s">
        <v>18</v>
      </c>
      <c r="W38" s="706">
        <f t="shared" si="14"/>
        <v>100</v>
      </c>
      <c r="X38" s="1355"/>
      <c r="Y38" s="3809" t="s">
        <v>1678</v>
      </c>
      <c r="Z38" s="1356" t="str">
        <f t="shared" si="18"/>
        <v>物业管理</v>
      </c>
      <c r="AA38" s="1353">
        <f t="shared" si="15"/>
        <v>1</v>
      </c>
      <c r="AB38" s="1353">
        <f t="shared" si="16"/>
        <v>1</v>
      </c>
      <c r="AC38" s="1353">
        <f t="shared" si="17"/>
        <v>1</v>
      </c>
    </row>
    <row r="39" spans="1:29" ht="15">
      <c r="A39" s="423"/>
      <c r="B39" s="375" t="s">
        <v>1685</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8"/>
      <c r="M39" s="2692"/>
      <c r="N39" s="2692"/>
      <c r="O39" s="2692"/>
      <c r="P39" s="3807"/>
      <c r="Q39" s="1352" t="str">
        <f t="shared" si="11"/>
        <v>市政基础设施</v>
      </c>
      <c r="R39" s="705" t="s">
        <v>18</v>
      </c>
      <c r="S39" s="706">
        <f t="shared" si="12"/>
        <v>100</v>
      </c>
      <c r="T39" s="705" t="s">
        <v>18</v>
      </c>
      <c r="U39" s="706">
        <f t="shared" si="13"/>
        <v>100</v>
      </c>
      <c r="V39" s="705" t="s">
        <v>18</v>
      </c>
      <c r="W39" s="706">
        <f t="shared" si="14"/>
        <v>100</v>
      </c>
      <c r="X39" s="1355"/>
      <c r="Y39" s="3809"/>
      <c r="Z39" s="1356" t="str">
        <f t="shared" si="18"/>
        <v>市政基础设施</v>
      </c>
      <c r="AA39" s="1353">
        <f t="shared" si="15"/>
        <v>1</v>
      </c>
      <c r="AB39" s="1353">
        <f t="shared" si="16"/>
        <v>1</v>
      </c>
      <c r="AC39" s="1353">
        <f t="shared" si="17"/>
        <v>1</v>
      </c>
    </row>
    <row r="40" spans="1:29" ht="15">
      <c r="A40" s="423"/>
      <c r="B40" s="375" t="s">
        <v>1686</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8"/>
      <c r="M40" s="2692"/>
      <c r="N40" s="2692"/>
      <c r="O40" s="2692"/>
      <c r="P40" s="3807"/>
      <c r="Q40" s="1352" t="str">
        <f t="shared" si="11"/>
        <v>房型</v>
      </c>
      <c r="R40" s="705" t="s">
        <v>18</v>
      </c>
      <c r="S40" s="706">
        <f t="shared" si="12"/>
        <v>100</v>
      </c>
      <c r="T40" s="705" t="s">
        <v>18</v>
      </c>
      <c r="U40" s="706">
        <f t="shared" si="13"/>
        <v>100</v>
      </c>
      <c r="V40" s="705" t="s">
        <v>18</v>
      </c>
      <c r="W40" s="706">
        <f t="shared" si="14"/>
        <v>100</v>
      </c>
      <c r="X40" s="1355"/>
      <c r="Y40" s="3809"/>
      <c r="Z40" s="1356" t="str">
        <f t="shared" si="18"/>
        <v>房型</v>
      </c>
      <c r="AA40" s="1353">
        <f t="shared" si="15"/>
        <v>1</v>
      </c>
      <c r="AB40" s="1353">
        <f t="shared" si="16"/>
        <v>1</v>
      </c>
      <c r="AC40" s="1353">
        <f t="shared" si="17"/>
        <v>1</v>
      </c>
    </row>
    <row r="41" spans="1:29" s="422" customFormat="1" ht="28.5">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7"/>
      <c r="M41" s="2699"/>
      <c r="N41" s="2699"/>
      <c r="O41" s="2699"/>
      <c r="P41" s="3807"/>
      <c r="Q41" s="707" t="str">
        <f t="shared" si="11"/>
        <v>单套/主力户型建筑面积</v>
      </c>
      <c r="R41" s="708" t="s">
        <v>18</v>
      </c>
      <c r="S41" s="709">
        <f t="shared" si="12"/>
        <v>100</v>
      </c>
      <c r="T41" s="708" t="s">
        <v>18</v>
      </c>
      <c r="U41" s="709">
        <f t="shared" si="13"/>
        <v>100</v>
      </c>
      <c r="V41" s="708" t="s">
        <v>18</v>
      </c>
      <c r="W41" s="709">
        <f t="shared" si="14"/>
        <v>100</v>
      </c>
      <c r="X41" s="710"/>
      <c r="Y41" s="3809"/>
      <c r="Z41" s="711" t="str">
        <f t="shared" si="18"/>
        <v>单套/主力户型建筑面积</v>
      </c>
      <c r="AA41" s="1353">
        <f t="shared" si="15"/>
        <v>1</v>
      </c>
      <c r="AB41" s="1353">
        <f t="shared" si="16"/>
        <v>1</v>
      </c>
      <c r="AC41" s="1353">
        <f t="shared" si="17"/>
        <v>1</v>
      </c>
    </row>
    <row r="42" spans="1:29" ht="15">
      <c r="A42" s="423"/>
      <c r="B42" s="375" t="s">
        <v>1688</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8"/>
      <c r="M42" s="2692"/>
      <c r="N42" s="2692"/>
      <c r="O42" s="2692"/>
      <c r="P42" s="3807"/>
      <c r="Q42" s="1352" t="str">
        <f t="shared" si="11"/>
        <v>内部装修</v>
      </c>
      <c r="R42" s="705" t="s">
        <v>18</v>
      </c>
      <c r="S42" s="706">
        <f t="shared" si="12"/>
        <v>100</v>
      </c>
      <c r="T42" s="705" t="s">
        <v>18</v>
      </c>
      <c r="U42" s="706">
        <f t="shared" si="13"/>
        <v>100</v>
      </c>
      <c r="V42" s="705" t="s">
        <v>18</v>
      </c>
      <c r="W42" s="706">
        <f t="shared" si="14"/>
        <v>100</v>
      </c>
      <c r="X42" s="1355"/>
      <c r="Y42" s="3809"/>
      <c r="Z42" s="1356" t="str">
        <f t="shared" si="18"/>
        <v>内部装修</v>
      </c>
      <c r="AA42" s="1353">
        <f t="shared" si="15"/>
        <v>1</v>
      </c>
      <c r="AB42" s="1353">
        <f t="shared" si="16"/>
        <v>1</v>
      </c>
      <c r="AC42" s="1353">
        <f t="shared" si="17"/>
        <v>1</v>
      </c>
    </row>
    <row r="43" spans="1:29" ht="15">
      <c r="A43" s="423"/>
      <c r="B43" s="375" t="s">
        <v>1689</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8"/>
      <c r="M43" s="2692"/>
      <c r="N43" s="2692"/>
      <c r="O43" s="2692"/>
      <c r="P43" s="3807"/>
      <c r="Q43" s="1352" t="str">
        <f t="shared" si="11"/>
        <v>内部装修维护情况</v>
      </c>
      <c r="R43" s="705" t="s">
        <v>18</v>
      </c>
      <c r="S43" s="706">
        <f t="shared" si="12"/>
        <v>100</v>
      </c>
      <c r="T43" s="705" t="s">
        <v>18</v>
      </c>
      <c r="U43" s="706">
        <f t="shared" si="13"/>
        <v>100</v>
      </c>
      <c r="V43" s="705" t="s">
        <v>18</v>
      </c>
      <c r="W43" s="706">
        <f t="shared" si="14"/>
        <v>100</v>
      </c>
      <c r="X43" s="1355"/>
      <c r="Y43" s="38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3"/>
      <c r="M44" s="2694"/>
      <c r="N44" s="2694"/>
      <c r="O44" s="2694"/>
      <c r="P44" s="3807"/>
      <c r="Q44" s="1343">
        <f t="shared" si="11"/>
        <v>111</v>
      </c>
      <c r="R44" s="701" t="s">
        <v>18</v>
      </c>
      <c r="S44" s="702">
        <f t="shared" si="12"/>
        <v>100</v>
      </c>
      <c r="T44" s="701" t="s">
        <v>18</v>
      </c>
      <c r="U44" s="702">
        <f t="shared" si="13"/>
        <v>100</v>
      </c>
      <c r="V44" s="701" t="s">
        <v>18</v>
      </c>
      <c r="W44" s="702">
        <f t="shared" si="14"/>
        <v>100</v>
      </c>
      <c r="X44" s="703"/>
      <c r="Y44" s="38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8"/>
      <c r="M45" s="2692"/>
      <c r="N45" s="2692"/>
      <c r="O45" s="2692"/>
      <c r="P45" s="3807"/>
      <c r="Q45" s="1352">
        <f t="shared" si="11"/>
        <v>111</v>
      </c>
      <c r="R45" s="705" t="s">
        <v>18</v>
      </c>
      <c r="S45" s="706">
        <f t="shared" si="12"/>
        <v>100</v>
      </c>
      <c r="T45" s="705" t="s">
        <v>18</v>
      </c>
      <c r="U45" s="706">
        <f t="shared" si="13"/>
        <v>100</v>
      </c>
      <c r="V45" s="705" t="s">
        <v>18</v>
      </c>
      <c r="W45" s="706">
        <f t="shared" si="14"/>
        <v>100</v>
      </c>
      <c r="X45" s="1355"/>
      <c r="Y45" s="38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8"/>
      <c r="M46" s="2692"/>
      <c r="N46" s="2692"/>
      <c r="O46" s="2692"/>
      <c r="P46" s="3808"/>
      <c r="Q46" s="1352">
        <f t="shared" si="11"/>
        <v>111</v>
      </c>
      <c r="R46" s="705" t="s">
        <v>17</v>
      </c>
      <c r="S46" s="706">
        <f t="shared" si="12"/>
        <v>100</v>
      </c>
      <c r="T46" s="705" t="s">
        <v>17</v>
      </c>
      <c r="U46" s="706">
        <f t="shared" si="13"/>
        <v>100</v>
      </c>
      <c r="V46" s="705" t="s">
        <v>17</v>
      </c>
      <c r="W46" s="706">
        <f t="shared" si="14"/>
        <v>100</v>
      </c>
      <c r="X46" s="1355"/>
      <c r="Y46" s="3810"/>
      <c r="Z46" s="1356">
        <f t="shared" si="18"/>
        <v>111</v>
      </c>
      <c r="AA46" s="1353">
        <f t="shared" si="15"/>
        <v>1</v>
      </c>
      <c r="AB46" s="1353">
        <f t="shared" si="16"/>
        <v>1</v>
      </c>
      <c r="AC46" s="1353">
        <f t="shared" si="17"/>
        <v>1</v>
      </c>
    </row>
    <row r="47" spans="1:29" ht="15">
      <c r="A47" s="430" t="s">
        <v>1690</v>
      </c>
      <c r="B47" s="431"/>
      <c r="C47" s="1154" t="s">
        <v>16</v>
      </c>
      <c r="D47" s="1155"/>
      <c r="E47" s="1156"/>
      <c r="F47" s="1157"/>
      <c r="G47" s="1158"/>
      <c r="H47" s="1159"/>
      <c r="I47" s="1156"/>
      <c r="J47" s="1159"/>
      <c r="K47" s="1914"/>
      <c r="L47" s="2700"/>
      <c r="M47" s="2701"/>
      <c r="N47" s="2692"/>
      <c r="O47" s="2701"/>
      <c r="P47" s="3811" t="str">
        <f>A47</f>
        <v>成交单价（元/平方米）</v>
      </c>
      <c r="Q47" s="3811"/>
      <c r="R47" s="3812">
        <f>E47</f>
        <v>0</v>
      </c>
      <c r="S47" s="3812"/>
      <c r="T47" s="3812">
        <f>G47</f>
        <v>0</v>
      </c>
      <c r="U47" s="3812"/>
      <c r="V47" s="3812">
        <f>I47</f>
        <v>0</v>
      </c>
      <c r="W47" s="3812"/>
      <c r="X47" s="690"/>
      <c r="Y47" s="712"/>
      <c r="Z47" s="690"/>
      <c r="AA47" s="690"/>
      <c r="AB47" s="690"/>
      <c r="AC47" s="690"/>
    </row>
    <row r="48" spans="1:29" ht="15.75" thickBot="1">
      <c r="A48" s="437" t="s">
        <v>1691</v>
      </c>
      <c r="B48" s="438"/>
      <c r="C48" s="1160" t="e">
        <f>R49</f>
        <v>#DIV/0!</v>
      </c>
      <c r="D48" s="2317" t="s">
        <v>2120</v>
      </c>
      <c r="E48" s="1161" t="e">
        <f>R48</f>
        <v>#DIV/0!</v>
      </c>
      <c r="F48" s="2318"/>
      <c r="G48" s="1160" t="e">
        <f>T48</f>
        <v>#DIV/0!</v>
      </c>
      <c r="H48" s="2318"/>
      <c r="I48" s="1161" t="e">
        <f>V48</f>
        <v>#DIV/0!</v>
      </c>
      <c r="J48" s="2318"/>
      <c r="K48" s="2319">
        <f>F48+H48+J48</f>
        <v>0</v>
      </c>
      <c r="L48" s="2700"/>
      <c r="M48" s="2701"/>
      <c r="N48" s="2701"/>
      <c r="O48" s="2701"/>
      <c r="P48" s="3811" t="str">
        <f>A48</f>
        <v>比较价值（元/平方米）</v>
      </c>
      <c r="Q48" s="3811"/>
      <c r="R48" s="3812" t="e">
        <f>IF(F1="售价",ROUND(PRODUCT(R47,AA7:AA46),0),ROUND(PRODUCT(R47,AA7:AA46),1))</f>
        <v>#DIV/0!</v>
      </c>
      <c r="S48" s="3812"/>
      <c r="T48" s="3812" t="e">
        <f>IF(F1="售价",ROUND(PRODUCT(T47,AB7:AB46),0),ROUND(PRODUCT(T47,AB7:AB46),1))</f>
        <v>#DIV/0!</v>
      </c>
      <c r="U48" s="3812"/>
      <c r="V48" s="3812" t="e">
        <f>IF(F1="售价",ROUND(PRODUCT(V47,AC7:AC46),0),ROUND(PRODUCT(V47,AC7:AC46),1))</f>
        <v>#DIV/0!</v>
      </c>
      <c r="W48" s="3812"/>
      <c r="X48" s="690"/>
      <c r="Y48" s="690"/>
      <c r="Z48" s="690"/>
      <c r="AA48" s="690"/>
      <c r="AB48" s="690"/>
      <c r="AC48" s="690"/>
    </row>
    <row r="49" spans="1:29" ht="15.75" thickBot="1">
      <c r="A49" s="441" t="s">
        <v>1692</v>
      </c>
      <c r="B49" s="442"/>
      <c r="C49" s="1162" t="e">
        <f>R49</f>
        <v>#DIV/0!</v>
      </c>
      <c r="D49" s="1163"/>
      <c r="E49" s="1163"/>
      <c r="F49" s="1163"/>
      <c r="G49" s="1163"/>
      <c r="H49" s="1163"/>
      <c r="I49" s="1163"/>
      <c r="J49" s="1163"/>
      <c r="K49" s="1915"/>
      <c r="L49" s="2700"/>
      <c r="M49" s="2701"/>
      <c r="N49" s="2701"/>
      <c r="O49" s="2701"/>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7"/>
    </row>
    <row r="55" spans="1:29" s="451" customFormat="1">
      <c r="A55" s="2704"/>
      <c r="B55" s="2707"/>
      <c r="C55" s="2708"/>
      <c r="D55" s="2704"/>
      <c r="E55" s="2704"/>
      <c r="F55" s="2704"/>
      <c r="G55" s="2704"/>
      <c r="H55" s="2704"/>
      <c r="I55" s="2704"/>
      <c r="J55" s="2704"/>
      <c r="K55" s="2709"/>
      <c r="L55" s="2703"/>
      <c r="M55" s="2704"/>
      <c r="N55" s="2704"/>
      <c r="O55" s="2704"/>
      <c r="P55" s="1917"/>
    </row>
    <row r="56" spans="1:29">
      <c r="A56" s="2701"/>
      <c r="B56" s="2707"/>
      <c r="C56" s="2708"/>
      <c r="D56" s="2701"/>
      <c r="E56" s="2701"/>
      <c r="F56" s="2701"/>
      <c r="G56" s="2701"/>
      <c r="H56" s="2701"/>
      <c r="I56" s="2701"/>
      <c r="J56" s="2701"/>
      <c r="K56" s="2706"/>
      <c r="L56" s="2702"/>
      <c r="M56" s="2701"/>
      <c r="N56" s="2701"/>
      <c r="O56" s="2701"/>
    </row>
    <row r="57" spans="1:29" ht="21.75" thickBot="1">
      <c r="A57" s="694" t="s">
        <v>1696</v>
      </c>
      <c r="B57" s="690"/>
      <c r="C57" s="695"/>
      <c r="D57" s="695"/>
      <c r="E57" s="695"/>
      <c r="F57" s="696"/>
      <c r="G57" s="696"/>
      <c r="H57" s="695"/>
      <c r="I57" s="695"/>
      <c r="J57" s="695"/>
      <c r="K57" s="941"/>
      <c r="L57" s="942"/>
      <c r="M57" s="940"/>
      <c r="N57" s="940"/>
      <c r="O57" s="940"/>
      <c r="P57" s="1918"/>
      <c r="Q57" s="453"/>
    </row>
    <row r="58" spans="1:29" s="457" customFormat="1" ht="15">
      <c r="A58" s="454" t="s">
        <v>1697</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1698</v>
      </c>
      <c r="B60" s="465"/>
      <c r="C60" s="466"/>
      <c r="D60" s="467"/>
      <c r="E60" s="467"/>
      <c r="F60" s="467"/>
      <c r="G60" s="467"/>
      <c r="H60" s="467"/>
      <c r="I60" s="467"/>
      <c r="J60" s="467"/>
      <c r="K60" s="467"/>
      <c r="L60" s="467"/>
      <c r="M60" s="468"/>
      <c r="N60" s="467"/>
      <c r="O60" s="468"/>
      <c r="P60" s="1920"/>
      <c r="Q60" s="453"/>
    </row>
    <row r="61" spans="1:29" s="108" customFormat="1" ht="15">
      <c r="A61" s="470" t="s">
        <v>1699</v>
      </c>
      <c r="B61" s="459"/>
      <c r="C61" s="471" t="s">
        <v>1700</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1701</v>
      </c>
      <c r="B63" s="477" t="s">
        <v>1667</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1670</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1672</v>
      </c>
      <c r="B76" s="477" t="s">
        <v>1702</v>
      </c>
      <c r="C76" s="522" t="s">
        <v>1703</v>
      </c>
      <c r="D76" s="522" t="s">
        <v>1704</v>
      </c>
      <c r="E76" s="522" t="s">
        <v>1705</v>
      </c>
      <c r="F76" s="522" t="s">
        <v>1706</v>
      </c>
      <c r="G76" s="522" t="s">
        <v>1707</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1708</v>
      </c>
      <c r="C78" s="527" t="s">
        <v>1703</v>
      </c>
      <c r="D78" s="527" t="s">
        <v>1704</v>
      </c>
      <c r="E78" s="527" t="s">
        <v>1705</v>
      </c>
      <c r="F78" s="527" t="s">
        <v>1706</v>
      </c>
      <c r="G78" s="527" t="s">
        <v>1707</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1709</v>
      </c>
      <c r="C80" s="527" t="s">
        <v>1703</v>
      </c>
      <c r="D80" s="527" t="s">
        <v>1704</v>
      </c>
      <c r="E80" s="527" t="s">
        <v>1705</v>
      </c>
      <c r="F80" s="527" t="s">
        <v>1706</v>
      </c>
      <c r="G80" s="527" t="s">
        <v>1707</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1710</v>
      </c>
      <c r="D82" s="488" t="s">
        <v>1711</v>
      </c>
      <c r="E82" s="488" t="s">
        <v>1712</v>
      </c>
      <c r="F82" s="488" t="s">
        <v>1713</v>
      </c>
      <c r="G82" s="488" t="s">
        <v>1714</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1715</v>
      </c>
      <c r="C84" s="527" t="s">
        <v>1703</v>
      </c>
      <c r="D84" s="527" t="s">
        <v>1704</v>
      </c>
      <c r="E84" s="527" t="s">
        <v>1705</v>
      </c>
      <c r="F84" s="527" t="s">
        <v>1706</v>
      </c>
      <c r="G84" s="527" t="s">
        <v>1707</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1716</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1717</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1676</v>
      </c>
      <c r="B100" s="477" t="s">
        <v>1718</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1720</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1721</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1722</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1723</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1724</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1725</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1687</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1726</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1727</v>
      </c>
      <c r="C124" s="527" t="s">
        <v>1703</v>
      </c>
      <c r="D124" s="527" t="s">
        <v>1704</v>
      </c>
      <c r="E124" s="527" t="s">
        <v>1705</v>
      </c>
      <c r="F124" s="527" t="s">
        <v>1706</v>
      </c>
      <c r="G124" s="527" t="s">
        <v>1707</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1728</v>
      </c>
    </row>
    <row r="137" spans="1:17" ht="15">
      <c r="B137" s="1930" t="s">
        <v>1729</v>
      </c>
      <c r="C137" s="1931"/>
      <c r="D137" s="1931"/>
      <c r="E137" s="1931"/>
      <c r="F137" s="1931"/>
      <c r="G137" s="1932"/>
      <c r="H137" s="1933"/>
      <c r="I137" s="1934" t="s">
        <v>1730</v>
      </c>
      <c r="J137" s="1931"/>
      <c r="K137" s="1935"/>
    </row>
    <row r="138" spans="1:17" ht="15">
      <c r="B138" s="1936"/>
      <c r="C138" s="137" t="s">
        <v>1731</v>
      </c>
      <c r="D138" s="137" t="s">
        <v>1732</v>
      </c>
      <c r="E138" s="1937" t="s">
        <v>1733</v>
      </c>
      <c r="F138" s="1938" t="s">
        <v>1734</v>
      </c>
      <c r="G138" s="137" t="s">
        <v>1732</v>
      </c>
      <c r="H138" s="138" t="s">
        <v>1733</v>
      </c>
      <c r="I138" s="1939"/>
      <c r="J138" s="137" t="s">
        <v>1735</v>
      </c>
      <c r="K138" s="138" t="s">
        <v>1736</v>
      </c>
    </row>
    <row r="139" spans="1:17" ht="15">
      <c r="B139" s="867">
        <v>6</v>
      </c>
      <c r="C139" s="868">
        <v>96</v>
      </c>
      <c r="D139" s="1940" t="s">
        <v>1737</v>
      </c>
      <c r="E139" s="869">
        <v>100</v>
      </c>
      <c r="F139" s="870">
        <v>102.5</v>
      </c>
      <c r="G139" s="1940" t="s">
        <v>1737</v>
      </c>
      <c r="H139" s="871">
        <v>105</v>
      </c>
      <c r="I139" s="1941" t="s">
        <v>1738</v>
      </c>
      <c r="J139" s="868">
        <v>20</v>
      </c>
      <c r="K139" s="872">
        <f>C145/(J139-2)</f>
        <v>4.0555555555555553E-3</v>
      </c>
    </row>
    <row r="140" spans="1:17" ht="15">
      <c r="B140" s="873">
        <v>5</v>
      </c>
      <c r="C140" s="874">
        <v>100</v>
      </c>
      <c r="D140" s="874"/>
      <c r="E140" s="875"/>
      <c r="F140" s="876">
        <v>102</v>
      </c>
      <c r="G140" s="874"/>
      <c r="H140" s="877"/>
      <c r="I140" s="1942" t="s">
        <v>1739</v>
      </c>
      <c r="J140" s="271">
        <f>ROUNDUP((J139-1)/2,0)</f>
        <v>10</v>
      </c>
      <c r="K140" s="878">
        <v>100</v>
      </c>
    </row>
    <row r="141" spans="1:17" ht="15">
      <c r="B141" s="873">
        <v>4</v>
      </c>
      <c r="C141" s="874">
        <v>102</v>
      </c>
      <c r="D141" s="874"/>
      <c r="E141" s="875"/>
      <c r="F141" s="876">
        <v>101.5</v>
      </c>
      <c r="G141" s="874"/>
      <c r="H141" s="877"/>
      <c r="I141" s="1942" t="s">
        <v>1740</v>
      </c>
      <c r="J141" s="271">
        <v>1</v>
      </c>
      <c r="K141" s="879">
        <f>ROUND(100+(J141-J140)*K139*100,1)</f>
        <v>96.4</v>
      </c>
    </row>
    <row r="142" spans="1:17" ht="15">
      <c r="B142" s="873">
        <v>3</v>
      </c>
      <c r="C142" s="874">
        <v>103</v>
      </c>
      <c r="D142" s="874"/>
      <c r="E142" s="875"/>
      <c r="F142" s="876">
        <v>101</v>
      </c>
      <c r="G142" s="874"/>
      <c r="H142" s="877"/>
      <c r="I142" s="1942" t="s">
        <v>1741</v>
      </c>
      <c r="J142" s="271">
        <f>J139</f>
        <v>20</v>
      </c>
      <c r="K142" s="880">
        <v>95</v>
      </c>
    </row>
    <row r="143" spans="1:17" ht="15">
      <c r="B143" s="873">
        <v>2</v>
      </c>
      <c r="C143" s="874">
        <v>100</v>
      </c>
      <c r="D143" s="874"/>
      <c r="E143" s="875"/>
      <c r="F143" s="876">
        <v>100.5</v>
      </c>
      <c r="G143" s="874"/>
      <c r="H143" s="877"/>
      <c r="I143" s="1942" t="s">
        <v>1742</v>
      </c>
      <c r="J143" s="874">
        <v>15</v>
      </c>
      <c r="K143" s="879">
        <f>ROUND(100+(J143-J140)*K139*100,1)</f>
        <v>102</v>
      </c>
    </row>
    <row r="144" spans="1:17" ht="15">
      <c r="B144" s="873">
        <v>1</v>
      </c>
      <c r="C144" s="874">
        <v>98</v>
      </c>
      <c r="D144" s="1943" t="s">
        <v>1743</v>
      </c>
      <c r="E144" s="875">
        <v>102</v>
      </c>
      <c r="F144" s="881">
        <v>100</v>
      </c>
      <c r="G144" s="1943" t="s">
        <v>1743</v>
      </c>
      <c r="H144" s="877">
        <v>105</v>
      </c>
      <c r="I144" s="1942" t="s">
        <v>1742</v>
      </c>
      <c r="J144" s="874">
        <v>18</v>
      </c>
      <c r="K144" s="879">
        <f>ROUND(100+(J144-J140)*K139*100,1)</f>
        <v>103.2</v>
      </c>
    </row>
    <row r="145" spans="2:11" ht="15.75" thickBot="1">
      <c r="B145" s="1944" t="s">
        <v>1744</v>
      </c>
      <c r="C145" s="882">
        <f>ROUND(MAX(C139:C144)/MIN(C139:C144)-1,3)</f>
        <v>7.2999999999999995E-2</v>
      </c>
      <c r="D145" s="883"/>
      <c r="E145" s="883"/>
      <c r="F145" s="1945" t="s">
        <v>1745</v>
      </c>
      <c r="G145" s="1946"/>
      <c r="H145" s="1947"/>
      <c r="I145" s="1948" t="s">
        <v>1742</v>
      </c>
      <c r="J145" s="884">
        <v>8</v>
      </c>
      <c r="K145" s="885">
        <f>ROUND(100+(J145-J140)*K139*100,1)</f>
        <v>99.2</v>
      </c>
    </row>
    <row r="147" spans="2:11">
      <c r="B147" s="1929" t="s">
        <v>1746</v>
      </c>
    </row>
    <row r="148" spans="2:11">
      <c r="B148" s="1929" t="s">
        <v>1747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878" t="s">
        <v>1748</v>
      </c>
      <c r="C1" s="1238" t="s">
        <v>1644</v>
      </c>
      <c r="D1" s="1225"/>
      <c r="E1" s="3402"/>
      <c r="F1" s="1879"/>
      <c r="G1" s="1235" t="s">
        <v>1749</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1444</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1952"/>
      <c r="Q2" s="912"/>
      <c r="R2" s="912"/>
      <c r="S2" s="912"/>
      <c r="T2" s="912"/>
      <c r="U2" s="912"/>
      <c r="V2" s="912"/>
      <c r="W2" s="912"/>
      <c r="X2" s="912"/>
      <c r="Y2" s="912"/>
      <c r="Z2" s="912"/>
      <c r="AA2" s="912"/>
      <c r="AB2" s="912"/>
      <c r="AC2" s="1953"/>
    </row>
    <row r="3" spans="1:29" s="352" customFormat="1" ht="28.5" customHeight="1" thickBot="1">
      <c r="A3" s="203" t="s">
        <v>1446</v>
      </c>
      <c r="B3" s="558">
        <f>IF(C2="——",C49,ROUND(B2*10000/D3,0))</f>
        <v>0</v>
      </c>
      <c r="C3" s="354" t="s">
        <v>1750</v>
      </c>
      <c r="D3" s="353">
        <f>IF(D1="",'数据-汇总表'!E3,SUMIF('数据-汇总表'!$C19:$C33,D1,'数据-汇总表'!$E19:$E33))</f>
        <v>32105.55</v>
      </c>
      <c r="E3" s="1954"/>
      <c r="F3" s="909"/>
      <c r="G3" s="908"/>
      <c r="H3" s="908"/>
      <c r="I3" s="908"/>
      <c r="J3" s="908"/>
      <c r="K3" s="910"/>
      <c r="L3" s="2710"/>
      <c r="M3" s="2711"/>
      <c r="N3" s="2711"/>
      <c r="O3" s="2711"/>
      <c r="P3" s="1952"/>
      <c r="Q3" s="912"/>
      <c r="R3" s="912"/>
      <c r="S3" s="912"/>
      <c r="T3" s="912"/>
      <c r="U3" s="912"/>
      <c r="V3" s="912"/>
      <c r="W3" s="912"/>
      <c r="X3" s="912"/>
      <c r="Y3" s="912"/>
      <c r="Z3" s="912"/>
      <c r="AA3" s="912"/>
      <c r="AB3" s="912"/>
      <c r="AC3" s="1954"/>
    </row>
    <row r="4" spans="1:29" ht="15">
      <c r="A4" s="355" t="s">
        <v>1751</v>
      </c>
      <c r="B4" s="356"/>
      <c r="C4" s="3786" t="s">
        <v>1752</v>
      </c>
      <c r="D4" s="3787"/>
      <c r="E4" s="3788" t="s">
        <v>1753</v>
      </c>
      <c r="F4" s="3789"/>
      <c r="G4" s="3786" t="s">
        <v>1754</v>
      </c>
      <c r="H4" s="3787"/>
      <c r="I4" s="3786" t="s">
        <v>1755</v>
      </c>
      <c r="J4" s="3787"/>
      <c r="K4" s="559" t="s">
        <v>1756</v>
      </c>
      <c r="L4" s="2691"/>
      <c r="M4" s="2692"/>
      <c r="N4" s="2692"/>
      <c r="O4" s="2692"/>
      <c r="P4" s="3847" t="s">
        <v>1757</v>
      </c>
      <c r="Q4" s="3848"/>
      <c r="R4" s="3844" t="s">
        <v>1753</v>
      </c>
      <c r="S4" s="3845"/>
      <c r="T4" s="3844" t="s">
        <v>1754</v>
      </c>
      <c r="U4" s="3845"/>
      <c r="V4" s="3799" t="s">
        <v>1755</v>
      </c>
      <c r="W4" s="3799"/>
      <c r="X4" s="1355"/>
      <c r="Y4" s="3844" t="s">
        <v>1757</v>
      </c>
      <c r="Z4" s="3845"/>
      <c r="AA4" s="3843" t="s">
        <v>1753</v>
      </c>
      <c r="AB4" s="3799" t="s">
        <v>1754</v>
      </c>
      <c r="AC4" s="3843" t="s">
        <v>1755</v>
      </c>
    </row>
    <row r="5" spans="1:29" ht="15">
      <c r="A5" s="358"/>
      <c r="B5" s="359"/>
      <c r="C5" s="3776" t="s">
        <v>1655</v>
      </c>
      <c r="D5" s="3777"/>
      <c r="E5" s="3846" t="s">
        <v>1656</v>
      </c>
      <c r="F5" s="3775"/>
      <c r="G5" s="3776" t="s">
        <v>1657</v>
      </c>
      <c r="H5" s="3777"/>
      <c r="I5" s="3776" t="s">
        <v>1658</v>
      </c>
      <c r="J5" s="3777"/>
      <c r="K5" s="559"/>
      <c r="L5" s="2691"/>
      <c r="M5" s="2692"/>
      <c r="N5" s="2692"/>
      <c r="O5" s="2692"/>
      <c r="P5" s="3849"/>
      <c r="Q5" s="3793"/>
      <c r="R5" s="3772"/>
      <c r="S5" s="3773"/>
      <c r="T5" s="3772"/>
      <c r="U5" s="3773"/>
      <c r="V5" s="3799"/>
      <c r="W5" s="3799"/>
      <c r="X5" s="1355"/>
      <c r="Y5" s="3772"/>
      <c r="Z5" s="3773"/>
      <c r="AA5" s="3766"/>
      <c r="AB5" s="3799"/>
      <c r="AC5" s="3766"/>
    </row>
    <row r="6" spans="1:29" ht="15.75" thickBot="1">
      <c r="A6" s="360"/>
      <c r="B6" s="361"/>
      <c r="C6" s="3778" t="s">
        <v>1659</v>
      </c>
      <c r="D6" s="3779"/>
      <c r="E6" s="3780" t="s">
        <v>1659</v>
      </c>
      <c r="F6" s="3781"/>
      <c r="G6" s="3778" t="s">
        <v>1659</v>
      </c>
      <c r="H6" s="3779"/>
      <c r="I6" s="3778" t="s">
        <v>1659</v>
      </c>
      <c r="J6" s="3779"/>
      <c r="K6" s="559" t="s">
        <v>1660</v>
      </c>
      <c r="L6" s="2691"/>
      <c r="M6" s="2692"/>
      <c r="N6" s="2692"/>
      <c r="O6" s="2692"/>
      <c r="P6" s="3850"/>
      <c r="Q6" s="3795"/>
      <c r="R6" s="3772"/>
      <c r="S6" s="3773"/>
      <c r="T6" s="3796"/>
      <c r="U6" s="3797"/>
      <c r="V6" s="3799"/>
      <c r="W6" s="3799"/>
      <c r="X6" s="1355"/>
      <c r="Y6" s="3796"/>
      <c r="Z6" s="3797"/>
      <c r="AA6" s="3767"/>
      <c r="AB6" s="3799"/>
      <c r="AC6" s="3767"/>
    </row>
    <row r="7" spans="1:29" s="108" customFormat="1" ht="15.75" thickBot="1">
      <c r="A7" s="362" t="s">
        <v>1661</v>
      </c>
      <c r="B7" s="363"/>
      <c r="C7" s="364">
        <f>'数据-取费表'!B2</f>
        <v>45406</v>
      </c>
      <c r="D7" s="365">
        <v>100</v>
      </c>
      <c r="E7" s="366"/>
      <c r="F7" s="367">
        <f>SUMIF(58:58,YEAR(E7)&amp;"-"&amp;MONTH(E7),59:59)</f>
        <v>0</v>
      </c>
      <c r="G7" s="366"/>
      <c r="H7" s="365">
        <f>SUMIF(58:58,YEAR(G7)&amp;"-"&amp;MONTH(G7),59:59)</f>
        <v>0</v>
      </c>
      <c r="I7" s="366"/>
      <c r="J7" s="365">
        <f>SUMIF(58:58,YEAR(I7)&amp;"-"&amp;MONTH(I7),59:59)</f>
        <v>0</v>
      </c>
      <c r="K7" s="560"/>
      <c r="L7" s="2693"/>
      <c r="M7" s="2694"/>
      <c r="N7" s="2694"/>
      <c r="O7" s="2694"/>
      <c r="P7" s="3768" t="s">
        <v>1662</v>
      </c>
      <c r="Q7" s="3801"/>
      <c r="R7" s="701" t="s">
        <v>14</v>
      </c>
      <c r="S7" s="702">
        <f t="shared" ref="S7:S15" si="0">F7</f>
        <v>0</v>
      </c>
      <c r="T7" s="701" t="s">
        <v>14</v>
      </c>
      <c r="U7" s="702">
        <f t="shared" ref="U7:U15" si="1">H7</f>
        <v>0</v>
      </c>
      <c r="V7" s="701" t="s">
        <v>14</v>
      </c>
      <c r="W7" s="702">
        <f t="shared" ref="W7:W15" si="2">J7</f>
        <v>0</v>
      </c>
      <c r="X7" s="703"/>
      <c r="Y7" s="3768" t="s">
        <v>1662</v>
      </c>
      <c r="Z7" s="3769"/>
      <c r="AA7" s="704" t="e">
        <f>D7/F7</f>
        <v>#DIV/0!</v>
      </c>
      <c r="AB7" s="704" t="e">
        <f>D7/H7</f>
        <v>#DIV/0!</v>
      </c>
      <c r="AC7" s="704" t="e">
        <f>D7/J7</f>
        <v>#DIV/0!</v>
      </c>
    </row>
    <row r="8" spans="1:29" s="108" customFormat="1" ht="15.7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3"/>
      <c r="M8" s="2694"/>
      <c r="N8" s="2694"/>
      <c r="O8" s="2694"/>
      <c r="P8" s="3768" t="s">
        <v>1665</v>
      </c>
      <c r="Q8" s="3769"/>
      <c r="R8" s="701" t="s">
        <v>14</v>
      </c>
      <c r="S8" s="702">
        <f t="shared" si="0"/>
        <v>100</v>
      </c>
      <c r="T8" s="701" t="s">
        <v>14</v>
      </c>
      <c r="U8" s="702">
        <f t="shared" si="1"/>
        <v>100</v>
      </c>
      <c r="V8" s="701" t="s">
        <v>14</v>
      </c>
      <c r="W8" s="702">
        <f t="shared" si="2"/>
        <v>100</v>
      </c>
      <c r="X8" s="703"/>
      <c r="Y8" s="3768" t="s">
        <v>1665</v>
      </c>
      <c r="Z8" s="3769"/>
      <c r="AA8" s="704">
        <f t="shared" ref="AA8:AA46" si="3">D8/F8</f>
        <v>1</v>
      </c>
      <c r="AB8" s="704">
        <f t="shared" ref="AB8:AB46" si="4">D8/H8</f>
        <v>1</v>
      </c>
      <c r="AC8" s="704">
        <f t="shared" ref="AC8:AC46" si="5">D8/J8</f>
        <v>1</v>
      </c>
    </row>
    <row r="9" spans="1:29" s="108" customFormat="1">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3"/>
      <c r="M9" s="2694"/>
      <c r="N9" s="2694"/>
      <c r="O9" s="2694"/>
      <c r="P9" s="3782" t="s">
        <v>1668</v>
      </c>
      <c r="Q9" s="1343" t="str">
        <f t="shared" ref="Q9:Q15" si="6">B9</f>
        <v>用途</v>
      </c>
      <c r="R9" s="701" t="s">
        <v>14</v>
      </c>
      <c r="S9" s="702">
        <f t="shared" si="0"/>
        <v>100</v>
      </c>
      <c r="T9" s="701" t="s">
        <v>14</v>
      </c>
      <c r="U9" s="702">
        <f t="shared" si="1"/>
        <v>100</v>
      </c>
      <c r="V9" s="701" t="s">
        <v>14</v>
      </c>
      <c r="W9" s="702">
        <f t="shared" si="2"/>
        <v>100</v>
      </c>
      <c r="X9" s="703"/>
      <c r="Y9" s="3741"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1"/>
      <c r="F10" s="376">
        <f>SUMIF(65:65,E10,66:66)-SUMIF(65:65,C10,66:66)+100</f>
        <v>100</v>
      </c>
      <c r="G10" s="3410"/>
      <c r="H10" s="127">
        <f>SUMIF(65:65,G10,66:66)-SUMIF(65:65,C10,66:66)+100</f>
        <v>100</v>
      </c>
      <c r="I10" s="3410"/>
      <c r="J10" s="127">
        <f>SUMIF(65:65,I10,66:66)-SUMIF(65:65,C10,66:66)+100</f>
        <v>100</v>
      </c>
      <c r="K10" s="560"/>
      <c r="L10" s="2695"/>
      <c r="M10" s="2696"/>
      <c r="N10" s="2696"/>
      <c r="O10" s="2696"/>
      <c r="P10" s="3782"/>
      <c r="Q10" s="1343"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7"/>
      <c r="M11" s="2692"/>
      <c r="N11" s="2692"/>
      <c r="O11" s="2692"/>
      <c r="P11" s="3782"/>
      <c r="Q11" s="1343" t="str">
        <f t="shared" si="6"/>
        <v>容积率</v>
      </c>
      <c r="R11" s="701" t="s">
        <v>14</v>
      </c>
      <c r="S11" s="702" t="e">
        <f t="shared" si="0"/>
        <v>#N/A</v>
      </c>
      <c r="T11" s="701" t="s">
        <v>14</v>
      </c>
      <c r="U11" s="702" t="e">
        <f t="shared" si="1"/>
        <v>#N/A</v>
      </c>
      <c r="V11" s="701" t="s">
        <v>14</v>
      </c>
      <c r="W11" s="702" t="e">
        <f t="shared" si="2"/>
        <v>#N/A</v>
      </c>
      <c r="X11" s="703"/>
      <c r="Y11" s="37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782"/>
      <c r="Q12" s="1343">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782"/>
      <c r="Q13" s="1343">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782"/>
      <c r="Q14" s="1343">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704">
        <f t="shared" si="5"/>
        <v>1</v>
      </c>
    </row>
    <row r="15" spans="1:29" ht="15">
      <c r="A15" s="391" t="s">
        <v>1672</v>
      </c>
      <c r="B15" s="61" t="s">
        <v>1759</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8"/>
      <c r="M15" s="2692"/>
      <c r="N15" s="2692"/>
      <c r="O15" s="2692"/>
      <c r="P15" s="3802" t="s">
        <v>1673</v>
      </c>
      <c r="Q15" s="1352" t="str">
        <f t="shared" si="6"/>
        <v>商业繁华度</v>
      </c>
      <c r="R15" s="705" t="s">
        <v>14</v>
      </c>
      <c r="S15" s="706">
        <f t="shared" si="0"/>
        <v>100</v>
      </c>
      <c r="T15" s="705" t="s">
        <v>14</v>
      </c>
      <c r="U15" s="706">
        <f t="shared" si="1"/>
        <v>100</v>
      </c>
      <c r="V15" s="705" t="s">
        <v>14</v>
      </c>
      <c r="W15" s="706">
        <f t="shared" si="2"/>
        <v>100</v>
      </c>
      <c r="X15" s="1355"/>
      <c r="Y15" s="3804" t="s">
        <v>1673</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8"/>
      <c r="M16" s="2692"/>
      <c r="N16" s="2692"/>
      <c r="O16" s="2692"/>
      <c r="P16" s="3803"/>
      <c r="Q16" s="1352"/>
      <c r="R16" s="705"/>
      <c r="S16" s="706"/>
      <c r="T16" s="705"/>
      <c r="U16" s="706"/>
      <c r="V16" s="705"/>
      <c r="W16" s="706"/>
      <c r="X16" s="1355"/>
      <c r="Y16" s="3805"/>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8"/>
      <c r="M17" s="2692"/>
      <c r="N17" s="2692"/>
      <c r="O17" s="2692"/>
      <c r="P17" s="3803"/>
      <c r="Q17" s="1352" t="str">
        <f>B17</f>
        <v>交通便捷度</v>
      </c>
      <c r="R17" s="705" t="s">
        <v>14</v>
      </c>
      <c r="S17" s="706">
        <f>F17</f>
        <v>100</v>
      </c>
      <c r="T17" s="705" t="s">
        <v>14</v>
      </c>
      <c r="U17" s="706">
        <f>H17</f>
        <v>100</v>
      </c>
      <c r="V17" s="705" t="s">
        <v>14</v>
      </c>
      <c r="W17" s="706">
        <f>J17</f>
        <v>100</v>
      </c>
      <c r="X17" s="1355"/>
      <c r="Y17" s="38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8"/>
      <c r="M18" s="2692"/>
      <c r="N18" s="2692"/>
      <c r="O18" s="2692"/>
      <c r="P18" s="3803"/>
      <c r="Q18" s="1352"/>
      <c r="R18" s="705"/>
      <c r="S18" s="706"/>
      <c r="T18" s="705"/>
      <c r="U18" s="706"/>
      <c r="V18" s="705"/>
      <c r="W18" s="706"/>
      <c r="X18" s="1355"/>
      <c r="Y18" s="3805"/>
      <c r="Z18" s="1356"/>
      <c r="AA18" s="1353">
        <v>1</v>
      </c>
      <c r="AB18" s="1353">
        <v>1</v>
      </c>
      <c r="AC18" s="1353">
        <v>1</v>
      </c>
    </row>
    <row r="19" spans="1:29" ht="15">
      <c r="A19" s="379"/>
      <c r="B19" s="402" t="s">
        <v>1760</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8"/>
      <c r="M19" s="2692"/>
      <c r="N19" s="2692"/>
      <c r="O19" s="2692"/>
      <c r="P19" s="3803"/>
      <c r="Q19" s="1352" t="str">
        <f>B19</f>
        <v>公共配套设施</v>
      </c>
      <c r="R19" s="705" t="s">
        <v>14</v>
      </c>
      <c r="S19" s="706">
        <f>F19</f>
        <v>100</v>
      </c>
      <c r="T19" s="705" t="s">
        <v>14</v>
      </c>
      <c r="U19" s="706">
        <f>H19</f>
        <v>100</v>
      </c>
      <c r="V19" s="705" t="s">
        <v>14</v>
      </c>
      <c r="W19" s="706">
        <f>J19</f>
        <v>100</v>
      </c>
      <c r="X19" s="1355"/>
      <c r="Y19" s="38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8"/>
      <c r="M20" s="2692"/>
      <c r="N20" s="2692"/>
      <c r="O20" s="2692"/>
      <c r="P20" s="3803"/>
      <c r="Q20" s="1352"/>
      <c r="R20" s="705"/>
      <c r="S20" s="706"/>
      <c r="T20" s="705"/>
      <c r="U20" s="706"/>
      <c r="V20" s="705"/>
      <c r="W20" s="706"/>
      <c r="X20" s="1355"/>
      <c r="Y20" s="3805"/>
      <c r="Z20" s="1356"/>
      <c r="AA20" s="1353">
        <v>1</v>
      </c>
      <c r="AB20" s="1353">
        <v>1</v>
      </c>
      <c r="AC20" s="1353">
        <v>1</v>
      </c>
    </row>
    <row r="21" spans="1:29" ht="15">
      <c r="A21" s="379"/>
      <c r="B21" s="1131" t="s">
        <v>1761</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8"/>
      <c r="M21" s="2692"/>
      <c r="N21" s="2692"/>
      <c r="O21" s="2692"/>
      <c r="P21" s="3803"/>
      <c r="Q21" s="1352" t="str">
        <f>B21</f>
        <v>基础设施水平</v>
      </c>
      <c r="R21" s="705" t="s">
        <v>14</v>
      </c>
      <c r="S21" s="706">
        <f>F21</f>
        <v>100</v>
      </c>
      <c r="T21" s="705" t="s">
        <v>14</v>
      </c>
      <c r="U21" s="706">
        <f>H21</f>
        <v>100</v>
      </c>
      <c r="V21" s="705" t="s">
        <v>14</v>
      </c>
      <c r="W21" s="706">
        <f>J21</f>
        <v>100</v>
      </c>
      <c r="X21" s="1355"/>
      <c r="Y21" s="38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8"/>
      <c r="M22" s="2692"/>
      <c r="N22" s="2692"/>
      <c r="O22" s="2692"/>
      <c r="P22" s="3803"/>
      <c r="Q22" s="1352"/>
      <c r="R22" s="705"/>
      <c r="S22" s="706"/>
      <c r="T22" s="705"/>
      <c r="U22" s="706"/>
      <c r="V22" s="705"/>
      <c r="W22" s="706"/>
      <c r="X22" s="1355"/>
      <c r="Y22" s="3805"/>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8"/>
      <c r="M23" s="2692"/>
      <c r="N23" s="2692"/>
      <c r="O23" s="2692"/>
      <c r="P23" s="3803"/>
      <c r="Q23" s="1352" t="str">
        <f>B23</f>
        <v>自然及人文环境</v>
      </c>
      <c r="R23" s="705" t="s">
        <v>14</v>
      </c>
      <c r="S23" s="706">
        <f>F23</f>
        <v>100</v>
      </c>
      <c r="T23" s="705" t="s">
        <v>14</v>
      </c>
      <c r="U23" s="706">
        <f>H23</f>
        <v>100</v>
      </c>
      <c r="V23" s="705" t="s">
        <v>14</v>
      </c>
      <c r="W23" s="706">
        <f>J23</f>
        <v>100</v>
      </c>
      <c r="X23" s="1355"/>
      <c r="Y23" s="38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8"/>
      <c r="M24" s="2692"/>
      <c r="N24" s="2692"/>
      <c r="O24" s="2692"/>
      <c r="P24" s="3803"/>
      <c r="Q24" s="1352"/>
      <c r="R24" s="705"/>
      <c r="S24" s="706"/>
      <c r="T24" s="705"/>
      <c r="U24" s="706"/>
      <c r="V24" s="705"/>
      <c r="W24" s="706"/>
      <c r="X24" s="1355"/>
      <c r="Y24" s="3805"/>
      <c r="Z24" s="1356"/>
      <c r="AA24" s="1353">
        <v>1</v>
      </c>
      <c r="AB24" s="1353">
        <v>1</v>
      </c>
      <c r="AC24" s="1353">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698"/>
      <c r="M25" s="2692"/>
      <c r="N25" s="2692"/>
      <c r="O25" s="2692"/>
      <c r="P25" s="3803"/>
      <c r="Q25" s="1352" t="str">
        <f t="shared" ref="Q25:Q46" si="11">B25</f>
        <v>临街状况</v>
      </c>
      <c r="R25" s="705" t="s">
        <v>14</v>
      </c>
      <c r="S25" s="706">
        <f>F25</f>
        <v>100</v>
      </c>
      <c r="T25" s="705" t="s">
        <v>14</v>
      </c>
      <c r="U25" s="706">
        <f>H25</f>
        <v>100</v>
      </c>
      <c r="V25" s="705" t="s">
        <v>14</v>
      </c>
      <c r="W25" s="706">
        <f>J25</f>
        <v>100</v>
      </c>
      <c r="X25" s="1355"/>
      <c r="Y25" s="3805"/>
      <c r="Z25" s="1356" t="str">
        <f>Q25</f>
        <v>临街状况</v>
      </c>
      <c r="AA25" s="1353">
        <f t="shared" si="3"/>
        <v>1</v>
      </c>
      <c r="AB25" s="1353">
        <f t="shared" si="4"/>
        <v>1</v>
      </c>
      <c r="AC25" s="1353">
        <f t="shared" si="5"/>
        <v>1</v>
      </c>
    </row>
    <row r="26" spans="1:29" ht="15">
      <c r="A26" s="379"/>
      <c r="B26" s="1133" t="s">
        <v>1763</v>
      </c>
      <c r="C26" s="385"/>
      <c r="D26" s="386">
        <v>100</v>
      </c>
      <c r="E26" s="385"/>
      <c r="F26" s="412">
        <f>SUMIF(88:88,E26,89:89)-SUMIF(88:88,C26,89:89)+100</f>
        <v>100</v>
      </c>
      <c r="G26" s="385"/>
      <c r="H26" s="386">
        <f>SUMIF(88:88,G26,89:89)-SUMIF(88:88,C26,89:89)+100</f>
        <v>100</v>
      </c>
      <c r="I26" s="385"/>
      <c r="J26" s="386">
        <f>SUMIF(88:88,I26,89:89)-SUMIF(88:88,C26,89:89)+100</f>
        <v>100</v>
      </c>
      <c r="K26" s="562"/>
      <c r="L26" s="2698"/>
      <c r="M26" s="2692"/>
      <c r="N26" s="2692"/>
      <c r="O26" s="2692"/>
      <c r="P26" s="3803"/>
      <c r="Q26" s="1352" t="str">
        <f t="shared" si="11"/>
        <v>平面位置/可视性</v>
      </c>
      <c r="R26" s="705" t="s">
        <v>14</v>
      </c>
      <c r="S26" s="706">
        <f>F26</f>
        <v>100</v>
      </c>
      <c r="T26" s="705" t="s">
        <v>14</v>
      </c>
      <c r="U26" s="706">
        <f>H26</f>
        <v>100</v>
      </c>
      <c r="V26" s="705" t="s">
        <v>14</v>
      </c>
      <c r="W26" s="706">
        <f>J26</f>
        <v>100</v>
      </c>
      <c r="X26" s="1355"/>
      <c r="Y26" s="3805"/>
      <c r="Z26" s="1356" t="str">
        <f>Q26</f>
        <v>平面位置/可视性</v>
      </c>
      <c r="AA26" s="1353">
        <f t="shared" si="3"/>
        <v>1</v>
      </c>
      <c r="AB26" s="1353">
        <f t="shared" si="4"/>
        <v>1</v>
      </c>
      <c r="AC26" s="1353">
        <f t="shared" si="5"/>
        <v>1</v>
      </c>
    </row>
    <row r="27" spans="1:29" s="108" customFormat="1" ht="15">
      <c r="A27" s="382"/>
      <c r="B27" s="402" t="s">
        <v>1764</v>
      </c>
      <c r="C27" s="1956"/>
      <c r="D27" s="413">
        <v>100</v>
      </c>
      <c r="E27" s="1956"/>
      <c r="F27" s="415">
        <f>SUMIF(90:90,E27,91:91)-SUMIF(90:90,C27,91:91)+100</f>
        <v>100</v>
      </c>
      <c r="G27" s="1956"/>
      <c r="H27" s="413">
        <f>SUMIF(90:90,G27,91:91)-SUMIF(90:90,C27,91:91)+100</f>
        <v>100</v>
      </c>
      <c r="I27" s="1956"/>
      <c r="J27" s="413">
        <f>SUMIF(90:90,I27,91:91)-SUMIF(90:90,C27,91:91)+100</f>
        <v>100</v>
      </c>
      <c r="K27" s="561"/>
      <c r="L27" s="2693"/>
      <c r="M27" s="2694"/>
      <c r="N27" s="2694"/>
      <c r="O27" s="2694"/>
      <c r="P27" s="3803"/>
      <c r="Q27" s="1343" t="str">
        <f t="shared" si="11"/>
        <v>人流量</v>
      </c>
      <c r="R27" s="701" t="s">
        <v>14</v>
      </c>
      <c r="S27" s="702">
        <f>F27</f>
        <v>100</v>
      </c>
      <c r="T27" s="701" t="s">
        <v>14</v>
      </c>
      <c r="U27" s="702">
        <f>H27</f>
        <v>100</v>
      </c>
      <c r="V27" s="701" t="s">
        <v>14</v>
      </c>
      <c r="W27" s="702">
        <f>J27</f>
        <v>100</v>
      </c>
      <c r="X27" s="703"/>
      <c r="Y27" s="3805"/>
      <c r="Z27" s="52" t="str">
        <f>Q27</f>
        <v>人流量</v>
      </c>
      <c r="AA27" s="1353">
        <f>D27/F27</f>
        <v>1</v>
      </c>
      <c r="AB27" s="1353">
        <f>D27/H27</f>
        <v>1</v>
      </c>
      <c r="AC27" s="1353">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698"/>
      <c r="M28" s="2692"/>
      <c r="N28" s="2692"/>
      <c r="O28" s="2692"/>
      <c r="P28" s="38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803"/>
      <c r="Q29" s="1352">
        <f t="shared" si="11"/>
        <v>111</v>
      </c>
      <c r="R29" s="705" t="s">
        <v>14</v>
      </c>
      <c r="S29" s="706">
        <f t="shared" si="12"/>
        <v>100</v>
      </c>
      <c r="T29" s="705" t="s">
        <v>14</v>
      </c>
      <c r="U29" s="706">
        <f t="shared" si="13"/>
        <v>100</v>
      </c>
      <c r="V29" s="705" t="s">
        <v>14</v>
      </c>
      <c r="W29" s="706">
        <f t="shared" si="14"/>
        <v>100</v>
      </c>
      <c r="X29" s="1355"/>
      <c r="Y29" s="38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803"/>
      <c r="Q30" s="1352">
        <f t="shared" si="11"/>
        <v>111</v>
      </c>
      <c r="R30" s="705" t="s">
        <v>14</v>
      </c>
      <c r="S30" s="706">
        <f t="shared" si="12"/>
        <v>100</v>
      </c>
      <c r="T30" s="705" t="s">
        <v>14</v>
      </c>
      <c r="U30" s="706">
        <f t="shared" si="13"/>
        <v>100</v>
      </c>
      <c r="V30" s="705" t="s">
        <v>14</v>
      </c>
      <c r="W30" s="706">
        <f t="shared" si="14"/>
        <v>100</v>
      </c>
      <c r="X30" s="1355"/>
      <c r="Y30" s="38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c r="N31" s="2692"/>
      <c r="O31" s="2692"/>
      <c r="P31" s="3803"/>
      <c r="Q31" s="1352">
        <f t="shared" si="11"/>
        <v>111</v>
      </c>
      <c r="R31" s="705" t="s">
        <v>14</v>
      </c>
      <c r="S31" s="706">
        <f t="shared" si="12"/>
        <v>100</v>
      </c>
      <c r="T31" s="705" t="s">
        <v>14</v>
      </c>
      <c r="U31" s="706">
        <f t="shared" si="13"/>
        <v>100</v>
      </c>
      <c r="V31" s="705" t="s">
        <v>14</v>
      </c>
      <c r="W31" s="706">
        <f t="shared" si="14"/>
        <v>100</v>
      </c>
      <c r="X31" s="1355"/>
      <c r="Y31" s="3805"/>
      <c r="Z31" s="1356">
        <f t="shared" si="15"/>
        <v>111</v>
      </c>
      <c r="AA31" s="1353">
        <f t="shared" si="3"/>
        <v>1</v>
      </c>
      <c r="AB31" s="1353">
        <f t="shared" si="4"/>
        <v>1</v>
      </c>
      <c r="AC31" s="1353">
        <f t="shared" si="5"/>
        <v>1</v>
      </c>
    </row>
    <row r="32" spans="1:29" ht="15">
      <c r="A32" s="391" t="s">
        <v>1676</v>
      </c>
      <c r="B32" s="63" t="s">
        <v>1766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8"/>
      <c r="M32" s="2692"/>
      <c r="N32" s="2692"/>
      <c r="O32" s="2692"/>
      <c r="P32" s="3806" t="s">
        <v>1678</v>
      </c>
      <c r="Q32" s="1352" t="str">
        <f t="shared" si="11"/>
        <v>商业类型</v>
      </c>
      <c r="R32" s="705" t="s">
        <v>14</v>
      </c>
      <c r="S32" s="706">
        <f t="shared" si="12"/>
        <v>100</v>
      </c>
      <c r="T32" s="705" t="s">
        <v>14</v>
      </c>
      <c r="U32" s="706">
        <f t="shared" si="13"/>
        <v>100</v>
      </c>
      <c r="V32" s="705" t="s">
        <v>14</v>
      </c>
      <c r="W32" s="706">
        <f t="shared" si="14"/>
        <v>100</v>
      </c>
      <c r="X32" s="1355"/>
      <c r="Y32" s="3809" t="s">
        <v>1678</v>
      </c>
      <c r="Z32" s="1356" t="str">
        <f t="shared" si="15"/>
        <v>商业类型</v>
      </c>
      <c r="AA32" s="1353">
        <f t="shared" si="3"/>
        <v>1</v>
      </c>
      <c r="AB32" s="1353">
        <f t="shared" si="4"/>
        <v>1</v>
      </c>
      <c r="AC32" s="1353">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7"/>
      <c r="M33" s="2699"/>
      <c r="N33" s="2699"/>
      <c r="O33" s="2699"/>
      <c r="P33" s="3807"/>
      <c r="Q33" s="707" t="str">
        <f t="shared" si="11"/>
        <v>项目建筑规模</v>
      </c>
      <c r="R33" s="708" t="s">
        <v>14</v>
      </c>
      <c r="S33" s="709" t="e">
        <f t="shared" si="12"/>
        <v>#N/A</v>
      </c>
      <c r="T33" s="708" t="s">
        <v>14</v>
      </c>
      <c r="U33" s="709" t="e">
        <f t="shared" si="13"/>
        <v>#N/A</v>
      </c>
      <c r="V33" s="708" t="s">
        <v>14</v>
      </c>
      <c r="W33" s="709" t="e">
        <f t="shared" si="14"/>
        <v>#N/A</v>
      </c>
      <c r="X33" s="710"/>
      <c r="Y33" s="3809"/>
      <c r="Z33" s="711" t="str">
        <f t="shared" si="15"/>
        <v>项目建筑规模</v>
      </c>
      <c r="AA33" s="1353" t="e">
        <f t="shared" si="3"/>
        <v>#N/A</v>
      </c>
      <c r="AB33" s="1353" t="e">
        <f t="shared" si="4"/>
        <v>#N/A</v>
      </c>
      <c r="AC33" s="1353" t="e">
        <f t="shared" si="5"/>
        <v>#N/A</v>
      </c>
    </row>
    <row r="34" spans="1:29" ht="15">
      <c r="A34" s="423"/>
      <c r="B34" s="375" t="s">
        <v>1680</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8"/>
      <c r="M34" s="2692"/>
      <c r="N34" s="2692"/>
      <c r="O34" s="2692"/>
      <c r="P34" s="3807"/>
      <c r="Q34" s="1352" t="str">
        <f t="shared" si="11"/>
        <v>建筑结构</v>
      </c>
      <c r="R34" s="705" t="s">
        <v>14</v>
      </c>
      <c r="S34" s="706">
        <f t="shared" si="12"/>
        <v>100</v>
      </c>
      <c r="T34" s="705" t="s">
        <v>14</v>
      </c>
      <c r="U34" s="706">
        <f t="shared" si="13"/>
        <v>100</v>
      </c>
      <c r="V34" s="705" t="s">
        <v>14</v>
      </c>
      <c r="W34" s="706">
        <f t="shared" si="14"/>
        <v>100</v>
      </c>
      <c r="X34" s="1355"/>
      <c r="Y34" s="3809"/>
      <c r="Z34" s="1356" t="str">
        <f t="shared" si="15"/>
        <v>建筑结构</v>
      </c>
      <c r="AA34" s="1353">
        <f t="shared" si="3"/>
        <v>1</v>
      </c>
      <c r="AB34" s="1353">
        <f t="shared" si="4"/>
        <v>1</v>
      </c>
      <c r="AC34" s="1353">
        <f t="shared" si="5"/>
        <v>1</v>
      </c>
    </row>
    <row r="35" spans="1:29" ht="15">
      <c r="A35" s="423"/>
      <c r="B35" s="375" t="s">
        <v>1767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8"/>
      <c r="M35" s="2692"/>
      <c r="N35" s="2692"/>
      <c r="O35" s="2692"/>
      <c r="P35" s="3807"/>
      <c r="Q35" s="1352" t="str">
        <f t="shared" si="11"/>
        <v>公共部分装修</v>
      </c>
      <c r="R35" s="705" t="s">
        <v>14</v>
      </c>
      <c r="S35" s="706">
        <f t="shared" si="12"/>
        <v>100</v>
      </c>
      <c r="T35" s="705" t="s">
        <v>14</v>
      </c>
      <c r="U35" s="706">
        <f t="shared" si="13"/>
        <v>100</v>
      </c>
      <c r="V35" s="705" t="s">
        <v>14</v>
      </c>
      <c r="W35" s="706">
        <f t="shared" si="14"/>
        <v>100</v>
      </c>
      <c r="X35" s="1355"/>
      <c r="Y35" s="3809"/>
      <c r="Z35" s="1356" t="str">
        <f t="shared" si="15"/>
        <v>公共部分装修</v>
      </c>
      <c r="AA35" s="1353">
        <f t="shared" si="3"/>
        <v>1</v>
      </c>
      <c r="AB35" s="1353">
        <f t="shared" si="4"/>
        <v>1</v>
      </c>
      <c r="AC35" s="1353">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8"/>
      <c r="M36" s="2692"/>
      <c r="N36" s="2692"/>
      <c r="O36" s="2692"/>
      <c r="P36" s="3807"/>
      <c r="Q36" s="1352" t="str">
        <f t="shared" si="11"/>
        <v>成新度</v>
      </c>
      <c r="R36" s="705" t="s">
        <v>14</v>
      </c>
      <c r="S36" s="706" t="e">
        <f t="shared" si="12"/>
        <v>#N/A</v>
      </c>
      <c r="T36" s="705" t="s">
        <v>14</v>
      </c>
      <c r="U36" s="706" t="e">
        <f t="shared" si="13"/>
        <v>#N/A</v>
      </c>
      <c r="V36" s="705" t="s">
        <v>14</v>
      </c>
      <c r="W36" s="706" t="e">
        <f t="shared" si="14"/>
        <v>#N/A</v>
      </c>
      <c r="X36" s="1355"/>
      <c r="Y36" s="3809"/>
      <c r="Z36" s="1356" t="str">
        <f t="shared" si="15"/>
        <v>成新度</v>
      </c>
      <c r="AA36" s="1353" t="e">
        <f t="shared" si="3"/>
        <v>#N/A</v>
      </c>
      <c r="AB36" s="1353" t="e">
        <f t="shared" si="4"/>
        <v>#N/A</v>
      </c>
      <c r="AC36" s="1353" t="e">
        <f t="shared" si="5"/>
        <v>#N/A</v>
      </c>
    </row>
    <row r="37" spans="1:29" s="108" customFormat="1" ht="15">
      <c r="A37" s="424"/>
      <c r="B37" s="375" t="s">
        <v>1769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3"/>
      <c r="M37" s="2694"/>
      <c r="N37" s="2694"/>
      <c r="O37" s="2694"/>
      <c r="P37" s="3807"/>
      <c r="Q37" s="1343" t="str">
        <f t="shared" si="11"/>
        <v>市政基础设施</v>
      </c>
      <c r="R37" s="701" t="s">
        <v>14</v>
      </c>
      <c r="S37" s="702">
        <f t="shared" si="12"/>
        <v>100</v>
      </c>
      <c r="T37" s="701" t="s">
        <v>14</v>
      </c>
      <c r="U37" s="702">
        <f t="shared" si="13"/>
        <v>100</v>
      </c>
      <c r="V37" s="701" t="s">
        <v>14</v>
      </c>
      <c r="W37" s="702">
        <f t="shared" si="14"/>
        <v>100</v>
      </c>
      <c r="X37" s="703"/>
      <c r="Y37" s="3809"/>
      <c r="Z37" s="52" t="str">
        <f t="shared" si="15"/>
        <v>市政基础设施</v>
      </c>
      <c r="AA37" s="704">
        <f t="shared" si="3"/>
        <v>1</v>
      </c>
      <c r="AB37" s="704">
        <f t="shared" si="4"/>
        <v>1</v>
      </c>
      <c r="AC37" s="704">
        <f t="shared" si="5"/>
        <v>1</v>
      </c>
    </row>
    <row r="38" spans="1:29" ht="15">
      <c r="A38" s="423"/>
      <c r="B38" s="375" t="s">
        <v>1770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8"/>
      <c r="M38" s="2692"/>
      <c r="N38" s="2692"/>
      <c r="O38" s="2692"/>
      <c r="P38" s="3807" t="s">
        <v>1678</v>
      </c>
      <c r="Q38" s="1352" t="str">
        <f t="shared" si="11"/>
        <v>业态</v>
      </c>
      <c r="R38" s="705" t="s">
        <v>14</v>
      </c>
      <c r="S38" s="706">
        <f t="shared" si="12"/>
        <v>100</v>
      </c>
      <c r="T38" s="705" t="s">
        <v>14</v>
      </c>
      <c r="U38" s="706">
        <f t="shared" si="13"/>
        <v>100</v>
      </c>
      <c r="V38" s="705" t="s">
        <v>14</v>
      </c>
      <c r="W38" s="706">
        <f t="shared" si="14"/>
        <v>100</v>
      </c>
      <c r="X38" s="1355"/>
      <c r="Y38" s="3809" t="s">
        <v>1678</v>
      </c>
      <c r="Z38" s="1356" t="str">
        <f t="shared" si="15"/>
        <v>业态</v>
      </c>
      <c r="AA38" s="1353">
        <f t="shared" si="3"/>
        <v>1</v>
      </c>
      <c r="AB38" s="1353">
        <f t="shared" si="4"/>
        <v>1</v>
      </c>
      <c r="AC38" s="1353">
        <f t="shared" si="5"/>
        <v>1</v>
      </c>
    </row>
    <row r="39" spans="1:29" ht="15">
      <c r="A39" s="423"/>
      <c r="B39" s="375" t="s">
        <v>1771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8"/>
      <c r="M39" s="2692"/>
      <c r="N39" s="2692"/>
      <c r="O39" s="2692"/>
      <c r="P39" s="3807"/>
      <c r="Q39" s="1352" t="str">
        <f t="shared" si="11"/>
        <v>层高</v>
      </c>
      <c r="R39" s="705" t="s">
        <v>14</v>
      </c>
      <c r="S39" s="706">
        <f t="shared" si="12"/>
        <v>100</v>
      </c>
      <c r="T39" s="705" t="s">
        <v>14</v>
      </c>
      <c r="U39" s="706">
        <f t="shared" si="13"/>
        <v>100</v>
      </c>
      <c r="V39" s="705" t="s">
        <v>14</v>
      </c>
      <c r="W39" s="706">
        <f t="shared" si="14"/>
        <v>100</v>
      </c>
      <c r="X39" s="1355"/>
      <c r="Y39" s="3809"/>
      <c r="Z39" s="1356" t="str">
        <f t="shared" si="15"/>
        <v>层高</v>
      </c>
      <c r="AA39" s="1353">
        <f t="shared" si="3"/>
        <v>1</v>
      </c>
      <c r="AB39" s="1353">
        <f t="shared" si="4"/>
        <v>1</v>
      </c>
      <c r="AC39" s="1353">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807"/>
      <c r="Q40" s="1352" t="str">
        <f t="shared" si="11"/>
        <v>单套建筑面积</v>
      </c>
      <c r="R40" s="705" t="s">
        <v>14</v>
      </c>
      <c r="S40" s="706">
        <f t="shared" si="12"/>
        <v>100</v>
      </c>
      <c r="T40" s="705" t="s">
        <v>14</v>
      </c>
      <c r="U40" s="706">
        <f t="shared" si="13"/>
        <v>100</v>
      </c>
      <c r="V40" s="705" t="s">
        <v>14</v>
      </c>
      <c r="W40" s="706">
        <f t="shared" si="14"/>
        <v>100</v>
      </c>
      <c r="X40" s="1355"/>
      <c r="Y40" s="3809"/>
      <c r="Z40" s="1356" t="str">
        <f t="shared" si="15"/>
        <v>单套建筑面积</v>
      </c>
      <c r="AA40" s="1353">
        <f t="shared" si="3"/>
        <v>1</v>
      </c>
      <c r="AB40" s="1353">
        <f t="shared" si="4"/>
        <v>1</v>
      </c>
      <c r="AC40" s="1353">
        <f t="shared" si="5"/>
        <v>1</v>
      </c>
    </row>
    <row r="41" spans="1:29" s="422" customFormat="1" ht="15">
      <c r="A41" s="419"/>
      <c r="B41" s="1354"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7"/>
      <c r="M41" s="2699"/>
      <c r="N41" s="2699"/>
      <c r="O41" s="2699"/>
      <c r="P41" s="3807"/>
      <c r="Q41" s="707" t="str">
        <f t="shared" si="11"/>
        <v>进深比</v>
      </c>
      <c r="R41" s="708" t="s">
        <v>14</v>
      </c>
      <c r="S41" s="709">
        <f t="shared" si="12"/>
        <v>100</v>
      </c>
      <c r="T41" s="708" t="s">
        <v>14</v>
      </c>
      <c r="U41" s="709">
        <f t="shared" si="13"/>
        <v>100</v>
      </c>
      <c r="V41" s="708" t="s">
        <v>14</v>
      </c>
      <c r="W41" s="709">
        <f t="shared" si="14"/>
        <v>100</v>
      </c>
      <c r="X41" s="710"/>
      <c r="Y41" s="3809"/>
      <c r="Z41" s="711" t="str">
        <f t="shared" si="15"/>
        <v>进深比</v>
      </c>
      <c r="AA41" s="1353">
        <f t="shared" si="3"/>
        <v>1</v>
      </c>
      <c r="AB41" s="1353">
        <f t="shared" si="4"/>
        <v>1</v>
      </c>
      <c r="AC41" s="1353">
        <f t="shared" si="5"/>
        <v>1</v>
      </c>
    </row>
    <row r="42" spans="1:29" ht="15">
      <c r="A42" s="423"/>
      <c r="B42" s="375" t="s">
        <v>1774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8"/>
      <c r="M42" s="2692"/>
      <c r="N42" s="2692"/>
      <c r="O42" s="2692"/>
      <c r="P42" s="3807"/>
      <c r="Q42" s="1352" t="str">
        <f t="shared" si="11"/>
        <v>内部装修</v>
      </c>
      <c r="R42" s="705" t="s">
        <v>14</v>
      </c>
      <c r="S42" s="706">
        <f t="shared" si="12"/>
        <v>100</v>
      </c>
      <c r="T42" s="705" t="s">
        <v>14</v>
      </c>
      <c r="U42" s="706">
        <f t="shared" si="13"/>
        <v>100</v>
      </c>
      <c r="V42" s="705" t="s">
        <v>14</v>
      </c>
      <c r="W42" s="706">
        <f t="shared" si="14"/>
        <v>100</v>
      </c>
      <c r="X42" s="1355"/>
      <c r="Y42" s="3809"/>
      <c r="Z42" s="1356" t="str">
        <f t="shared" si="15"/>
        <v>内部装修</v>
      </c>
      <c r="AA42" s="1353">
        <f t="shared" si="3"/>
        <v>1</v>
      </c>
      <c r="AB42" s="1353">
        <f t="shared" si="4"/>
        <v>1</v>
      </c>
      <c r="AC42" s="1353">
        <f t="shared" si="5"/>
        <v>1</v>
      </c>
    </row>
    <row r="43" spans="1:29" ht="15">
      <c r="A43" s="423"/>
      <c r="B43" s="375" t="s">
        <v>1689</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8"/>
      <c r="M43" s="2692"/>
      <c r="N43" s="2692"/>
      <c r="O43" s="2692"/>
      <c r="P43" s="3807"/>
      <c r="Q43" s="1352" t="str">
        <f t="shared" si="11"/>
        <v>内部装修维护情况</v>
      </c>
      <c r="R43" s="705" t="s">
        <v>14</v>
      </c>
      <c r="S43" s="706">
        <f t="shared" si="12"/>
        <v>100</v>
      </c>
      <c r="T43" s="705" t="s">
        <v>14</v>
      </c>
      <c r="U43" s="706">
        <f t="shared" si="13"/>
        <v>100</v>
      </c>
      <c r="V43" s="705" t="s">
        <v>14</v>
      </c>
      <c r="W43" s="706">
        <f t="shared" si="14"/>
        <v>100</v>
      </c>
      <c r="X43" s="1355"/>
      <c r="Y43" s="38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807"/>
      <c r="Q44" s="1343">
        <f t="shared" si="11"/>
        <v>111</v>
      </c>
      <c r="R44" s="701" t="s">
        <v>14</v>
      </c>
      <c r="S44" s="702">
        <f t="shared" si="12"/>
        <v>100</v>
      </c>
      <c r="T44" s="701" t="s">
        <v>14</v>
      </c>
      <c r="U44" s="702">
        <f t="shared" si="13"/>
        <v>100</v>
      </c>
      <c r="V44" s="701" t="s">
        <v>14</v>
      </c>
      <c r="W44" s="702">
        <f t="shared" si="14"/>
        <v>100</v>
      </c>
      <c r="X44" s="703"/>
      <c r="Y44" s="38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807"/>
      <c r="Q45" s="1352">
        <f t="shared" si="11"/>
        <v>111</v>
      </c>
      <c r="R45" s="705" t="s">
        <v>14</v>
      </c>
      <c r="S45" s="706">
        <f t="shared" si="12"/>
        <v>100</v>
      </c>
      <c r="T45" s="705" t="s">
        <v>14</v>
      </c>
      <c r="U45" s="706">
        <f t="shared" si="13"/>
        <v>100</v>
      </c>
      <c r="V45" s="705" t="s">
        <v>14</v>
      </c>
      <c r="W45" s="706">
        <f t="shared" si="14"/>
        <v>100</v>
      </c>
      <c r="X45" s="1355"/>
      <c r="Y45" s="38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808"/>
      <c r="Q46" s="1352">
        <f t="shared" si="11"/>
        <v>111</v>
      </c>
      <c r="R46" s="705" t="s">
        <v>14</v>
      </c>
      <c r="S46" s="706">
        <f t="shared" si="12"/>
        <v>100</v>
      </c>
      <c r="T46" s="705" t="s">
        <v>14</v>
      </c>
      <c r="U46" s="706">
        <f t="shared" si="13"/>
        <v>100</v>
      </c>
      <c r="V46" s="705" t="s">
        <v>14</v>
      </c>
      <c r="W46" s="706">
        <f t="shared" si="14"/>
        <v>100</v>
      </c>
      <c r="X46" s="1355"/>
      <c r="Y46" s="3810"/>
      <c r="Z46" s="1356">
        <f t="shared" si="15"/>
        <v>111</v>
      </c>
      <c r="AA46" s="1353">
        <f t="shared" si="3"/>
        <v>1</v>
      </c>
      <c r="AB46" s="1353">
        <f t="shared" si="4"/>
        <v>1</v>
      </c>
      <c r="AC46" s="1353">
        <f t="shared" si="5"/>
        <v>1</v>
      </c>
    </row>
    <row r="47" spans="1:29" ht="15">
      <c r="A47" s="430" t="s">
        <v>1690</v>
      </c>
      <c r="B47" s="431"/>
      <c r="C47" s="1154" t="s">
        <v>0</v>
      </c>
      <c r="D47" s="1155"/>
      <c r="E47" s="1156"/>
      <c r="F47" s="1157"/>
      <c r="G47" s="1158"/>
      <c r="H47" s="1159"/>
      <c r="I47" s="1156"/>
      <c r="J47" s="1159"/>
      <c r="K47" s="714"/>
      <c r="L47" s="2700"/>
      <c r="M47" s="2701"/>
      <c r="N47" s="2692"/>
      <c r="O47" s="2701"/>
      <c r="P47" s="3811" t="str">
        <f>A47</f>
        <v>成交单价（元/平方米）</v>
      </c>
      <c r="Q47" s="3811"/>
      <c r="R47" s="3799">
        <f>E47</f>
        <v>0</v>
      </c>
      <c r="S47" s="3799"/>
      <c r="T47" s="3799">
        <f>G47</f>
        <v>0</v>
      </c>
      <c r="U47" s="3799"/>
      <c r="V47" s="3799">
        <f>I47</f>
        <v>0</v>
      </c>
      <c r="W47" s="3799"/>
      <c r="X47" s="690"/>
      <c r="Y47" s="712"/>
      <c r="Z47" s="690"/>
      <c r="AA47" s="690"/>
      <c r="AB47" s="690"/>
      <c r="AC47" s="690"/>
    </row>
    <row r="48" spans="1:29" ht="15.75" thickBot="1">
      <c r="A48" s="437" t="s">
        <v>1775</v>
      </c>
      <c r="B48" s="438"/>
      <c r="C48" s="1160" t="e">
        <f>R49</f>
        <v>#DIV/0!</v>
      </c>
      <c r="D48" s="2317" t="s">
        <v>2120</v>
      </c>
      <c r="E48" s="1161" t="e">
        <f>R48</f>
        <v>#DIV/0!</v>
      </c>
      <c r="F48" s="2318"/>
      <c r="G48" s="1160" t="e">
        <f>T48</f>
        <v>#DIV/0!</v>
      </c>
      <c r="H48" s="2318"/>
      <c r="I48" s="1161" t="e">
        <f>V48</f>
        <v>#DIV/0!</v>
      </c>
      <c r="J48" s="2318"/>
      <c r="K48" s="2320">
        <f>F48+H48+J48</f>
        <v>0</v>
      </c>
      <c r="L48" s="2700"/>
      <c r="M48" s="2701"/>
      <c r="N48" s="2692"/>
      <c r="O48" s="2701"/>
      <c r="P48" s="3811" t="str">
        <f>A48</f>
        <v>比较价值（元/平方米）</v>
      </c>
      <c r="Q48" s="3811"/>
      <c r="R48" s="3812" t="e">
        <f>IF(F1="售价",ROUND(PRODUCT(R47,AA7:AA46),0),ROUND(PRODUCT(R47,AA7:AA46),1))</f>
        <v>#DIV/0!</v>
      </c>
      <c r="S48" s="3812"/>
      <c r="T48" s="3812" t="e">
        <f>IF(F1="售价",ROUND(PRODUCT(T47,AB7:AB46),0),ROUND(PRODUCT(T47,AB7:AB46),1))</f>
        <v>#DIV/0!</v>
      </c>
      <c r="U48" s="3812"/>
      <c r="V48" s="3812" t="e">
        <f>IF(F1="售价",ROUND(PRODUCT(V47,AC7:AC46),0),ROUND(PRODUCT(V47,AC7:AC46),1))</f>
        <v>#DIV/0!</v>
      </c>
      <c r="W48" s="3812"/>
      <c r="X48" s="690"/>
      <c r="Y48" s="690"/>
      <c r="Z48" s="690"/>
      <c r="AA48" s="690"/>
      <c r="AB48" s="690"/>
      <c r="AC48" s="690"/>
    </row>
    <row r="49" spans="1:29" ht="15.75" thickBot="1">
      <c r="A49" s="441" t="s">
        <v>1776</v>
      </c>
      <c r="B49" s="442"/>
      <c r="C49" s="1163" t="e">
        <f>R49</f>
        <v>#DIV/0!</v>
      </c>
      <c r="D49" s="1163"/>
      <c r="E49" s="1163"/>
      <c r="F49" s="1163"/>
      <c r="G49" s="1163"/>
      <c r="H49" s="1163"/>
      <c r="I49" s="1163"/>
      <c r="J49" s="1163"/>
      <c r="K49" s="715"/>
      <c r="L49" s="2700"/>
      <c r="M49" s="2701"/>
      <c r="N49" s="2692"/>
      <c r="O49" s="2701"/>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1780</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1661</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c r="E59" s="461"/>
      <c r="F59" s="461"/>
      <c r="G59" s="461"/>
      <c r="H59" s="461"/>
      <c r="I59" s="461"/>
      <c r="J59" s="461"/>
      <c r="K59" s="461"/>
      <c r="L59" s="461"/>
      <c r="M59" s="462"/>
      <c r="N59" s="461"/>
      <c r="O59" s="462"/>
      <c r="P59" s="2718"/>
      <c r="Q59" s="2638"/>
      <c r="R59" s="2638"/>
      <c r="S59" s="2638"/>
      <c r="T59" s="2638"/>
      <c r="U59" s="2638"/>
      <c r="V59" s="2638"/>
      <c r="W59" s="2638"/>
      <c r="X59" s="2638"/>
      <c r="Y59" s="2638"/>
      <c r="Z59" s="2638"/>
      <c r="AA59" s="2638"/>
      <c r="AB59" s="2638"/>
      <c r="AC59" s="2638"/>
    </row>
    <row r="60" spans="1:29" s="108" customFormat="1" ht="15.75" thickBot="1">
      <c r="A60" s="464" t="s">
        <v>1698</v>
      </c>
      <c r="B60" s="465"/>
      <c r="C60" s="466"/>
      <c r="D60" s="467"/>
      <c r="E60" s="467"/>
      <c r="F60" s="467"/>
      <c r="G60" s="467"/>
      <c r="H60" s="467"/>
      <c r="I60" s="467"/>
      <c r="J60" s="467"/>
      <c r="K60" s="467"/>
      <c r="L60" s="467"/>
      <c r="M60" s="468"/>
      <c r="N60" s="467"/>
      <c r="O60" s="468"/>
      <c r="P60" s="2718"/>
      <c r="Q60" s="2715"/>
      <c r="R60" s="2638"/>
      <c r="S60" s="2638"/>
      <c r="T60" s="2638"/>
      <c r="U60" s="2638"/>
      <c r="V60" s="2638"/>
      <c r="W60" s="2638"/>
      <c r="X60" s="2638"/>
      <c r="Y60" s="2638"/>
      <c r="Z60" s="2638"/>
      <c r="AA60" s="2638"/>
      <c r="AB60" s="2638"/>
      <c r="AC60" s="2638"/>
    </row>
    <row r="61" spans="1:29" s="108" customFormat="1" ht="15">
      <c r="A61" s="470" t="s">
        <v>1663</v>
      </c>
      <c r="B61" s="459"/>
      <c r="C61" s="471" t="s">
        <v>1758</v>
      </c>
      <c r="D61" s="472"/>
      <c r="E61" s="472"/>
      <c r="F61" s="472"/>
      <c r="G61" s="472"/>
      <c r="H61" s="472"/>
      <c r="I61" s="472"/>
      <c r="J61" s="472"/>
      <c r="K61" s="472"/>
      <c r="L61" s="473"/>
      <c r="M61" s="474"/>
      <c r="N61" s="2728"/>
      <c r="O61" s="2728"/>
      <c r="P61" s="2719"/>
      <c r="Q61" s="2715"/>
      <c r="R61" s="2638"/>
      <c r="S61" s="2638"/>
      <c r="T61" s="2638"/>
      <c r="U61" s="2638"/>
      <c r="V61" s="2638"/>
      <c r="W61" s="2638"/>
      <c r="X61" s="2638"/>
      <c r="Y61" s="2638"/>
      <c r="Z61" s="2638"/>
      <c r="AA61" s="2638"/>
      <c r="AB61" s="2638"/>
      <c r="AC61" s="2638"/>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8"/>
      <c r="S62" s="2638"/>
      <c r="T62" s="2638"/>
      <c r="U62" s="2638"/>
      <c r="V62" s="2638"/>
      <c r="W62" s="2638"/>
      <c r="X62" s="2638"/>
      <c r="Y62" s="2638"/>
      <c r="Z62" s="2638"/>
      <c r="AA62" s="2638"/>
      <c r="AB62" s="2638"/>
      <c r="AC62" s="2638"/>
    </row>
    <row r="63" spans="1:29">
      <c r="A63" s="476" t="s">
        <v>1701</v>
      </c>
      <c r="B63" s="477" t="s">
        <v>1667</v>
      </c>
      <c r="C63" s="478">
        <f>C9</f>
        <v>0</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1670</v>
      </c>
      <c r="C65" s="532"/>
      <c r="D65" s="532"/>
      <c r="E65" s="532"/>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c r="D66" s="485"/>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c r="D68" s="498"/>
      <c r="E68" s="498"/>
      <c r="F68" s="498"/>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1672</v>
      </c>
      <c r="B76" s="477" t="s">
        <v>1702</v>
      </c>
      <c r="C76" s="522" t="s">
        <v>1703</v>
      </c>
      <c r="D76" s="522" t="s">
        <v>1704</v>
      </c>
      <c r="E76" s="522" t="s">
        <v>1705</v>
      </c>
      <c r="F76" s="522" t="s">
        <v>1706</v>
      </c>
      <c r="G76" s="522" t="s">
        <v>1707</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1708</v>
      </c>
      <c r="C78" s="527" t="s">
        <v>1703</v>
      </c>
      <c r="D78" s="527" t="s">
        <v>1704</v>
      </c>
      <c r="E78" s="527" t="s">
        <v>1705</v>
      </c>
      <c r="F78" s="527" t="s">
        <v>1706</v>
      </c>
      <c r="G78" s="527" t="s">
        <v>1707</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1709</v>
      </c>
      <c r="C80" s="527" t="s">
        <v>1703</v>
      </c>
      <c r="D80" s="527" t="s">
        <v>1704</v>
      </c>
      <c r="E80" s="527" t="s">
        <v>1705</v>
      </c>
      <c r="F80" s="527" t="s">
        <v>1706</v>
      </c>
      <c r="G80" s="527" t="s">
        <v>1707</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1761</v>
      </c>
      <c r="C82" s="608" t="s">
        <v>1781</v>
      </c>
      <c r="D82" s="608" t="s">
        <v>1782</v>
      </c>
      <c r="E82" s="608" t="s">
        <v>1783</v>
      </c>
      <c r="F82" s="608" t="s">
        <v>1784</v>
      </c>
      <c r="G82" s="608" t="s">
        <v>1785</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1715</v>
      </c>
      <c r="C84" s="527" t="s">
        <v>1703</v>
      </c>
      <c r="D84" s="527" t="s">
        <v>1704</v>
      </c>
      <c r="E84" s="527" t="s">
        <v>1705</v>
      </c>
      <c r="F84" s="527" t="s">
        <v>1706</v>
      </c>
      <c r="G84" s="527" t="s">
        <v>1707</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1786</v>
      </c>
      <c r="C86" s="503"/>
      <c r="D86" s="503"/>
      <c r="E86" s="503"/>
      <c r="F86" s="503"/>
      <c r="G86" s="503"/>
      <c r="H86" s="503"/>
      <c r="I86" s="503"/>
      <c r="J86" s="503"/>
      <c r="K86" s="503"/>
      <c r="L86" s="529"/>
      <c r="M86" s="530"/>
      <c r="N86" s="2728"/>
      <c r="O86" s="2728"/>
      <c r="P86" s="2720"/>
      <c r="Q86" s="2715"/>
      <c r="R86" s="2638"/>
      <c r="S86" s="2638"/>
      <c r="T86" s="2638"/>
      <c r="U86" s="2638"/>
      <c r="V86" s="2638"/>
      <c r="W86" s="2638"/>
      <c r="X86" s="2638"/>
      <c r="Y86" s="2638"/>
      <c r="Z86" s="2638"/>
      <c r="AA86" s="2638"/>
      <c r="AB86" s="2638"/>
      <c r="AC86" s="263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0"/>
      <c r="O87" s="2730"/>
      <c r="P87" s="2720"/>
      <c r="Q87" s="2715"/>
      <c r="R87" s="2638"/>
      <c r="S87" s="2638"/>
      <c r="T87" s="2638"/>
      <c r="U87" s="2638"/>
      <c r="V87" s="2638"/>
      <c r="W87" s="2638"/>
      <c r="X87" s="2638"/>
      <c r="Y87" s="2638"/>
      <c r="Z87" s="2638"/>
      <c r="AA87" s="2638"/>
      <c r="AB87" s="2638"/>
      <c r="AC87" s="2638"/>
    </row>
    <row r="88" spans="1:29" s="108" customFormat="1" ht="15.75" thickTop="1">
      <c r="A88" s="528"/>
      <c r="B88" s="487" t="str">
        <f>B26</f>
        <v>平面位置/可视性</v>
      </c>
      <c r="C88" s="503"/>
      <c r="D88" s="503"/>
      <c r="E88" s="503"/>
      <c r="F88" s="1927"/>
      <c r="G88" s="503"/>
      <c r="H88" s="503"/>
      <c r="I88" s="503"/>
      <c r="J88" s="503"/>
      <c r="K88" s="503"/>
      <c r="L88" s="503"/>
      <c r="M88" s="530"/>
      <c r="N88" s="2728"/>
      <c r="O88" s="2728"/>
      <c r="P88" s="2720"/>
      <c r="Q88" s="2715"/>
      <c r="R88" s="2638"/>
      <c r="S88" s="2638"/>
      <c r="T88" s="2638"/>
      <c r="U88" s="2638"/>
      <c r="V88" s="2638"/>
      <c r="W88" s="2638"/>
      <c r="X88" s="2638"/>
      <c r="Y88" s="2638"/>
      <c r="Z88" s="2638"/>
      <c r="AA88" s="2638"/>
      <c r="AB88" s="2638"/>
      <c r="AC88" s="2638"/>
    </row>
    <row r="89" spans="1:29" s="108" customFormat="1" ht="15.75" thickBot="1">
      <c r="A89" s="528"/>
      <c r="B89" s="492"/>
      <c r="C89" s="509"/>
      <c r="D89" s="485"/>
      <c r="E89" s="485"/>
      <c r="F89" s="485"/>
      <c r="G89" s="485"/>
      <c r="H89" s="485"/>
      <c r="I89" s="485"/>
      <c r="J89" s="485"/>
      <c r="K89" s="485"/>
      <c r="L89" s="485"/>
      <c r="M89" s="485"/>
      <c r="N89" s="2730"/>
      <c r="O89" s="2730"/>
      <c r="P89" s="2720"/>
      <c r="Q89" s="2715"/>
      <c r="R89" s="2638"/>
      <c r="S89" s="2638"/>
      <c r="T89" s="2638"/>
      <c r="U89" s="2638"/>
      <c r="V89" s="2638"/>
      <c r="W89" s="2638"/>
      <c r="X89" s="2638"/>
      <c r="Y89" s="2638"/>
      <c r="Z89" s="2638"/>
      <c r="AA89" s="2638"/>
      <c r="AB89" s="2638"/>
      <c r="AC89" s="2638"/>
    </row>
    <row r="90" spans="1:29" s="422" customFormat="1" ht="15.75" thickTop="1">
      <c r="A90" s="502"/>
      <c r="B90" s="487" t="str">
        <f>B27</f>
        <v>人流量</v>
      </c>
      <c r="C90" s="503"/>
      <c r="D90" s="503"/>
      <c r="E90" s="503"/>
      <c r="F90" s="503"/>
      <c r="G90" s="503"/>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c r="D92" s="503"/>
      <c r="E92" s="503"/>
      <c r="F92" s="503"/>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c r="D93" s="485"/>
      <c r="E93" s="485"/>
      <c r="F93" s="485"/>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8"/>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1676</v>
      </c>
      <c r="B100" s="477" t="s">
        <v>1787</v>
      </c>
      <c r="C100" s="479"/>
      <c r="D100" s="479"/>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c r="D103" s="544"/>
      <c r="E103" s="544"/>
      <c r="F103" s="544"/>
      <c r="G103" s="544"/>
      <c r="H103" s="544"/>
      <c r="I103" s="544"/>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c r="D104" s="485"/>
      <c r="E104" s="485"/>
      <c r="F104" s="485"/>
      <c r="G104" s="485"/>
      <c r="H104" s="485"/>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1720</v>
      </c>
      <c r="C105" s="503"/>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1722</v>
      </c>
      <c r="C107" s="503"/>
      <c r="D107" s="503"/>
      <c r="E107" s="503"/>
      <c r="F107" s="532"/>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1724</v>
      </c>
      <c r="C112" s="503"/>
      <c r="D112" s="503"/>
      <c r="E112" s="503"/>
      <c r="F112" s="503"/>
      <c r="G112" s="503"/>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1788</v>
      </c>
      <c r="C114" s="503"/>
      <c r="D114" s="503"/>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1789</v>
      </c>
      <c r="C116" s="503"/>
      <c r="D116" s="503"/>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1790</v>
      </c>
      <c r="C118" s="575"/>
      <c r="D118" s="575"/>
      <c r="E118" s="575"/>
      <c r="F118" s="575"/>
      <c r="G118" s="575"/>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c r="D119" s="485"/>
      <c r="E119" s="485"/>
      <c r="F119" s="485"/>
      <c r="G119" s="485"/>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1791</v>
      </c>
      <c r="C120" s="532"/>
      <c r="D120" s="532"/>
      <c r="E120" s="532"/>
      <c r="F120" s="532"/>
      <c r="G120" s="504"/>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1726</v>
      </c>
      <c r="C122" s="503"/>
      <c r="D122" s="503"/>
      <c r="E122" s="503"/>
      <c r="F122" s="532"/>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1727</v>
      </c>
      <c r="C124" s="527" t="s">
        <v>1703</v>
      </c>
      <c r="D124" s="527" t="s">
        <v>1704</v>
      </c>
      <c r="E124" s="527" t="s">
        <v>1705</v>
      </c>
      <c r="F124" s="527" t="s">
        <v>1706</v>
      </c>
      <c r="G124" s="527" t="s">
        <v>1707</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8"/>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O132"/>
  <sheetViews>
    <sheetView view="pageBreakPreview" topLeftCell="A10" zoomScale="90" zoomScaleNormal="70" zoomScaleSheetLayoutView="90" workbookViewId="0">
      <selection activeCell="E5" sqref="E5:F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36" width="9" style="357"/>
    <col min="37" max="37" width="17.5" style="357" customWidth="1"/>
    <col min="38" max="38" width="9" style="357"/>
    <col min="39" max="39" width="14.375" style="357" customWidth="1"/>
    <col min="40" max="16384" width="9" style="357"/>
  </cols>
  <sheetData>
    <row r="1" spans="1:29" s="1233" customFormat="1" ht="28.5" customHeight="1" thickBot="1">
      <c r="A1" s="1222" t="s">
        <v>1642</v>
      </c>
      <c r="B1" s="1957" t="s">
        <v>1792</v>
      </c>
      <c r="C1" s="1224" t="s">
        <v>1644</v>
      </c>
      <c r="D1" s="1225"/>
      <c r="E1" s="3409" t="s">
        <v>3566</v>
      </c>
      <c r="F1" s="1879" t="s">
        <v>3567</v>
      </c>
      <c r="G1" s="1235" t="s">
        <v>1645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f>IF(E1="项目模式",IF(C2="——",ROUND(C50*D3/10000,0),ROUND(C50*D3/10000,0)-D2),IF(E1="单套模式",IF(C2="——",ROUND(C50*D3/10000,4),ROUND(C50*D3/10000,4)-D2)))</f>
        <v>150867</v>
      </c>
      <c r="C2" s="1881" t="s">
        <v>43</v>
      </c>
      <c r="D2" s="1115" t="e">
        <f ca="1">IF(E1="项目模式",SUMIF(INDIRECT("'"&amp;F2&amp;"'"&amp;"!A:A"),"承租人权益价值",INDIRECT("'"&amp;F2&amp;"'"&amp;"!c:c")),SUMIF(INDIRECT("'"&amp;F2&amp;"'"&amp;"!A:A"),"承租人权益价值（单套）",INDIRECT("'"&amp;F2&amp;"'"&amp;"!c:c")))</f>
        <v>#REF!</v>
      </c>
      <c r="E2" s="1882" t="s">
        <v>1445</v>
      </c>
      <c r="F2" s="1883"/>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46991</v>
      </c>
      <c r="C3" s="354" t="s">
        <v>1647</v>
      </c>
      <c r="D3" s="353">
        <f>IF(D1="",'数据-汇总表'!E3,SUMIF('数据-汇总表'!$C19:$C33,D1,'数据-汇总表'!$E19:$E33))</f>
        <v>32105.55</v>
      </c>
      <c r="E3" s="1954"/>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1648</v>
      </c>
      <c r="B4" s="356"/>
      <c r="C4" s="3786" t="s">
        <v>1649</v>
      </c>
      <c r="D4" s="3787"/>
      <c r="E4" s="3788" t="s">
        <v>1650</v>
      </c>
      <c r="F4" s="3789"/>
      <c r="G4" s="3786" t="s">
        <v>1651</v>
      </c>
      <c r="H4" s="3787"/>
      <c r="I4" s="3786" t="s">
        <v>1652</v>
      </c>
      <c r="J4" s="3787"/>
      <c r="K4" s="559" t="s">
        <v>1653</v>
      </c>
      <c r="L4" s="2691"/>
      <c r="M4" s="2692"/>
      <c r="N4" s="2692"/>
      <c r="O4" s="2692"/>
      <c r="P4" s="3790" t="s">
        <v>1654</v>
      </c>
      <c r="Q4" s="3791"/>
      <c r="R4" s="3770" t="s">
        <v>1650</v>
      </c>
      <c r="S4" s="3771"/>
      <c r="T4" s="3770" t="s">
        <v>1651</v>
      </c>
      <c r="U4" s="3771"/>
      <c r="V4" s="3798" t="s">
        <v>1652</v>
      </c>
      <c r="W4" s="3798"/>
      <c r="X4" s="3479"/>
      <c r="Y4" s="3770" t="s">
        <v>1654</v>
      </c>
      <c r="Z4" s="3771"/>
      <c r="AA4" s="3765" t="s">
        <v>1650</v>
      </c>
      <c r="AB4" s="3765" t="s">
        <v>1651</v>
      </c>
      <c r="AC4" s="3783" t="s">
        <v>1652</v>
      </c>
    </row>
    <row r="5" spans="1:29" ht="15">
      <c r="A5" s="358"/>
      <c r="B5" s="359"/>
      <c r="C5" s="3776" t="s">
        <v>1655</v>
      </c>
      <c r="D5" s="3777"/>
      <c r="E5" s="3774" t="str">
        <f>'2022年大宗'!B95</f>
        <v>通州富力中心</v>
      </c>
      <c r="F5" s="3775"/>
      <c r="G5" s="3776" t="str">
        <f>'2022年大宗'!B86</f>
        <v>大悦时代广场T2楼</v>
      </c>
      <c r="H5" s="3777"/>
      <c r="I5" s="3776" t="str">
        <f>'2022年大宗'!B91</f>
        <v>诺德中心</v>
      </c>
      <c r="J5" s="3777"/>
      <c r="K5" s="559"/>
      <c r="L5" s="2691"/>
      <c r="M5" s="2692"/>
      <c r="N5" s="2692"/>
      <c r="O5" s="2692"/>
      <c r="P5" s="3792"/>
      <c r="Q5" s="3793"/>
      <c r="R5" s="3772"/>
      <c r="S5" s="3773"/>
      <c r="T5" s="3772"/>
      <c r="U5" s="3773"/>
      <c r="V5" s="3799"/>
      <c r="W5" s="3799"/>
      <c r="X5" s="3480"/>
      <c r="Y5" s="3772"/>
      <c r="Z5" s="3773"/>
      <c r="AA5" s="3766"/>
      <c r="AB5" s="3766"/>
      <c r="AC5" s="3784"/>
    </row>
    <row r="6" spans="1:29" ht="15.75" thickBot="1">
      <c r="A6" s="360"/>
      <c r="B6" s="361"/>
      <c r="C6" s="3778" t="s">
        <v>1659</v>
      </c>
      <c r="D6" s="3779"/>
      <c r="E6" s="3780" t="s">
        <v>1659</v>
      </c>
      <c r="F6" s="3781"/>
      <c r="G6" s="3778" t="s">
        <v>1659</v>
      </c>
      <c r="H6" s="3779"/>
      <c r="I6" s="3778" t="s">
        <v>1659</v>
      </c>
      <c r="J6" s="3779"/>
      <c r="K6" s="559" t="s">
        <v>1660</v>
      </c>
      <c r="L6" s="2691"/>
      <c r="M6" s="2692"/>
      <c r="N6" s="2692"/>
      <c r="O6" s="2692"/>
      <c r="P6" s="3794"/>
      <c r="Q6" s="3795"/>
      <c r="R6" s="3772"/>
      <c r="S6" s="3773"/>
      <c r="T6" s="3796"/>
      <c r="U6" s="3797"/>
      <c r="V6" s="3799"/>
      <c r="W6" s="3799"/>
      <c r="X6" s="3480"/>
      <c r="Y6" s="3796"/>
      <c r="Z6" s="3797"/>
      <c r="AA6" s="3767"/>
      <c r="AB6" s="3767"/>
      <c r="AC6" s="3785"/>
    </row>
    <row r="7" spans="1:29" s="108" customFormat="1" ht="15.75" thickBot="1">
      <c r="A7" s="362" t="s">
        <v>1661</v>
      </c>
      <c r="B7" s="363"/>
      <c r="C7" s="364">
        <f>'数据-取费表'!B2</f>
        <v>45406</v>
      </c>
      <c r="D7" s="365">
        <v>100</v>
      </c>
      <c r="E7" s="366">
        <v>44835</v>
      </c>
      <c r="F7" s="367">
        <f>SUMIF(59:59,YEAR(E7)&amp;"-"&amp;MONTH(E7),60:60)</f>
        <v>98</v>
      </c>
      <c r="G7" s="366">
        <v>44621</v>
      </c>
      <c r="H7" s="365">
        <f>SUMIF(59:59,YEAR(G7)&amp;"-"&amp;MONTH(G7),60:60)</f>
        <v>96</v>
      </c>
      <c r="I7" s="366">
        <v>44652</v>
      </c>
      <c r="J7" s="365">
        <f>SUMIF(59:59,YEAR(I7)&amp;"-"&amp;MONTH(I7),60:60)</f>
        <v>98</v>
      </c>
      <c r="K7" s="560"/>
      <c r="L7" s="2693"/>
      <c r="M7" s="2694"/>
      <c r="N7" s="2694"/>
      <c r="O7" s="2694"/>
      <c r="P7" s="3800" t="s">
        <v>1662</v>
      </c>
      <c r="Q7" s="3801"/>
      <c r="R7" s="701" t="s">
        <v>14</v>
      </c>
      <c r="S7" s="702">
        <f t="shared" ref="S7:S15" si="0">F7</f>
        <v>98</v>
      </c>
      <c r="T7" s="701" t="s">
        <v>14</v>
      </c>
      <c r="U7" s="702">
        <f t="shared" ref="U7:U15" si="1">H7</f>
        <v>96</v>
      </c>
      <c r="V7" s="701" t="s">
        <v>14</v>
      </c>
      <c r="W7" s="702">
        <f t="shared" ref="W7:W15" si="2">J7</f>
        <v>98</v>
      </c>
      <c r="X7" s="703"/>
      <c r="Y7" s="3768" t="s">
        <v>1662</v>
      </c>
      <c r="Z7" s="3769"/>
      <c r="AA7" s="704">
        <f>D7/F7</f>
        <v>1.0204081632653061</v>
      </c>
      <c r="AB7" s="704">
        <f>D7/H7</f>
        <v>1.0416666666666667</v>
      </c>
      <c r="AC7" s="1959">
        <f>D7/J7</f>
        <v>1.0204081632653061</v>
      </c>
    </row>
    <row r="8" spans="1:29" s="108" customFormat="1" ht="15.75" thickBot="1">
      <c r="A8" s="362" t="s">
        <v>1663</v>
      </c>
      <c r="B8" s="363"/>
      <c r="C8" s="368" t="s">
        <v>3547</v>
      </c>
      <c r="D8" s="365">
        <v>100</v>
      </c>
      <c r="E8" s="368" t="s">
        <v>3547</v>
      </c>
      <c r="F8" s="367">
        <f>SUMIF(62:62,E8,63:63)-SUMIF(62:62,C8,63:63)+100</f>
        <v>100</v>
      </c>
      <c r="G8" s="368" t="s">
        <v>3547</v>
      </c>
      <c r="H8" s="365">
        <f>SUMIF(62:62,G8,63:63)-SUMIF(62:62,C8,63:63)+100</f>
        <v>100</v>
      </c>
      <c r="I8" s="368" t="s">
        <v>3547</v>
      </c>
      <c r="J8" s="365">
        <f>SUMIF(62:62,I8,63:63)-SUMIF(62:62,C8,63:63)+100</f>
        <v>100</v>
      </c>
      <c r="K8" s="560"/>
      <c r="L8" s="2693"/>
      <c r="M8" s="2694"/>
      <c r="N8" s="2694"/>
      <c r="O8" s="2694"/>
      <c r="P8" s="3800" t="s">
        <v>1665</v>
      </c>
      <c r="Q8" s="3769"/>
      <c r="R8" s="701" t="s">
        <v>14</v>
      </c>
      <c r="S8" s="702">
        <f t="shared" si="0"/>
        <v>100</v>
      </c>
      <c r="T8" s="701" t="s">
        <v>14</v>
      </c>
      <c r="U8" s="702">
        <f t="shared" si="1"/>
        <v>100</v>
      </c>
      <c r="V8" s="701" t="s">
        <v>14</v>
      </c>
      <c r="W8" s="702">
        <f t="shared" si="2"/>
        <v>100</v>
      </c>
      <c r="X8" s="703"/>
      <c r="Y8" s="3768" t="s">
        <v>1665</v>
      </c>
      <c r="Z8" s="3769"/>
      <c r="AA8" s="704">
        <f t="shared" ref="AA8:AA47" si="3">D8/F8</f>
        <v>1</v>
      </c>
      <c r="AB8" s="704">
        <f t="shared" ref="AB8:AB47" si="4">D8/H8</f>
        <v>1</v>
      </c>
      <c r="AC8" s="1959">
        <f t="shared" ref="AC8:AC47" si="5">D8/J8</f>
        <v>1</v>
      </c>
    </row>
    <row r="9" spans="1:29" s="108" customFormat="1">
      <c r="A9" s="369" t="s">
        <v>1666</v>
      </c>
      <c r="B9" s="63" t="s">
        <v>1667</v>
      </c>
      <c r="C9" s="370" t="s">
        <v>21</v>
      </c>
      <c r="D9" s="126">
        <v>100</v>
      </c>
      <c r="E9" s="373" t="s">
        <v>21</v>
      </c>
      <c r="F9" s="126">
        <f>SUMIF(64:64,E9,65:65)-SUMIF(64:64,C9,65:65)+100</f>
        <v>100</v>
      </c>
      <c r="G9" s="371" t="s">
        <v>21</v>
      </c>
      <c r="H9" s="126">
        <f>SUMIF(64:64,G9,65:65)-SUMIF(64:64,C9,65:65)+100</f>
        <v>100</v>
      </c>
      <c r="I9" s="371" t="s">
        <v>21</v>
      </c>
      <c r="J9" s="126">
        <f>SUMIF(64:64,I9,65:65)-SUMIF(64:64,C9,65:65)+100</f>
        <v>100</v>
      </c>
      <c r="K9" s="560"/>
      <c r="L9" s="2693"/>
      <c r="M9" s="2694"/>
      <c r="N9" s="2694"/>
      <c r="O9" s="2694"/>
      <c r="P9" s="3782" t="s">
        <v>1668</v>
      </c>
      <c r="Q9" s="3478" t="str">
        <f t="shared" ref="Q9:Q15" si="6">B9</f>
        <v>用途</v>
      </c>
      <c r="R9" s="701" t="s">
        <v>14</v>
      </c>
      <c r="S9" s="702">
        <f t="shared" si="0"/>
        <v>100</v>
      </c>
      <c r="T9" s="701" t="s">
        <v>14</v>
      </c>
      <c r="U9" s="702">
        <f t="shared" si="1"/>
        <v>100</v>
      </c>
      <c r="V9" s="701" t="s">
        <v>14</v>
      </c>
      <c r="W9" s="702">
        <f t="shared" si="2"/>
        <v>100</v>
      </c>
      <c r="X9" s="703"/>
      <c r="Y9" s="3741" t="s">
        <v>1669</v>
      </c>
      <c r="Z9" s="3477" t="str">
        <f t="shared" ref="Z9:Z15" si="7">Q9</f>
        <v>用途</v>
      </c>
      <c r="AA9" s="704">
        <f t="shared" si="3"/>
        <v>1</v>
      </c>
      <c r="AB9" s="704">
        <f t="shared" si="4"/>
        <v>1</v>
      </c>
      <c r="AC9" s="1959">
        <f t="shared" si="5"/>
        <v>1</v>
      </c>
    </row>
    <row r="10" spans="1:29" s="378" customFormat="1" ht="27">
      <c r="A10" s="374"/>
      <c r="B10" s="375" t="s">
        <v>1670</v>
      </c>
      <c r="C10" s="3410" t="str">
        <f>E66</f>
        <v>20-30</v>
      </c>
      <c r="D10" s="127">
        <v>100</v>
      </c>
      <c r="E10" s="3410" t="s">
        <v>4613</v>
      </c>
      <c r="F10" s="127">
        <f>SUMIF(66:66,E10,67:67)-SUMIF(66:66,C10,67:67)+100</f>
        <v>104</v>
      </c>
      <c r="G10" s="3410" t="s">
        <v>4613</v>
      </c>
      <c r="H10" s="127">
        <f>SUMIF(66:66,G10,67:67)-SUMIF(66:66,C10,67:67)+100</f>
        <v>104</v>
      </c>
      <c r="I10" s="3410" t="s">
        <v>4631</v>
      </c>
      <c r="J10" s="127">
        <f>SUMIF(66:66,I10,67:67)-SUMIF(66:66,C10,67:67)+100</f>
        <v>102</v>
      </c>
      <c r="K10" s="560"/>
      <c r="L10" s="2695"/>
      <c r="M10" s="2696"/>
      <c r="N10" s="2696"/>
      <c r="O10" s="2696"/>
      <c r="P10" s="3782"/>
      <c r="Q10" s="3478" t="str">
        <f t="shared" si="6"/>
        <v>土地使用年限（年）</v>
      </c>
      <c r="R10" s="701" t="s">
        <v>14</v>
      </c>
      <c r="S10" s="702">
        <f t="shared" si="0"/>
        <v>104</v>
      </c>
      <c r="T10" s="701" t="s">
        <v>14</v>
      </c>
      <c r="U10" s="702">
        <f t="shared" si="1"/>
        <v>104</v>
      </c>
      <c r="V10" s="701" t="s">
        <v>14</v>
      </c>
      <c r="W10" s="702">
        <f t="shared" si="2"/>
        <v>102</v>
      </c>
      <c r="X10" s="703"/>
      <c r="Y10" s="3741"/>
      <c r="Z10" s="3477" t="str">
        <f t="shared" si="7"/>
        <v>土地使用年限（年）</v>
      </c>
      <c r="AA10" s="704">
        <f t="shared" si="3"/>
        <v>0.96153846153846156</v>
      </c>
      <c r="AB10" s="704">
        <f t="shared" si="4"/>
        <v>0.96153846153846156</v>
      </c>
      <c r="AC10" s="1959">
        <f t="shared" si="5"/>
        <v>0.98039215686274506</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782"/>
      <c r="Q11" s="3478" t="str">
        <f t="shared" si="6"/>
        <v>容积率</v>
      </c>
      <c r="R11" s="701" t="s">
        <v>14</v>
      </c>
      <c r="S11" s="702">
        <f t="shared" si="0"/>
        <v>100</v>
      </c>
      <c r="T11" s="701" t="s">
        <v>14</v>
      </c>
      <c r="U11" s="702">
        <f t="shared" si="1"/>
        <v>100</v>
      </c>
      <c r="V11" s="701" t="s">
        <v>14</v>
      </c>
      <c r="W11" s="702">
        <f t="shared" si="2"/>
        <v>100</v>
      </c>
      <c r="X11" s="703"/>
      <c r="Y11" s="3741"/>
      <c r="Z11" s="3477" t="str">
        <f t="shared" si="7"/>
        <v>容积率</v>
      </c>
      <c r="AA11" s="704">
        <f t="shared" si="3"/>
        <v>1</v>
      </c>
      <c r="AB11" s="704">
        <f t="shared" si="4"/>
        <v>1</v>
      </c>
      <c r="AC11" s="1959">
        <f t="shared" si="5"/>
        <v>1</v>
      </c>
    </row>
    <row r="12" spans="1:29" s="108" customFormat="1" ht="15" hidden="1">
      <c r="A12" s="382"/>
      <c r="B12" s="1893"/>
      <c r="C12" s="383"/>
      <c r="D12" s="384">
        <v>100</v>
      </c>
      <c r="E12" s="383"/>
      <c r="F12" s="127">
        <f>SUMIF(71:71,E12,72:72)-SUMIF(71:71,C12,72:72)+100</f>
        <v>100</v>
      </c>
      <c r="G12" s="1960"/>
      <c r="H12" s="127">
        <f>SUMIF(71:71,G12,72:72)-SUMIF(71:71,C12,72:72)+100</f>
        <v>100</v>
      </c>
      <c r="I12" s="383"/>
      <c r="J12" s="127">
        <f>SUMIF(71:71,I12,72:72)-SUMIF(71:71,C12,72:72)+100</f>
        <v>100</v>
      </c>
      <c r="K12" s="562"/>
      <c r="L12" s="2693"/>
      <c r="M12" s="2694"/>
      <c r="N12" s="2694"/>
      <c r="O12" s="2694"/>
      <c r="P12" s="3782"/>
      <c r="Q12" s="3478">
        <f t="shared" si="6"/>
        <v>0</v>
      </c>
      <c r="R12" s="701" t="s">
        <v>14</v>
      </c>
      <c r="S12" s="702">
        <f t="shared" si="0"/>
        <v>100</v>
      </c>
      <c r="T12" s="701" t="s">
        <v>14</v>
      </c>
      <c r="U12" s="702">
        <f t="shared" si="1"/>
        <v>100</v>
      </c>
      <c r="V12" s="701" t="s">
        <v>14</v>
      </c>
      <c r="W12" s="702">
        <f t="shared" si="2"/>
        <v>100</v>
      </c>
      <c r="X12" s="703"/>
      <c r="Y12" s="3741"/>
      <c r="Z12" s="3477">
        <f t="shared" si="7"/>
        <v>0</v>
      </c>
      <c r="AA12" s="704">
        <f>D12/F12</f>
        <v>1</v>
      </c>
      <c r="AB12" s="704">
        <f>D12/H12</f>
        <v>1</v>
      </c>
      <c r="AC12" s="1959">
        <f>D12/J12</f>
        <v>1</v>
      </c>
    </row>
    <row r="13" spans="1:29" ht="15" hidden="1">
      <c r="A13" s="379"/>
      <c r="B13" s="1893"/>
      <c r="C13" s="385"/>
      <c r="D13" s="386">
        <v>100</v>
      </c>
      <c r="E13" s="383"/>
      <c r="F13" s="127">
        <f>SUMIF(73:73,E13,74:74)-SUMIF(73:73,C13,74:74)+100</f>
        <v>100</v>
      </c>
      <c r="G13" s="1960"/>
      <c r="H13" s="386">
        <f>SUMIF(73:73,G13,74:74)-SUMIF(73:73,C13,74:74)+100</f>
        <v>100</v>
      </c>
      <c r="I13" s="383"/>
      <c r="J13" s="386">
        <f>SUMIF(73:73,I13,74:74)-SUMIF(73:73,C13,74:74)+100</f>
        <v>100</v>
      </c>
      <c r="K13" s="562"/>
      <c r="L13" s="2698"/>
      <c r="M13" s="2692"/>
      <c r="N13" s="2692"/>
      <c r="O13" s="2692"/>
      <c r="P13" s="3782"/>
      <c r="Q13" s="3478">
        <f t="shared" si="6"/>
        <v>0</v>
      </c>
      <c r="R13" s="701" t="s">
        <v>14</v>
      </c>
      <c r="S13" s="702">
        <f t="shared" si="0"/>
        <v>100</v>
      </c>
      <c r="T13" s="701" t="s">
        <v>14</v>
      </c>
      <c r="U13" s="702">
        <f t="shared" si="1"/>
        <v>100</v>
      </c>
      <c r="V13" s="701" t="s">
        <v>14</v>
      </c>
      <c r="W13" s="702">
        <f t="shared" si="2"/>
        <v>100</v>
      </c>
      <c r="X13" s="703"/>
      <c r="Y13" s="3741"/>
      <c r="Z13" s="3477">
        <f t="shared" si="7"/>
        <v>0</v>
      </c>
      <c r="AA13" s="704">
        <f t="shared" si="3"/>
        <v>1</v>
      </c>
      <c r="AB13" s="704">
        <f t="shared" si="4"/>
        <v>1</v>
      </c>
      <c r="AC13" s="1959">
        <f t="shared" si="5"/>
        <v>1</v>
      </c>
    </row>
    <row r="14" spans="1:29" ht="15.75" thickBot="1">
      <c r="A14" s="387"/>
      <c r="B14" s="1895" t="s">
        <v>672</v>
      </c>
      <c r="C14" s="388" t="s">
        <v>3554</v>
      </c>
      <c r="D14" s="389">
        <v>100</v>
      </c>
      <c r="E14" s="388" t="s">
        <v>3554</v>
      </c>
      <c r="F14" s="389">
        <f>SUMIF(75:75,E14,76:76)-SUMIF(75:75,C14,76:76)+100</f>
        <v>100</v>
      </c>
      <c r="G14" s="1960" t="s">
        <v>3554</v>
      </c>
      <c r="H14" s="389">
        <f>SUMIF(75:75,G14,76:76)-SUMIF(75:75,C14,76:76)+100</f>
        <v>100</v>
      </c>
      <c r="I14" s="383" t="s">
        <v>3554</v>
      </c>
      <c r="J14" s="389">
        <f>SUMIF(75:75,I14,76:76)-SUMIF(75:75,C14,76:76)+100</f>
        <v>100</v>
      </c>
      <c r="K14" s="562"/>
      <c r="L14" s="2698"/>
      <c r="M14" s="2692"/>
      <c r="N14" s="2692"/>
      <c r="O14" s="2692"/>
      <c r="P14" s="3782"/>
      <c r="Q14" s="3478" t="str">
        <f t="shared" si="6"/>
        <v>用途</v>
      </c>
      <c r="R14" s="701" t="s">
        <v>14</v>
      </c>
      <c r="S14" s="702">
        <f t="shared" si="0"/>
        <v>100</v>
      </c>
      <c r="T14" s="701" t="s">
        <v>14</v>
      </c>
      <c r="U14" s="702">
        <f t="shared" si="1"/>
        <v>100</v>
      </c>
      <c r="V14" s="701" t="s">
        <v>14</v>
      </c>
      <c r="W14" s="702">
        <f t="shared" si="2"/>
        <v>100</v>
      </c>
      <c r="X14" s="703"/>
      <c r="Y14" s="3741"/>
      <c r="Z14" s="3477" t="str">
        <f t="shared" si="7"/>
        <v>用途</v>
      </c>
      <c r="AA14" s="704">
        <f t="shared" si="3"/>
        <v>1</v>
      </c>
      <c r="AB14" s="704">
        <f t="shared" si="4"/>
        <v>1</v>
      </c>
      <c r="AC14" s="1959">
        <f t="shared" si="5"/>
        <v>1</v>
      </c>
    </row>
    <row r="15" spans="1:29" ht="15">
      <c r="A15" s="391" t="s">
        <v>1672</v>
      </c>
      <c r="B15" s="577" t="s">
        <v>1793</v>
      </c>
      <c r="C15" s="1961" t="str">
        <f>估价对象房地状况!C5</f>
        <v>较好</v>
      </c>
      <c r="D15" s="392">
        <v>100</v>
      </c>
      <c r="E15" s="395" t="s">
        <v>3396</v>
      </c>
      <c r="F15" s="392">
        <f>SUMIF(77:77,E16,78:78)-SUMIF(77:77,C16,78:78)+100</f>
        <v>100</v>
      </c>
      <c r="G15" s="393" t="s">
        <v>3555</v>
      </c>
      <c r="H15" s="392">
        <f>SUMIF(77:77,G16,78:78)-SUMIF(77:77,C16,78:78)+100</f>
        <v>95</v>
      </c>
      <c r="I15" s="395" t="s">
        <v>3396</v>
      </c>
      <c r="J15" s="392">
        <f>SUMIF(77:77,I16,78:78)-SUMIF(77:77,C16,78:78)+100</f>
        <v>100</v>
      </c>
      <c r="K15" s="563">
        <v>5</v>
      </c>
      <c r="L15" s="2698"/>
      <c r="M15" s="2692"/>
      <c r="N15" s="2692"/>
      <c r="O15" s="2692"/>
      <c r="P15" s="3802" t="s">
        <v>1673</v>
      </c>
      <c r="Q15" s="3482" t="str">
        <f t="shared" si="6"/>
        <v>办公集聚程度</v>
      </c>
      <c r="R15" s="705" t="s">
        <v>14</v>
      </c>
      <c r="S15" s="706">
        <f t="shared" si="0"/>
        <v>100</v>
      </c>
      <c r="T15" s="705" t="s">
        <v>14</v>
      </c>
      <c r="U15" s="706">
        <f t="shared" si="1"/>
        <v>95</v>
      </c>
      <c r="V15" s="705" t="s">
        <v>14</v>
      </c>
      <c r="W15" s="706">
        <f t="shared" si="2"/>
        <v>100</v>
      </c>
      <c r="X15" s="3480"/>
      <c r="Y15" s="3804" t="s">
        <v>1673</v>
      </c>
      <c r="Z15" s="3481" t="str">
        <f t="shared" si="7"/>
        <v>办公集聚程度</v>
      </c>
      <c r="AA15" s="3483">
        <f t="shared" si="3"/>
        <v>1</v>
      </c>
      <c r="AB15" s="3483">
        <f t="shared" si="4"/>
        <v>1.0526315789473684</v>
      </c>
      <c r="AC15" s="1962">
        <f t="shared" si="5"/>
        <v>1</v>
      </c>
    </row>
    <row r="16" spans="1:29" ht="15.75" thickBot="1">
      <c r="A16" s="379"/>
      <c r="B16" s="578"/>
      <c r="C16" s="398" t="s">
        <v>3396</v>
      </c>
      <c r="D16" s="399"/>
      <c r="E16" s="398" t="s">
        <v>3396</v>
      </c>
      <c r="F16" s="399"/>
      <c r="G16" s="398" t="s">
        <v>3555</v>
      </c>
      <c r="H16" s="401"/>
      <c r="I16" s="398" t="s">
        <v>3396</v>
      </c>
      <c r="J16" s="399"/>
      <c r="K16" s="564"/>
      <c r="L16" s="2698"/>
      <c r="M16" s="2692"/>
      <c r="N16" s="2692"/>
      <c r="O16" s="2692"/>
      <c r="P16" s="3803"/>
      <c r="Q16" s="3482"/>
      <c r="R16" s="705"/>
      <c r="S16" s="706"/>
      <c r="T16" s="705"/>
      <c r="U16" s="706"/>
      <c r="V16" s="705"/>
      <c r="W16" s="706"/>
      <c r="X16" s="3480"/>
      <c r="Y16" s="3805"/>
      <c r="Z16" s="3481"/>
      <c r="AA16" s="3483">
        <v>1</v>
      </c>
      <c r="AB16" s="3483">
        <v>1</v>
      </c>
      <c r="AC16" s="1962">
        <v>1</v>
      </c>
    </row>
    <row r="17" spans="1:29" ht="15">
      <c r="A17" s="379"/>
      <c r="B17" s="579" t="s">
        <v>1258</v>
      </c>
      <c r="C17" s="1963" t="str">
        <f>估价对象房地状况!C6</f>
        <v>较好</v>
      </c>
      <c r="D17" s="401">
        <v>100</v>
      </c>
      <c r="E17" s="393" t="s">
        <v>3555</v>
      </c>
      <c r="F17" s="401">
        <f>SUMIF(79:79,E18,80:80)-SUMIF(79:79,C18,80:80)+100</f>
        <v>97</v>
      </c>
      <c r="G17" s="395" t="s">
        <v>3396</v>
      </c>
      <c r="H17" s="406">
        <f>SUMIF(79:79,G18,80:80)-SUMIF(79:79,C18,80:80)+100</f>
        <v>100</v>
      </c>
      <c r="I17" s="395" t="s">
        <v>3396</v>
      </c>
      <c r="J17" s="406">
        <f>SUMIF(79:79,I18,80:80)-SUMIF(79:79,C18,80:80)+100</f>
        <v>100</v>
      </c>
      <c r="K17" s="563">
        <v>3</v>
      </c>
      <c r="L17" s="2698"/>
      <c r="M17" s="2692"/>
      <c r="N17" s="2692"/>
      <c r="O17" s="2692"/>
      <c r="P17" s="3803"/>
      <c r="Q17" s="3482" t="str">
        <f>B17</f>
        <v>交通便捷度</v>
      </c>
      <c r="R17" s="705" t="s">
        <v>14</v>
      </c>
      <c r="S17" s="706">
        <f>F17</f>
        <v>97</v>
      </c>
      <c r="T17" s="705" t="s">
        <v>14</v>
      </c>
      <c r="U17" s="706">
        <f>H17</f>
        <v>100</v>
      </c>
      <c r="V17" s="705" t="s">
        <v>14</v>
      </c>
      <c r="W17" s="706">
        <f>J17</f>
        <v>100</v>
      </c>
      <c r="X17" s="3480"/>
      <c r="Y17" s="3805"/>
      <c r="Z17" s="3481" t="str">
        <f>Q17</f>
        <v>交通便捷度</v>
      </c>
      <c r="AA17" s="3483">
        <f t="shared" si="3"/>
        <v>1.0309278350515463</v>
      </c>
      <c r="AB17" s="3483">
        <f t="shared" si="4"/>
        <v>1</v>
      </c>
      <c r="AC17" s="1962">
        <f t="shared" si="5"/>
        <v>1</v>
      </c>
    </row>
    <row r="18" spans="1:29" ht="15.75" thickBot="1">
      <c r="A18" s="379"/>
      <c r="B18" s="580"/>
      <c r="C18" s="398" t="s">
        <v>3396</v>
      </c>
      <c r="D18" s="401"/>
      <c r="E18" s="398" t="s">
        <v>3555</v>
      </c>
      <c r="F18" s="401"/>
      <c r="G18" s="398" t="s">
        <v>3396</v>
      </c>
      <c r="H18" s="399"/>
      <c r="I18" s="398" t="s">
        <v>3396</v>
      </c>
      <c r="J18" s="399"/>
      <c r="K18" s="564"/>
      <c r="L18" s="2698"/>
      <c r="M18" s="2692"/>
      <c r="N18" s="2692"/>
      <c r="O18" s="2692"/>
      <c r="P18" s="3803"/>
      <c r="Q18" s="3482"/>
      <c r="R18" s="705"/>
      <c r="S18" s="706"/>
      <c r="T18" s="705"/>
      <c r="U18" s="706"/>
      <c r="V18" s="705"/>
      <c r="W18" s="706"/>
      <c r="X18" s="3480"/>
      <c r="Y18" s="3805"/>
      <c r="Z18" s="3481"/>
      <c r="AA18" s="3483">
        <v>1</v>
      </c>
      <c r="AB18" s="3483">
        <v>1</v>
      </c>
      <c r="AC18" s="1962">
        <v>1</v>
      </c>
    </row>
    <row r="19" spans="1:29" ht="15">
      <c r="A19" s="379"/>
      <c r="B19" s="579" t="s">
        <v>1794</v>
      </c>
      <c r="C19" s="1963" t="str">
        <f>估价对象房地状况!C7</f>
        <v>较好</v>
      </c>
      <c r="D19" s="406">
        <v>100</v>
      </c>
      <c r="E19" s="393" t="s">
        <v>3555</v>
      </c>
      <c r="F19" s="406">
        <f>SUMIF(81:81,E20,82:82)-SUMIF(81:81,C20,82:82)+100</f>
        <v>97</v>
      </c>
      <c r="G19" s="393" t="s">
        <v>3555</v>
      </c>
      <c r="H19" s="401">
        <f>SUMIF(81:81,G20,82:82)-SUMIF(81:81,C20,82:82)+100</f>
        <v>97</v>
      </c>
      <c r="I19" s="393" t="s">
        <v>3555</v>
      </c>
      <c r="J19" s="401">
        <f>SUMIF(81:81,I20,82:82)-SUMIF(81:81,C20,82:82)+100</f>
        <v>97</v>
      </c>
      <c r="K19" s="563">
        <v>3</v>
      </c>
      <c r="L19" s="2698"/>
      <c r="M19" s="2692"/>
      <c r="N19" s="2692"/>
      <c r="O19" s="2692"/>
      <c r="P19" s="3803"/>
      <c r="Q19" s="3482" t="str">
        <f>B19</f>
        <v>公共配套设施</v>
      </c>
      <c r="R19" s="705" t="s">
        <v>14</v>
      </c>
      <c r="S19" s="706">
        <f>F19</f>
        <v>97</v>
      </c>
      <c r="T19" s="705" t="s">
        <v>14</v>
      </c>
      <c r="U19" s="706">
        <f>H19</f>
        <v>97</v>
      </c>
      <c r="V19" s="705" t="s">
        <v>14</v>
      </c>
      <c r="W19" s="706">
        <f>J19</f>
        <v>97</v>
      </c>
      <c r="X19" s="3480"/>
      <c r="Y19" s="3805"/>
      <c r="Z19" s="3481" t="str">
        <f>Q19</f>
        <v>公共配套设施</v>
      </c>
      <c r="AA19" s="3483">
        <f t="shared" si="3"/>
        <v>1.0309278350515463</v>
      </c>
      <c r="AB19" s="3483">
        <f t="shared" si="4"/>
        <v>1.0309278350515463</v>
      </c>
      <c r="AC19" s="1962">
        <f t="shared" si="5"/>
        <v>1.0309278350515463</v>
      </c>
    </row>
    <row r="20" spans="1:29" ht="15">
      <c r="A20" s="379"/>
      <c r="B20" s="580"/>
      <c r="C20" s="398" t="s">
        <v>3396</v>
      </c>
      <c r="D20" s="399"/>
      <c r="E20" s="398" t="s">
        <v>3555</v>
      </c>
      <c r="F20" s="399"/>
      <c r="G20" s="398" t="s">
        <v>3555</v>
      </c>
      <c r="H20" s="399"/>
      <c r="I20" s="398" t="s">
        <v>3555</v>
      </c>
      <c r="J20" s="399"/>
      <c r="K20" s="564"/>
      <c r="L20" s="2698"/>
      <c r="M20" s="2692"/>
      <c r="N20" s="2692"/>
      <c r="O20" s="2692"/>
      <c r="P20" s="3803"/>
      <c r="Q20" s="3482"/>
      <c r="R20" s="705"/>
      <c r="S20" s="706"/>
      <c r="T20" s="705"/>
      <c r="U20" s="706"/>
      <c r="V20" s="705"/>
      <c r="W20" s="706"/>
      <c r="X20" s="3480"/>
      <c r="Y20" s="3805"/>
      <c r="Z20" s="3481"/>
      <c r="AA20" s="3483">
        <v>1</v>
      </c>
      <c r="AB20" s="3483">
        <v>1</v>
      </c>
      <c r="AC20" s="1962">
        <v>1</v>
      </c>
    </row>
    <row r="21" spans="1:29" ht="15">
      <c r="A21" s="379"/>
      <c r="B21" s="581" t="s">
        <v>1795</v>
      </c>
      <c r="C21" s="1963" t="str">
        <f>估价对象房地状况!C8</f>
        <v>七通</v>
      </c>
      <c r="D21" s="401">
        <v>100</v>
      </c>
      <c r="E21" s="410" t="s">
        <v>3400</v>
      </c>
      <c r="F21" s="406">
        <f>SUMIF(83:83,E22,84:84)-SUMIF(83:83,C22,84:84)+100</f>
        <v>100</v>
      </c>
      <c r="G21" s="410" t="s">
        <v>3400</v>
      </c>
      <c r="H21" s="401">
        <f>SUMIF(83:83,G22,84:84)-SUMIF(83:83,C22,84:84)+100</f>
        <v>100</v>
      </c>
      <c r="I21" s="410" t="s">
        <v>3400</v>
      </c>
      <c r="J21" s="401">
        <f>SUMIF(83:83,I22,84:84)-SUMIF(83:83,C22,84:84)+100</f>
        <v>100</v>
      </c>
      <c r="K21" s="563">
        <v>1</v>
      </c>
      <c r="L21" s="2698"/>
      <c r="M21" s="2692"/>
      <c r="N21" s="2692"/>
      <c r="O21" s="2692"/>
      <c r="P21" s="3803"/>
      <c r="Q21" s="3482" t="str">
        <f>B21</f>
        <v>基础设施水平</v>
      </c>
      <c r="R21" s="705" t="s">
        <v>14</v>
      </c>
      <c r="S21" s="706">
        <f>F21</f>
        <v>100</v>
      </c>
      <c r="T21" s="705" t="s">
        <v>14</v>
      </c>
      <c r="U21" s="706">
        <f>H21</f>
        <v>100</v>
      </c>
      <c r="V21" s="705" t="s">
        <v>14</v>
      </c>
      <c r="W21" s="706">
        <f>J21</f>
        <v>100</v>
      </c>
      <c r="X21" s="3480"/>
      <c r="Y21" s="3805"/>
      <c r="Z21" s="3481" t="str">
        <f>Q21</f>
        <v>基础设施水平</v>
      </c>
      <c r="AA21" s="3483">
        <f t="shared" ref="AA21" si="8">D21/F21</f>
        <v>1</v>
      </c>
      <c r="AB21" s="3483">
        <f t="shared" ref="AB21" si="9">D21/H21</f>
        <v>1</v>
      </c>
      <c r="AC21" s="1962">
        <f t="shared" ref="AC21" si="10">D21/J21</f>
        <v>1</v>
      </c>
    </row>
    <row r="22" spans="1:29" ht="15.75" thickBot="1">
      <c r="A22" s="379"/>
      <c r="B22" s="581"/>
      <c r="C22" s="1964" t="s">
        <v>3400</v>
      </c>
      <c r="D22" s="399"/>
      <c r="E22" s="398" t="s">
        <v>3400</v>
      </c>
      <c r="F22" s="399"/>
      <c r="G22" s="1904" t="s">
        <v>3400</v>
      </c>
      <c r="H22" s="399"/>
      <c r="I22" s="1904" t="s">
        <v>3400</v>
      </c>
      <c r="J22" s="399"/>
      <c r="K22" s="1130"/>
      <c r="L22" s="2698"/>
      <c r="M22" s="2692"/>
      <c r="N22" s="2692"/>
      <c r="O22" s="2692"/>
      <c r="P22" s="3803"/>
      <c r="Q22" s="3482"/>
      <c r="R22" s="705"/>
      <c r="S22" s="706"/>
      <c r="T22" s="705"/>
      <c r="U22" s="706"/>
      <c r="V22" s="705"/>
      <c r="W22" s="706"/>
      <c r="X22" s="3480"/>
      <c r="Y22" s="3805"/>
      <c r="Z22" s="3481"/>
      <c r="AA22" s="3483">
        <v>1</v>
      </c>
      <c r="AB22" s="3483">
        <v>1</v>
      </c>
      <c r="AC22" s="1962">
        <v>1</v>
      </c>
    </row>
    <row r="23" spans="1:29" ht="15">
      <c r="A23" s="379"/>
      <c r="B23" s="579" t="s">
        <v>1796</v>
      </c>
      <c r="C23" s="1963" t="str">
        <f>估价对象房地状况!C9</f>
        <v>较好</v>
      </c>
      <c r="D23" s="401">
        <v>100</v>
      </c>
      <c r="E23" s="393" t="s">
        <v>3396</v>
      </c>
      <c r="F23" s="401">
        <f>SUMIF(85:85,E24,86:86)-SUMIF(85:85,C24,86:86)+100</f>
        <v>97</v>
      </c>
      <c r="G23" s="393" t="s">
        <v>3555</v>
      </c>
      <c r="H23" s="401">
        <f>SUMIF(85:85,G24,86:86)-SUMIF(85:85,C24,86:86)+100</f>
        <v>97</v>
      </c>
      <c r="I23" s="393" t="s">
        <v>3555</v>
      </c>
      <c r="J23" s="401">
        <f>SUMIF(85:85,I24,86:86)-SUMIF(85:85,C24,86:86)+100</f>
        <v>97</v>
      </c>
      <c r="K23" s="563">
        <v>3</v>
      </c>
      <c r="L23" s="2698"/>
      <c r="M23" s="2692"/>
      <c r="N23" s="2692"/>
      <c r="O23" s="2692"/>
      <c r="P23" s="3803"/>
      <c r="Q23" s="3482" t="str">
        <f>B23</f>
        <v>环境质量</v>
      </c>
      <c r="R23" s="705" t="s">
        <v>14</v>
      </c>
      <c r="S23" s="706">
        <f>F23</f>
        <v>97</v>
      </c>
      <c r="T23" s="705" t="s">
        <v>14</v>
      </c>
      <c r="U23" s="706">
        <f>H23</f>
        <v>97</v>
      </c>
      <c r="V23" s="705" t="s">
        <v>14</v>
      </c>
      <c r="W23" s="706">
        <f>J23</f>
        <v>97</v>
      </c>
      <c r="X23" s="3480"/>
      <c r="Y23" s="3805"/>
      <c r="Z23" s="3481" t="str">
        <f>Q23</f>
        <v>环境质量</v>
      </c>
      <c r="AA23" s="3483">
        <f t="shared" si="3"/>
        <v>1.0309278350515463</v>
      </c>
      <c r="AB23" s="3483">
        <f t="shared" si="4"/>
        <v>1.0309278350515463</v>
      </c>
      <c r="AC23" s="1962">
        <f t="shared" si="5"/>
        <v>1.0309278350515463</v>
      </c>
    </row>
    <row r="24" spans="1:29" ht="15.75" thickBot="1">
      <c r="A24" s="379"/>
      <c r="B24" s="581"/>
      <c r="C24" s="1904" t="s">
        <v>3396</v>
      </c>
      <c r="D24" s="399"/>
      <c r="E24" s="398" t="s">
        <v>3555</v>
      </c>
      <c r="F24" s="399"/>
      <c r="G24" s="398" t="s">
        <v>3555</v>
      </c>
      <c r="H24" s="399"/>
      <c r="I24" s="398" t="s">
        <v>3555</v>
      </c>
      <c r="J24" s="399"/>
      <c r="K24" s="564"/>
      <c r="L24" s="2698"/>
      <c r="M24" s="2692"/>
      <c r="N24" s="2692"/>
      <c r="O24" s="2692"/>
      <c r="P24" s="3803"/>
      <c r="Q24" s="3482"/>
      <c r="R24" s="705"/>
      <c r="S24" s="706"/>
      <c r="T24" s="705"/>
      <c r="U24" s="706"/>
      <c r="V24" s="705"/>
      <c r="W24" s="706"/>
      <c r="X24" s="3480"/>
      <c r="Y24" s="3805"/>
      <c r="Z24" s="3481"/>
      <c r="AA24" s="3483">
        <v>1</v>
      </c>
      <c r="AB24" s="3483">
        <v>1</v>
      </c>
      <c r="AC24" s="1962">
        <v>1</v>
      </c>
    </row>
    <row r="25" spans="1:29" ht="27" hidden="1">
      <c r="A25" s="358"/>
      <c r="B25" s="579" t="s">
        <v>1797</v>
      </c>
      <c r="C25" s="1908"/>
      <c r="D25" s="386">
        <v>100</v>
      </c>
      <c r="E25" s="385"/>
      <c r="F25" s="386">
        <f>SUMIF(87:87,E26,88:88)-SUMIF(87:87,C26,88:88)+100</f>
        <v>100</v>
      </c>
      <c r="G25" s="1908"/>
      <c r="H25" s="386">
        <f>SUMIF(87:87,G26,88:88)-SUMIF(87:87,C26,88:88)+100</f>
        <v>100</v>
      </c>
      <c r="I25" s="385"/>
      <c r="J25" s="386">
        <f>SUMIF(87:87,I26,88:88)-SUMIF(87:87,C26,88:88)+100</f>
        <v>100</v>
      </c>
      <c r="K25" s="563"/>
      <c r="L25" s="2698"/>
      <c r="M25" s="2692"/>
      <c r="N25" s="2692"/>
      <c r="O25" s="2692"/>
      <c r="P25" s="3803"/>
      <c r="Q25" s="3482" t="str">
        <f>B25</f>
        <v>毗邻道路的类型与等级</v>
      </c>
      <c r="R25" s="705" t="s">
        <v>14</v>
      </c>
      <c r="S25" s="706">
        <f>F25</f>
        <v>100</v>
      </c>
      <c r="T25" s="705" t="s">
        <v>14</v>
      </c>
      <c r="U25" s="706">
        <f>H25</f>
        <v>100</v>
      </c>
      <c r="V25" s="705" t="s">
        <v>14</v>
      </c>
      <c r="W25" s="706">
        <f>J25</f>
        <v>100</v>
      </c>
      <c r="X25" s="3480"/>
      <c r="Y25" s="3805"/>
      <c r="Z25" s="3481" t="str">
        <f>Q25</f>
        <v>毗邻道路的类型与等级</v>
      </c>
      <c r="AA25" s="3483">
        <f t="shared" si="3"/>
        <v>1</v>
      </c>
      <c r="AB25" s="3483">
        <f t="shared" si="4"/>
        <v>1</v>
      </c>
      <c r="AC25" s="1962">
        <f t="shared" si="5"/>
        <v>1</v>
      </c>
    </row>
    <row r="26" spans="1:29" ht="15" hidden="1">
      <c r="A26" s="358"/>
      <c r="B26" s="580"/>
      <c r="C26" s="582"/>
      <c r="D26" s="386"/>
      <c r="E26" s="565"/>
      <c r="F26" s="386"/>
      <c r="G26" s="582"/>
      <c r="H26" s="386"/>
      <c r="I26" s="565"/>
      <c r="J26" s="386"/>
      <c r="K26" s="564"/>
      <c r="L26" s="2698"/>
      <c r="M26" s="2692"/>
      <c r="N26" s="2692"/>
      <c r="O26" s="2692"/>
      <c r="P26" s="3803"/>
      <c r="Q26" s="3482"/>
      <c r="R26" s="705"/>
      <c r="S26" s="706"/>
      <c r="T26" s="705"/>
      <c r="U26" s="706"/>
      <c r="V26" s="705"/>
      <c r="W26" s="706"/>
      <c r="X26" s="3480"/>
      <c r="Y26" s="3805"/>
      <c r="Z26" s="3481"/>
      <c r="AA26" s="3483">
        <v>1</v>
      </c>
      <c r="AB26" s="3483">
        <v>1</v>
      </c>
      <c r="AC26" s="1962">
        <v>1</v>
      </c>
    </row>
    <row r="27" spans="1:29" ht="15" hidden="1">
      <c r="A27" s="379"/>
      <c r="B27" s="580" t="s">
        <v>1765</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803"/>
      <c r="Q27" s="3482" t="str">
        <f t="shared" ref="Q27:Q47" si="11">B27</f>
        <v>楼层</v>
      </c>
      <c r="R27" s="705" t="s">
        <v>14</v>
      </c>
      <c r="S27" s="706">
        <f>F27</f>
        <v>100</v>
      </c>
      <c r="T27" s="705" t="s">
        <v>14</v>
      </c>
      <c r="U27" s="706">
        <f>H27</f>
        <v>100</v>
      </c>
      <c r="V27" s="705" t="s">
        <v>14</v>
      </c>
      <c r="W27" s="706">
        <f>J27</f>
        <v>100</v>
      </c>
      <c r="X27" s="3480"/>
      <c r="Y27" s="3805"/>
      <c r="Z27" s="3481" t="str">
        <f>Q27</f>
        <v>楼层</v>
      </c>
      <c r="AA27" s="3483">
        <f t="shared" si="3"/>
        <v>1</v>
      </c>
      <c r="AB27" s="3483">
        <f t="shared" si="4"/>
        <v>1</v>
      </c>
      <c r="AC27" s="1962">
        <f t="shared" si="5"/>
        <v>1</v>
      </c>
    </row>
    <row r="28" spans="1:29" s="108" customFormat="1" ht="15.75" hidden="1" thickBot="1">
      <c r="A28" s="382"/>
      <c r="B28" s="579" t="s">
        <v>1798</v>
      </c>
      <c r="C28" s="1965"/>
      <c r="D28" s="413">
        <v>100</v>
      </c>
      <c r="E28" s="1956"/>
      <c r="F28" s="413">
        <f>SUMIF(91:91,E28,92:92)-SUMIF(91:91,C28,92:92)+100</f>
        <v>100</v>
      </c>
      <c r="G28" s="1965"/>
      <c r="H28" s="413">
        <f>SUMIF(91:91,G28,92:92)-SUMIF(91:91,C28,92:92)+100</f>
        <v>100</v>
      </c>
      <c r="I28" s="1956"/>
      <c r="J28" s="413">
        <f>SUMIF(91:91,I28,92:92)-SUMIF(91:91,C28,92:92)+100</f>
        <v>100</v>
      </c>
      <c r="K28" s="561"/>
      <c r="L28" s="2693"/>
      <c r="M28" s="2694"/>
      <c r="N28" s="2694"/>
      <c r="O28" s="2694"/>
      <c r="P28" s="3803"/>
      <c r="Q28" s="3478" t="str">
        <f t="shared" si="11"/>
        <v>朝向</v>
      </c>
      <c r="R28" s="701" t="s">
        <v>14</v>
      </c>
      <c r="S28" s="702">
        <f>F28</f>
        <v>100</v>
      </c>
      <c r="T28" s="701" t="s">
        <v>14</v>
      </c>
      <c r="U28" s="702">
        <f>H28</f>
        <v>100</v>
      </c>
      <c r="V28" s="701" t="s">
        <v>14</v>
      </c>
      <c r="W28" s="702">
        <f>J28</f>
        <v>100</v>
      </c>
      <c r="X28" s="703"/>
      <c r="Y28" s="3805"/>
      <c r="Z28" s="3477" t="str">
        <f>Q28</f>
        <v>朝向</v>
      </c>
      <c r="AA28" s="3483">
        <f>D28/F28</f>
        <v>1</v>
      </c>
      <c r="AB28" s="3483">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8"/>
      <c r="M29" s="2692"/>
      <c r="N29" s="2692"/>
      <c r="O29" s="2692"/>
      <c r="P29" s="3803"/>
      <c r="Q29" s="3482">
        <f t="shared" si="11"/>
        <v>111</v>
      </c>
      <c r="R29" s="705" t="s">
        <v>14</v>
      </c>
      <c r="S29" s="706">
        <f t="shared" ref="S29:S47" si="12">F29</f>
        <v>100</v>
      </c>
      <c r="T29" s="705" t="s">
        <v>14</v>
      </c>
      <c r="U29" s="706">
        <f t="shared" ref="U29:U47" si="13">H29</f>
        <v>100</v>
      </c>
      <c r="V29" s="705" t="s">
        <v>14</v>
      </c>
      <c r="W29" s="706">
        <f t="shared" ref="W29:W47" si="14">J29</f>
        <v>100</v>
      </c>
      <c r="X29" s="3480"/>
      <c r="Y29" s="3805"/>
      <c r="Z29" s="3481">
        <f t="shared" ref="Z29:Z47" si="15">Q29</f>
        <v>111</v>
      </c>
      <c r="AA29" s="3483">
        <f t="shared" si="3"/>
        <v>1</v>
      </c>
      <c r="AB29" s="3483">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8"/>
      <c r="M30" s="2692"/>
      <c r="N30" s="2692"/>
      <c r="O30" s="2692"/>
      <c r="P30" s="3803"/>
      <c r="Q30" s="3482">
        <f t="shared" si="11"/>
        <v>111</v>
      </c>
      <c r="R30" s="705" t="s">
        <v>14</v>
      </c>
      <c r="S30" s="706">
        <f t="shared" si="12"/>
        <v>100</v>
      </c>
      <c r="T30" s="705" t="s">
        <v>14</v>
      </c>
      <c r="U30" s="706">
        <f t="shared" si="13"/>
        <v>100</v>
      </c>
      <c r="V30" s="705" t="s">
        <v>14</v>
      </c>
      <c r="W30" s="706">
        <f t="shared" si="14"/>
        <v>100</v>
      </c>
      <c r="X30" s="3480"/>
      <c r="Y30" s="3805"/>
      <c r="Z30" s="3481">
        <f t="shared" si="15"/>
        <v>111</v>
      </c>
      <c r="AA30" s="3483">
        <f t="shared" si="3"/>
        <v>1</v>
      </c>
      <c r="AB30" s="3483">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8"/>
      <c r="M31" s="2692"/>
      <c r="N31" s="2692"/>
      <c r="O31" s="2692"/>
      <c r="P31" s="3803"/>
      <c r="Q31" s="3482">
        <f t="shared" si="11"/>
        <v>111</v>
      </c>
      <c r="R31" s="705" t="s">
        <v>14</v>
      </c>
      <c r="S31" s="706">
        <f t="shared" si="12"/>
        <v>100</v>
      </c>
      <c r="T31" s="705" t="s">
        <v>14</v>
      </c>
      <c r="U31" s="706">
        <f t="shared" si="13"/>
        <v>100</v>
      </c>
      <c r="V31" s="705" t="s">
        <v>14</v>
      </c>
      <c r="W31" s="706">
        <f t="shared" si="14"/>
        <v>100</v>
      </c>
      <c r="X31" s="3480"/>
      <c r="Y31" s="3805"/>
      <c r="Z31" s="3481">
        <f t="shared" si="15"/>
        <v>111</v>
      </c>
      <c r="AA31" s="3483">
        <f t="shared" si="3"/>
        <v>1</v>
      </c>
      <c r="AB31" s="348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8"/>
      <c r="M32" s="2692"/>
      <c r="N32" s="2692"/>
      <c r="O32" s="2692"/>
      <c r="P32" s="3803"/>
      <c r="Q32" s="3482">
        <f t="shared" si="11"/>
        <v>111</v>
      </c>
      <c r="R32" s="705" t="s">
        <v>14</v>
      </c>
      <c r="S32" s="706">
        <f t="shared" si="12"/>
        <v>100</v>
      </c>
      <c r="T32" s="705" t="s">
        <v>14</v>
      </c>
      <c r="U32" s="706">
        <f t="shared" si="13"/>
        <v>100</v>
      </c>
      <c r="V32" s="705" t="s">
        <v>14</v>
      </c>
      <c r="W32" s="706">
        <f t="shared" si="14"/>
        <v>100</v>
      </c>
      <c r="X32" s="3480"/>
      <c r="Y32" s="3805"/>
      <c r="Z32" s="3481">
        <f t="shared" si="15"/>
        <v>111</v>
      </c>
      <c r="AA32" s="3483">
        <f t="shared" si="3"/>
        <v>1</v>
      </c>
      <c r="AB32" s="3483">
        <f t="shared" si="4"/>
        <v>1</v>
      </c>
      <c r="AC32" s="1962">
        <f t="shared" si="5"/>
        <v>1</v>
      </c>
    </row>
    <row r="33" spans="1:29" ht="15">
      <c r="A33" s="391" t="s">
        <v>1676</v>
      </c>
      <c r="B33" s="63" t="s">
        <v>1799</v>
      </c>
      <c r="C33" s="1967" t="s">
        <v>3550</v>
      </c>
      <c r="D33" s="418">
        <v>100</v>
      </c>
      <c r="E33" s="1967" t="s">
        <v>3550</v>
      </c>
      <c r="F33" s="412">
        <f>SUMIF(101:101,E33,102:102)-SUMIF(101:101,C33,102:102)+100</f>
        <v>100</v>
      </c>
      <c r="G33" s="1967" t="s">
        <v>3550</v>
      </c>
      <c r="H33" s="386">
        <f>SUMIF(101:101,G33,102:102)-SUMIF(101:101,C33,102:102)+100</f>
        <v>100</v>
      </c>
      <c r="I33" s="1967" t="s">
        <v>3550</v>
      </c>
      <c r="J33" s="418">
        <f>SUMIF(101:101,I33,102:102)-SUMIF(101:101,C33,102:102)+100</f>
        <v>100</v>
      </c>
      <c r="K33" s="561">
        <v>2</v>
      </c>
      <c r="L33" s="2698"/>
      <c r="M33" s="2692"/>
      <c r="N33" s="2692"/>
      <c r="O33" s="2692"/>
      <c r="P33" s="3806" t="s">
        <v>1678</v>
      </c>
      <c r="Q33" s="3482" t="str">
        <f t="shared" si="11"/>
        <v>建筑类型</v>
      </c>
      <c r="R33" s="705" t="s">
        <v>14</v>
      </c>
      <c r="S33" s="706">
        <f t="shared" si="12"/>
        <v>100</v>
      </c>
      <c r="T33" s="705" t="s">
        <v>14</v>
      </c>
      <c r="U33" s="706">
        <f t="shared" si="13"/>
        <v>100</v>
      </c>
      <c r="V33" s="705" t="s">
        <v>14</v>
      </c>
      <c r="W33" s="706">
        <f t="shared" si="14"/>
        <v>100</v>
      </c>
      <c r="X33" s="3480"/>
      <c r="Y33" s="3809" t="s">
        <v>1678</v>
      </c>
      <c r="Z33" s="3481" t="str">
        <f t="shared" si="15"/>
        <v>建筑类型</v>
      </c>
      <c r="AA33" s="3483">
        <f t="shared" si="3"/>
        <v>1</v>
      </c>
      <c r="AB33" s="3483">
        <f t="shared" si="4"/>
        <v>1</v>
      </c>
      <c r="AC33" s="1962">
        <f t="shared" si="5"/>
        <v>1</v>
      </c>
    </row>
    <row r="34" spans="1:29" s="422" customFormat="1" ht="15">
      <c r="A34" s="419"/>
      <c r="B34" s="375" t="s">
        <v>1679</v>
      </c>
      <c r="C34" s="420">
        <f>'数据-汇总表'!E3</f>
        <v>32105.55</v>
      </c>
      <c r="D34" s="127">
        <v>100</v>
      </c>
      <c r="E34" s="381">
        <f>'2022年大宗'!M247</f>
        <v>32299</v>
      </c>
      <c r="F34" s="376">
        <f>LOOKUP(E34,104:104,105:105)-LOOKUP(C34,104:104,105:105)+100</f>
        <v>100</v>
      </c>
      <c r="G34" s="380">
        <f>'2022年大宗'!K177</f>
        <v>12026</v>
      </c>
      <c r="H34" s="127">
        <f>LOOKUP(G34,104:104,105:105)-LOOKUP(C34,104:104,105:105)+100</f>
        <v>100</v>
      </c>
      <c r="I34" s="380">
        <f>'2022年大宗'!L323</f>
        <v>6461</v>
      </c>
      <c r="J34" s="127">
        <f>LOOKUP(I34,104:104,105:105)-LOOKUP(C34,104:104,105:105)+100</f>
        <v>104</v>
      </c>
      <c r="K34" s="562"/>
      <c r="L34" s="2697"/>
      <c r="M34" s="2699"/>
      <c r="N34" s="2699"/>
      <c r="O34" s="2699"/>
      <c r="P34" s="3807"/>
      <c r="Q34" s="707" t="str">
        <f t="shared" si="11"/>
        <v>项目建筑规模</v>
      </c>
      <c r="R34" s="708" t="s">
        <v>14</v>
      </c>
      <c r="S34" s="709">
        <f t="shared" si="12"/>
        <v>100</v>
      </c>
      <c r="T34" s="708" t="s">
        <v>14</v>
      </c>
      <c r="U34" s="709">
        <f t="shared" si="13"/>
        <v>100</v>
      </c>
      <c r="V34" s="708" t="s">
        <v>14</v>
      </c>
      <c r="W34" s="709">
        <f t="shared" si="14"/>
        <v>104</v>
      </c>
      <c r="X34" s="710"/>
      <c r="Y34" s="3809"/>
      <c r="Z34" s="711" t="str">
        <f t="shared" si="15"/>
        <v>项目建筑规模</v>
      </c>
      <c r="AA34" s="3483">
        <f t="shared" si="3"/>
        <v>1</v>
      </c>
      <c r="AB34" s="3483">
        <f t="shared" si="4"/>
        <v>1</v>
      </c>
      <c r="AC34" s="1962">
        <f t="shared" si="5"/>
        <v>0.96153846153846156</v>
      </c>
    </row>
    <row r="35" spans="1:29" ht="15">
      <c r="A35" s="423"/>
      <c r="B35" s="375" t="s">
        <v>1680</v>
      </c>
      <c r="C35" s="411" t="s">
        <v>3387</v>
      </c>
      <c r="D35" s="386">
        <v>100</v>
      </c>
      <c r="E35" s="411" t="s">
        <v>3387</v>
      </c>
      <c r="F35" s="412">
        <f>SUMIF(106:106,E35,107:107)-SUMIF(106:106,C35,107:107)+100</f>
        <v>100</v>
      </c>
      <c r="G35" s="411" t="s">
        <v>3387</v>
      </c>
      <c r="H35" s="386">
        <f>SUMIF(106:106,G35,107:107)-SUMIF(106:106,C35,107:107)+100</f>
        <v>100</v>
      </c>
      <c r="I35" s="411" t="s">
        <v>3387</v>
      </c>
      <c r="J35" s="386">
        <f>SUMIF(106:106,I35,107:107)-SUMIF(106:106,C35,107:107)+100</f>
        <v>100</v>
      </c>
      <c r="K35" s="561">
        <v>2</v>
      </c>
      <c r="L35" s="2698"/>
      <c r="M35" s="2692"/>
      <c r="N35" s="2692"/>
      <c r="O35" s="2692"/>
      <c r="P35" s="3807"/>
      <c r="Q35" s="3482" t="str">
        <f t="shared" si="11"/>
        <v>建筑结构</v>
      </c>
      <c r="R35" s="705" t="s">
        <v>14</v>
      </c>
      <c r="S35" s="706">
        <f t="shared" si="12"/>
        <v>100</v>
      </c>
      <c r="T35" s="705" t="s">
        <v>14</v>
      </c>
      <c r="U35" s="706">
        <f t="shared" si="13"/>
        <v>100</v>
      </c>
      <c r="V35" s="705" t="s">
        <v>14</v>
      </c>
      <c r="W35" s="706">
        <f t="shared" si="14"/>
        <v>100</v>
      </c>
      <c r="X35" s="3480"/>
      <c r="Y35" s="3809"/>
      <c r="Z35" s="3481" t="str">
        <f t="shared" si="15"/>
        <v>建筑结构</v>
      </c>
      <c r="AA35" s="3483">
        <f t="shared" si="3"/>
        <v>1</v>
      </c>
      <c r="AB35" s="3483">
        <f t="shared" si="4"/>
        <v>1</v>
      </c>
      <c r="AC35" s="1962">
        <f t="shared" si="5"/>
        <v>1</v>
      </c>
    </row>
    <row r="36" spans="1:29" ht="15">
      <c r="A36" s="423"/>
      <c r="B36" s="375" t="s">
        <v>1767</v>
      </c>
      <c r="C36" s="411" t="s">
        <v>3551</v>
      </c>
      <c r="D36" s="386">
        <v>100</v>
      </c>
      <c r="E36" s="411" t="s">
        <v>3551</v>
      </c>
      <c r="F36" s="412">
        <f>SUMIF(108:108,E36,109:109)-SUMIF(108:108,C36,109:109)+100</f>
        <v>100</v>
      </c>
      <c r="G36" s="411" t="s">
        <v>3551</v>
      </c>
      <c r="H36" s="386">
        <f>SUMIF(108:108,G36,109:109)-SUMIF(108:108,C36,109:109)+100</f>
        <v>100</v>
      </c>
      <c r="I36" s="411" t="s">
        <v>3551</v>
      </c>
      <c r="J36" s="386">
        <f>SUMIF(108:108,I36,109:109)-SUMIF(108:108,C36,109:109)+100</f>
        <v>100</v>
      </c>
      <c r="K36" s="561">
        <v>2</v>
      </c>
      <c r="L36" s="2698"/>
      <c r="M36" s="2692"/>
      <c r="N36" s="2692"/>
      <c r="O36" s="2692"/>
      <c r="P36" s="3807"/>
      <c r="Q36" s="3482" t="str">
        <f t="shared" si="11"/>
        <v>公共部分装修</v>
      </c>
      <c r="R36" s="705" t="s">
        <v>14</v>
      </c>
      <c r="S36" s="706">
        <f t="shared" si="12"/>
        <v>100</v>
      </c>
      <c r="T36" s="705" t="s">
        <v>14</v>
      </c>
      <c r="U36" s="706">
        <f t="shared" si="13"/>
        <v>100</v>
      </c>
      <c r="V36" s="705" t="s">
        <v>14</v>
      </c>
      <c r="W36" s="706">
        <f t="shared" si="14"/>
        <v>100</v>
      </c>
      <c r="X36" s="3480"/>
      <c r="Y36" s="3809"/>
      <c r="Z36" s="3481" t="str">
        <f t="shared" si="15"/>
        <v>公共部分装修</v>
      </c>
      <c r="AA36" s="3483">
        <f t="shared" si="3"/>
        <v>1</v>
      </c>
      <c r="AB36" s="3483">
        <f t="shared" si="4"/>
        <v>1</v>
      </c>
      <c r="AC36" s="1962">
        <f t="shared" si="5"/>
        <v>1</v>
      </c>
    </row>
    <row r="37" spans="1:29" ht="15">
      <c r="A37" s="423"/>
      <c r="B37" s="375" t="s">
        <v>1768</v>
      </c>
      <c r="C37" s="425">
        <f>'数据-取费表'!N6</f>
        <v>0.79</v>
      </c>
      <c r="D37" s="386">
        <v>100</v>
      </c>
      <c r="E37" s="425">
        <v>0.95</v>
      </c>
      <c r="F37" s="412">
        <f>LOOKUP(E37,111:111,112:112)-LOOKUP(C37,111:111,112:112)+100</f>
        <v>102</v>
      </c>
      <c r="G37" s="425">
        <v>0.95</v>
      </c>
      <c r="H37" s="412">
        <f>LOOKUP(G37,111:111,112:112)-LOOKUP(C37,111:111,112:112)+100</f>
        <v>102</v>
      </c>
      <c r="I37" s="425">
        <v>0.89</v>
      </c>
      <c r="J37" s="386">
        <f>LOOKUP(I37,111:111,112:112)-LOOKUP(C37,111:111,112:112)+100</f>
        <v>101</v>
      </c>
      <c r="K37" s="561">
        <v>1</v>
      </c>
      <c r="L37" s="2698"/>
      <c r="M37" s="2692"/>
      <c r="N37" s="2692"/>
      <c r="O37" s="2692"/>
      <c r="P37" s="3807"/>
      <c r="Q37" s="3482" t="str">
        <f t="shared" si="11"/>
        <v>成新度</v>
      </c>
      <c r="R37" s="705" t="s">
        <v>14</v>
      </c>
      <c r="S37" s="706">
        <f t="shared" si="12"/>
        <v>102</v>
      </c>
      <c r="T37" s="705" t="s">
        <v>14</v>
      </c>
      <c r="U37" s="706">
        <f t="shared" si="13"/>
        <v>102</v>
      </c>
      <c r="V37" s="705" t="s">
        <v>14</v>
      </c>
      <c r="W37" s="706">
        <f t="shared" si="14"/>
        <v>101</v>
      </c>
      <c r="X37" s="3480"/>
      <c r="Y37" s="3809"/>
      <c r="Z37" s="3481" t="str">
        <f t="shared" si="15"/>
        <v>成新度</v>
      </c>
      <c r="AA37" s="3483">
        <f t="shared" si="3"/>
        <v>0.98039215686274506</v>
      </c>
      <c r="AB37" s="3483">
        <f t="shared" si="4"/>
        <v>0.98039215686274506</v>
      </c>
      <c r="AC37" s="1962">
        <f t="shared" si="5"/>
        <v>0.99009900990099009</v>
      </c>
    </row>
    <row r="38" spans="1:29" s="108" customFormat="1" ht="15">
      <c r="A38" s="424"/>
      <c r="B38" s="375" t="s">
        <v>1800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0</v>
      </c>
      <c r="L38" s="2693"/>
      <c r="M38" s="2694"/>
      <c r="N38" s="2694"/>
      <c r="O38" s="2694"/>
      <c r="P38" s="3807"/>
      <c r="Q38" s="3478" t="str">
        <f t="shared" si="11"/>
        <v>写字楼等级</v>
      </c>
      <c r="R38" s="701" t="s">
        <v>14</v>
      </c>
      <c r="S38" s="702">
        <f t="shared" si="12"/>
        <v>100</v>
      </c>
      <c r="T38" s="701" t="s">
        <v>14</v>
      </c>
      <c r="U38" s="702">
        <f t="shared" si="13"/>
        <v>100</v>
      </c>
      <c r="V38" s="701" t="s">
        <v>14</v>
      </c>
      <c r="W38" s="702">
        <f t="shared" si="14"/>
        <v>100</v>
      </c>
      <c r="X38" s="703"/>
      <c r="Y38" s="3809"/>
      <c r="Z38" s="3477" t="str">
        <f t="shared" si="15"/>
        <v>写字楼等级</v>
      </c>
      <c r="AA38" s="704">
        <f t="shared" si="3"/>
        <v>1</v>
      </c>
      <c r="AB38" s="704">
        <f t="shared" si="4"/>
        <v>1</v>
      </c>
      <c r="AC38" s="1959">
        <f t="shared" si="5"/>
        <v>1</v>
      </c>
    </row>
    <row r="39" spans="1:29" ht="15">
      <c r="A39" s="423"/>
      <c r="B39" s="375" t="s">
        <v>1801</v>
      </c>
      <c r="C39" s="411" t="s">
        <v>3552</v>
      </c>
      <c r="D39" s="386">
        <v>100</v>
      </c>
      <c r="E39" s="411" t="s">
        <v>3552</v>
      </c>
      <c r="F39" s="412">
        <f>SUMIF(115:115,E39,116:116)-SUMIF(115:115,C39,116:116)+100</f>
        <v>100</v>
      </c>
      <c r="G39" s="411" t="s">
        <v>3552</v>
      </c>
      <c r="H39" s="386">
        <f>SUMIF(115:115,G39,116:116)-SUMIF(115:115,C39,116:116)+100</f>
        <v>100</v>
      </c>
      <c r="I39" s="411" t="s">
        <v>3552</v>
      </c>
      <c r="J39" s="386">
        <f>SUMIF(115:115,I39,116:116)-SUMIF(115:115,C39,116:116)+100</f>
        <v>100</v>
      </c>
      <c r="K39" s="561">
        <v>2</v>
      </c>
      <c r="L39" s="2698"/>
      <c r="M39" s="2692"/>
      <c r="N39" s="2692"/>
      <c r="O39" s="2692"/>
      <c r="P39" s="3807" t="s">
        <v>1678</v>
      </c>
      <c r="Q39" s="3482" t="str">
        <f t="shared" si="11"/>
        <v>物业管理</v>
      </c>
      <c r="R39" s="705" t="s">
        <v>14</v>
      </c>
      <c r="S39" s="706">
        <f t="shared" si="12"/>
        <v>100</v>
      </c>
      <c r="T39" s="705" t="s">
        <v>14</v>
      </c>
      <c r="U39" s="706">
        <f t="shared" si="13"/>
        <v>100</v>
      </c>
      <c r="V39" s="705" t="s">
        <v>14</v>
      </c>
      <c r="W39" s="706">
        <f t="shared" si="14"/>
        <v>100</v>
      </c>
      <c r="X39" s="3480"/>
      <c r="Y39" s="3809" t="s">
        <v>1678</v>
      </c>
      <c r="Z39" s="3481" t="str">
        <f t="shared" si="15"/>
        <v>物业管理</v>
      </c>
      <c r="AA39" s="3483">
        <f t="shared" si="3"/>
        <v>1</v>
      </c>
      <c r="AB39" s="3483">
        <f t="shared" si="4"/>
        <v>1</v>
      </c>
      <c r="AC39" s="1962">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v>2</v>
      </c>
      <c r="L40" s="2698"/>
      <c r="M40" s="2692"/>
      <c r="N40" s="2692"/>
      <c r="O40" s="2692"/>
      <c r="P40" s="3807"/>
      <c r="Q40" s="3482" t="str">
        <f t="shared" si="11"/>
        <v>市政基础设施</v>
      </c>
      <c r="R40" s="705" t="s">
        <v>14</v>
      </c>
      <c r="S40" s="706">
        <f t="shared" si="12"/>
        <v>100</v>
      </c>
      <c r="T40" s="705" t="s">
        <v>14</v>
      </c>
      <c r="U40" s="706">
        <f t="shared" si="13"/>
        <v>100</v>
      </c>
      <c r="V40" s="705" t="s">
        <v>14</v>
      </c>
      <c r="W40" s="706">
        <f t="shared" si="14"/>
        <v>100</v>
      </c>
      <c r="X40" s="3480"/>
      <c r="Y40" s="3809"/>
      <c r="Z40" s="3481" t="str">
        <f t="shared" si="15"/>
        <v>市政基础设施</v>
      </c>
      <c r="AA40" s="3483">
        <f t="shared" si="3"/>
        <v>1</v>
      </c>
      <c r="AB40" s="3483">
        <f t="shared" si="4"/>
        <v>1</v>
      </c>
      <c r="AC40" s="1962">
        <f t="shared" si="5"/>
        <v>1</v>
      </c>
    </row>
    <row r="41" spans="1:29" ht="15">
      <c r="A41" s="423"/>
      <c r="B41" s="375" t="s">
        <v>1771</v>
      </c>
      <c r="C41" s="565" t="s">
        <v>3553</v>
      </c>
      <c r="D41" s="386">
        <v>100</v>
      </c>
      <c r="E41" s="565" t="s">
        <v>3553</v>
      </c>
      <c r="F41" s="412">
        <f>SUMIF(119:119,E41,120:120)-SUMIF(119:119,C41,120:120)+100</f>
        <v>100</v>
      </c>
      <c r="G41" s="565" t="s">
        <v>3553</v>
      </c>
      <c r="H41" s="386">
        <f>SUMIF(119:119,G41,120:120)-SUMIF(119:119,C41,120:120)+100</f>
        <v>100</v>
      </c>
      <c r="I41" s="565" t="s">
        <v>3553</v>
      </c>
      <c r="J41" s="386">
        <f>SUMIF(119:119,I41,120:120)-SUMIF(119:119,C41,120:120)+100</f>
        <v>100</v>
      </c>
      <c r="K41" s="561">
        <v>2</v>
      </c>
      <c r="L41" s="2698"/>
      <c r="M41" s="2692"/>
      <c r="N41" s="2692"/>
      <c r="O41" s="2692"/>
      <c r="P41" s="3807"/>
      <c r="Q41" s="3482" t="str">
        <f t="shared" si="11"/>
        <v>层高</v>
      </c>
      <c r="R41" s="705" t="s">
        <v>14</v>
      </c>
      <c r="S41" s="706">
        <f t="shared" si="12"/>
        <v>100</v>
      </c>
      <c r="T41" s="705" t="s">
        <v>14</v>
      </c>
      <c r="U41" s="706">
        <f t="shared" si="13"/>
        <v>100</v>
      </c>
      <c r="V41" s="705" t="s">
        <v>14</v>
      </c>
      <c r="W41" s="706">
        <f t="shared" si="14"/>
        <v>100</v>
      </c>
      <c r="X41" s="3480"/>
      <c r="Y41" s="3809"/>
      <c r="Z41" s="3481" t="str">
        <f t="shared" si="15"/>
        <v>层高</v>
      </c>
      <c r="AA41" s="3483">
        <f t="shared" si="3"/>
        <v>1</v>
      </c>
      <c r="AB41" s="3483">
        <f t="shared" si="4"/>
        <v>1</v>
      </c>
      <c r="AC41" s="1962">
        <f t="shared" si="5"/>
        <v>1</v>
      </c>
    </row>
    <row r="42" spans="1:29" s="422" customFormat="1" ht="15">
      <c r="A42" s="419"/>
      <c r="B42" s="3484"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807"/>
      <c r="Q42" s="707" t="str">
        <f t="shared" si="11"/>
        <v>单套建筑面积</v>
      </c>
      <c r="R42" s="708" t="s">
        <v>14</v>
      </c>
      <c r="S42" s="709">
        <f t="shared" si="12"/>
        <v>100</v>
      </c>
      <c r="T42" s="708" t="s">
        <v>14</v>
      </c>
      <c r="U42" s="709">
        <f t="shared" si="13"/>
        <v>100</v>
      </c>
      <c r="V42" s="708" t="s">
        <v>14</v>
      </c>
      <c r="W42" s="709">
        <f t="shared" si="14"/>
        <v>100</v>
      </c>
      <c r="X42" s="710"/>
      <c r="Y42" s="3809"/>
      <c r="Z42" s="711" t="str">
        <f t="shared" si="15"/>
        <v>单套建筑面积</v>
      </c>
      <c r="AA42" s="3483">
        <f t="shared" si="3"/>
        <v>1</v>
      </c>
      <c r="AB42" s="3483">
        <f t="shared" si="4"/>
        <v>1</v>
      </c>
      <c r="AC42" s="1962">
        <f t="shared" si="5"/>
        <v>1</v>
      </c>
    </row>
    <row r="43" spans="1:29" ht="15">
      <c r="A43" s="423"/>
      <c r="B43" s="375" t="s">
        <v>1774</v>
      </c>
      <c r="C43" s="411" t="s">
        <v>3558</v>
      </c>
      <c r="D43" s="386">
        <v>100</v>
      </c>
      <c r="E43" s="411" t="s">
        <v>3559</v>
      </c>
      <c r="F43" s="412">
        <f>SUMIF(123:123,E43,124:124)-SUMIF(123:123,C43,124:124)+100</f>
        <v>98</v>
      </c>
      <c r="G43" s="411" t="s">
        <v>3559</v>
      </c>
      <c r="H43" s="386">
        <f>SUMIF(123:123,G43,124:124)-SUMIF(123:123,C43,124:124)+100</f>
        <v>98</v>
      </c>
      <c r="I43" s="411" t="s">
        <v>3559</v>
      </c>
      <c r="J43" s="386">
        <f>SUMIF(123:123,I43,124:124)-SUMIF(123:123,C43,124:124)+100</f>
        <v>98</v>
      </c>
      <c r="K43" s="561">
        <v>2</v>
      </c>
      <c r="L43" s="2729">
        <f>C50*0.02</f>
        <v>939.82</v>
      </c>
      <c r="M43" s="2692"/>
      <c r="N43" s="2692"/>
      <c r="O43" s="2692"/>
      <c r="P43" s="3807"/>
      <c r="Q43" s="3482" t="str">
        <f t="shared" si="11"/>
        <v>内部装修</v>
      </c>
      <c r="R43" s="705" t="s">
        <v>14</v>
      </c>
      <c r="S43" s="706">
        <f t="shared" si="12"/>
        <v>98</v>
      </c>
      <c r="T43" s="705" t="s">
        <v>14</v>
      </c>
      <c r="U43" s="706">
        <f t="shared" si="13"/>
        <v>98</v>
      </c>
      <c r="V43" s="705" t="s">
        <v>14</v>
      </c>
      <c r="W43" s="706">
        <f t="shared" si="14"/>
        <v>98</v>
      </c>
      <c r="X43" s="3480"/>
      <c r="Y43" s="3809"/>
      <c r="Z43" s="3481" t="str">
        <f t="shared" si="15"/>
        <v>内部装修</v>
      </c>
      <c r="AA43" s="3483">
        <f t="shared" si="3"/>
        <v>1.0204081632653061</v>
      </c>
      <c r="AB43" s="3483">
        <f t="shared" si="4"/>
        <v>1.0204081632653061</v>
      </c>
      <c r="AC43" s="1962">
        <f t="shared" si="5"/>
        <v>1.0204081632653061</v>
      </c>
    </row>
    <row r="44" spans="1:29" ht="15">
      <c r="A44" s="423"/>
      <c r="B44" s="375" t="s">
        <v>1689</v>
      </c>
      <c r="C44" s="411" t="s">
        <v>3396</v>
      </c>
      <c r="D44" s="386">
        <v>100</v>
      </c>
      <c r="E44" s="1906" t="s">
        <v>3396</v>
      </c>
      <c r="F44" s="412">
        <f>SUMIF(125:125,E44,126:126)-SUMIF(125:125,C44,126:126)+100</f>
        <v>100</v>
      </c>
      <c r="G44" s="1906" t="s">
        <v>3396</v>
      </c>
      <c r="H44" s="386">
        <f>SUMIF(125:125,G44,126:126)-SUMIF(125:125,C44,126:126)+100</f>
        <v>100</v>
      </c>
      <c r="I44" s="1906" t="s">
        <v>3396</v>
      </c>
      <c r="J44" s="386">
        <f>SUMIF(125:125,I44,126:126)-SUMIF(125:125,C44,126:126)+100</f>
        <v>100</v>
      </c>
      <c r="K44" s="561">
        <v>2</v>
      </c>
      <c r="L44" s="2698"/>
      <c r="M44" s="2692"/>
      <c r="N44" s="2692"/>
      <c r="O44" s="2692"/>
      <c r="P44" s="3807"/>
      <c r="Q44" s="3482" t="str">
        <f t="shared" si="11"/>
        <v>内部装修维护情况</v>
      </c>
      <c r="R44" s="705" t="s">
        <v>14</v>
      </c>
      <c r="S44" s="706">
        <f t="shared" si="12"/>
        <v>100</v>
      </c>
      <c r="T44" s="705" t="s">
        <v>14</v>
      </c>
      <c r="U44" s="706">
        <f t="shared" si="13"/>
        <v>100</v>
      </c>
      <c r="V44" s="705" t="s">
        <v>14</v>
      </c>
      <c r="W44" s="706">
        <f t="shared" si="14"/>
        <v>100</v>
      </c>
      <c r="X44" s="3480"/>
      <c r="Y44" s="3809"/>
      <c r="Z44" s="3481" t="str">
        <f t="shared" si="15"/>
        <v>内部装修维护情况</v>
      </c>
      <c r="AA44" s="3483">
        <f t="shared" si="3"/>
        <v>1</v>
      </c>
      <c r="AB44" s="3483">
        <f t="shared" si="4"/>
        <v>1</v>
      </c>
      <c r="AC44" s="1962">
        <f t="shared" si="5"/>
        <v>1</v>
      </c>
    </row>
    <row r="45" spans="1:29" s="108" customFormat="1" ht="15">
      <c r="A45" s="424"/>
      <c r="B45" s="1133"/>
      <c r="C45" s="3530">
        <f>ROUND('数据-汇总表'!G31/'数据-汇总表'!E3,2)</f>
        <v>0.2</v>
      </c>
      <c r="D45" s="127">
        <v>100</v>
      </c>
      <c r="E45" s="3529">
        <v>0</v>
      </c>
      <c r="F45" s="376">
        <f>SUMIF(127:127,E45,128:128)-SUMIF(127:127,C45,128:128)+100</f>
        <v>100</v>
      </c>
      <c r="G45" s="3529">
        <v>0</v>
      </c>
      <c r="H45" s="127">
        <f>SUMIF(127:127,G45,128:128)-SUMIF(127:127,C45,128:128)+100</f>
        <v>100</v>
      </c>
      <c r="I45" s="3529">
        <v>0</v>
      </c>
      <c r="J45" s="127">
        <f>SUMIF(127:127,I45,128:128)-SUMIF(127:127,C45,128:128)+100</f>
        <v>100</v>
      </c>
      <c r="K45" s="562"/>
      <c r="L45" s="2698"/>
      <c r="M45" s="2694"/>
      <c r="N45" s="2694"/>
      <c r="O45" s="2694"/>
      <c r="P45" s="3807"/>
      <c r="Q45" s="3478">
        <f t="shared" si="11"/>
        <v>0</v>
      </c>
      <c r="R45" s="701" t="s">
        <v>14</v>
      </c>
      <c r="S45" s="702">
        <f t="shared" si="12"/>
        <v>100</v>
      </c>
      <c r="T45" s="701" t="s">
        <v>14</v>
      </c>
      <c r="U45" s="702">
        <f t="shared" si="13"/>
        <v>100</v>
      </c>
      <c r="V45" s="701" t="s">
        <v>14</v>
      </c>
      <c r="W45" s="702">
        <f t="shared" si="14"/>
        <v>100</v>
      </c>
      <c r="X45" s="703"/>
      <c r="Y45" s="3809"/>
      <c r="Z45" s="3477">
        <f t="shared" si="15"/>
        <v>0</v>
      </c>
      <c r="AA45" s="704">
        <f t="shared" si="3"/>
        <v>1</v>
      </c>
      <c r="AB45" s="704">
        <f t="shared" si="4"/>
        <v>1</v>
      </c>
      <c r="AC45" s="1959">
        <f t="shared" si="5"/>
        <v>1</v>
      </c>
    </row>
    <row r="46" spans="1:29" ht="15">
      <c r="A46" s="423"/>
      <c r="B46" s="1133" t="s">
        <v>3417</v>
      </c>
      <c r="C46" s="385" t="str">
        <f>G129</f>
        <v>15-20%</v>
      </c>
      <c r="D46" s="386">
        <v>100</v>
      </c>
      <c r="E46" s="3529">
        <f>A129</f>
        <v>0</v>
      </c>
      <c r="F46" s="412">
        <f>SUMIF(129:129,E46,130:130)-SUMIF(129:129,C46,130:130)+100</f>
        <v>108</v>
      </c>
      <c r="G46" s="3529">
        <f>C129</f>
        <v>0</v>
      </c>
      <c r="H46" s="386">
        <f>SUMIF(129:129,G46,130:130)-SUMIF(129:129,C46,130:130)+100</f>
        <v>108</v>
      </c>
      <c r="I46" s="3529">
        <f>G46</f>
        <v>0</v>
      </c>
      <c r="J46" s="386">
        <f>SUMIF(129:129,I46,130:130)-SUMIF(129:129,C46,130:130)+100</f>
        <v>108</v>
      </c>
      <c r="K46" s="562"/>
      <c r="L46" s="2698"/>
      <c r="M46" s="2692"/>
      <c r="N46" s="2692"/>
      <c r="O46" s="2692"/>
      <c r="P46" s="3807"/>
      <c r="Q46" s="3482" t="str">
        <f t="shared" si="11"/>
        <v>地下面积占比</v>
      </c>
      <c r="R46" s="705" t="s">
        <v>14</v>
      </c>
      <c r="S46" s="706">
        <f t="shared" si="12"/>
        <v>108</v>
      </c>
      <c r="T46" s="705" t="s">
        <v>14</v>
      </c>
      <c r="U46" s="706">
        <f t="shared" si="13"/>
        <v>108</v>
      </c>
      <c r="V46" s="705" t="s">
        <v>14</v>
      </c>
      <c r="W46" s="706">
        <f t="shared" si="14"/>
        <v>108</v>
      </c>
      <c r="X46" s="3480"/>
      <c r="Y46" s="3809"/>
      <c r="Z46" s="3481" t="str">
        <f t="shared" si="15"/>
        <v>地下面积占比</v>
      </c>
      <c r="AA46" s="3483">
        <f t="shared" si="3"/>
        <v>0.92592592592592593</v>
      </c>
      <c r="AB46" s="3483">
        <f t="shared" si="4"/>
        <v>0.92592592592592593</v>
      </c>
      <c r="AC46" s="1962">
        <f t="shared" si="5"/>
        <v>0.92592592592592593</v>
      </c>
    </row>
    <row r="47" spans="1:29" ht="15.75" thickBot="1">
      <c r="A47" s="429"/>
      <c r="B47" s="1895" t="s">
        <v>3561</v>
      </c>
      <c r="C47" s="388">
        <v>1998</v>
      </c>
      <c r="D47" s="389">
        <v>100</v>
      </c>
      <c r="E47" s="383">
        <v>2018</v>
      </c>
      <c r="F47" s="390">
        <f>SUMIF(131:131,E47,132:132)-SUMIF(131:131,C47,132:132)+100</f>
        <v>100</v>
      </c>
      <c r="G47" s="383">
        <v>2021</v>
      </c>
      <c r="H47" s="389">
        <f>SUMIF(131:131,G47,132:132)-SUMIF(131:131,C47,132:132)+100</f>
        <v>100</v>
      </c>
      <c r="I47" s="383">
        <v>2012</v>
      </c>
      <c r="J47" s="389">
        <f>SUMIF(131:131,I47,132:132)-SUMIF(131:131,C47,132:132)+100</f>
        <v>100</v>
      </c>
      <c r="K47" s="562"/>
      <c r="L47" s="2698"/>
      <c r="M47" s="2692"/>
      <c r="N47" s="2692"/>
      <c r="O47" s="2692"/>
      <c r="P47" s="3808"/>
      <c r="Q47" s="3482" t="str">
        <f t="shared" si="11"/>
        <v>建成年代</v>
      </c>
      <c r="R47" s="705" t="s">
        <v>14</v>
      </c>
      <c r="S47" s="706">
        <f t="shared" si="12"/>
        <v>100</v>
      </c>
      <c r="T47" s="705" t="s">
        <v>14</v>
      </c>
      <c r="U47" s="706">
        <f t="shared" si="13"/>
        <v>100</v>
      </c>
      <c r="V47" s="705" t="s">
        <v>14</v>
      </c>
      <c r="W47" s="706">
        <f t="shared" si="14"/>
        <v>100</v>
      </c>
      <c r="X47" s="3480"/>
      <c r="Y47" s="3810"/>
      <c r="Z47" s="3481" t="str">
        <f t="shared" si="15"/>
        <v>建成年代</v>
      </c>
      <c r="AA47" s="3483">
        <f t="shared" si="3"/>
        <v>1</v>
      </c>
      <c r="AB47" s="3483">
        <f t="shared" si="4"/>
        <v>1</v>
      </c>
      <c r="AC47" s="1962">
        <f t="shared" si="5"/>
        <v>1</v>
      </c>
    </row>
    <row r="48" spans="1:29" ht="15">
      <c r="A48" s="430" t="s">
        <v>1690</v>
      </c>
      <c r="B48" s="431"/>
      <c r="C48" s="1154" t="s">
        <v>0</v>
      </c>
      <c r="D48" s="1155"/>
      <c r="E48" s="1156">
        <f>'2022年大宗'!M251</f>
        <v>49000</v>
      </c>
      <c r="F48" s="1157"/>
      <c r="G48" s="1158">
        <f>'2022年大宗'!K181</f>
        <v>43107</v>
      </c>
      <c r="H48" s="1159"/>
      <c r="I48" s="1156">
        <f>'2022年大宗'!L327</f>
        <v>49600</v>
      </c>
      <c r="J48" s="436"/>
      <c r="K48" s="714"/>
      <c r="L48" s="2700"/>
      <c r="M48" s="2692"/>
      <c r="N48" s="2692"/>
      <c r="O48" s="2692"/>
      <c r="P48" s="3782" t="str">
        <f>A48</f>
        <v>成交单价（元/平方米）</v>
      </c>
      <c r="Q48" s="3811"/>
      <c r="R48" s="3812">
        <f>E48</f>
        <v>49000</v>
      </c>
      <c r="S48" s="3812"/>
      <c r="T48" s="3812">
        <f>G48</f>
        <v>43107</v>
      </c>
      <c r="U48" s="3812"/>
      <c r="V48" s="3812">
        <f>I48</f>
        <v>49600</v>
      </c>
      <c r="W48" s="3812"/>
      <c r="X48" s="397"/>
      <c r="Y48" s="712"/>
      <c r="Z48" s="397"/>
      <c r="AA48" s="397"/>
      <c r="AB48" s="397"/>
      <c r="AC48" s="578"/>
    </row>
    <row r="49" spans="1:41" ht="15.75" thickBot="1">
      <c r="A49" s="437" t="s">
        <v>1691</v>
      </c>
      <c r="B49" s="438"/>
      <c r="C49" s="1160">
        <f>R50</f>
        <v>46991</v>
      </c>
      <c r="D49" s="2317" t="s">
        <v>2120</v>
      </c>
      <c r="E49" s="1161">
        <f>R49</f>
        <v>48795</v>
      </c>
      <c r="F49" s="2318"/>
      <c r="G49" s="1160">
        <f>T49</f>
        <v>44743</v>
      </c>
      <c r="H49" s="2318"/>
      <c r="I49" s="1161">
        <f>V49</f>
        <v>47436</v>
      </c>
      <c r="J49" s="2318"/>
      <c r="K49" s="2320">
        <f>F49+H49+J49</f>
        <v>0</v>
      </c>
      <c r="L49" s="2700"/>
      <c r="M49" s="2692"/>
      <c r="N49" s="2692"/>
      <c r="O49" s="2692"/>
      <c r="P49" s="3782" t="str">
        <f>A49</f>
        <v>比较价值（元/平方米）</v>
      </c>
      <c r="Q49" s="3811"/>
      <c r="R49" s="3812">
        <f>IF(F1="售价",ROUND(PRODUCT(R48,AA7:AA47),0),ROUND(PRODUCT(R48,AA7:AA47),1))</f>
        <v>48795</v>
      </c>
      <c r="S49" s="3812"/>
      <c r="T49" s="3812">
        <f>IF(F1="售价",ROUND(PRODUCT(T48,AB7:AB47),0),ROUND(PRODUCT(T48,AB7:AB47),1))</f>
        <v>44743</v>
      </c>
      <c r="U49" s="3812"/>
      <c r="V49" s="3812">
        <f>IF(F1="售价",ROUND(PRODUCT(V48,AC7:AC47),0),ROUND(PRODUCT(V48,AC7:AC47),1))</f>
        <v>47436</v>
      </c>
      <c r="W49" s="3812"/>
      <c r="X49" s="397"/>
      <c r="Y49" s="397"/>
      <c r="Z49" s="397"/>
      <c r="AA49" s="397"/>
      <c r="AB49" s="397"/>
      <c r="AC49" s="578"/>
    </row>
    <row r="50" spans="1:41" ht="15.75" thickBot="1">
      <c r="A50" s="441" t="s">
        <v>1692</v>
      </c>
      <c r="B50" s="442"/>
      <c r="C50" s="1163">
        <f>R50</f>
        <v>46991</v>
      </c>
      <c r="D50" s="1163"/>
      <c r="E50" s="1163"/>
      <c r="F50" s="1163"/>
      <c r="G50" s="1163"/>
      <c r="H50" s="1163"/>
      <c r="I50" s="1163"/>
      <c r="J50" s="443"/>
      <c r="K50" s="715"/>
      <c r="L50" s="2700"/>
      <c r="M50" s="2692"/>
      <c r="N50" s="2692"/>
      <c r="O50" s="2692"/>
      <c r="P50" s="3813" t="str">
        <f>A50</f>
        <v>估价对象XX用房的比较价值（楼面单价，元/平方米）</v>
      </c>
      <c r="Q50" s="3814"/>
      <c r="R50" s="3815">
        <f>IF(F1="售价",ROUND(IF(D49="简单平均",AVERAGE(R49:V49),R49*F49+T49*H49+V49*J49),0),ROUND(IF(D49="简单平均",AVERAGE(R49:V49),R49*F49+T49*H49+V49*J49),1))</f>
        <v>46991</v>
      </c>
      <c r="S50" s="3815"/>
      <c r="T50" s="3815"/>
      <c r="U50" s="3815"/>
      <c r="V50" s="3815"/>
      <c r="W50" s="3815"/>
      <c r="X50" s="1946"/>
      <c r="Y50" s="1946"/>
      <c r="Z50" s="1946"/>
      <c r="AA50" s="1946"/>
      <c r="AB50" s="1946"/>
      <c r="AC50" s="1947"/>
    </row>
    <row r="51" spans="1:41">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41">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41" ht="13.5" customHeight="1">
      <c r="A53" s="2701"/>
      <c r="B53" s="2701"/>
      <c r="C53" s="446" t="s">
        <v>1693</v>
      </c>
      <c r="D53" s="447"/>
      <c r="E53" s="448">
        <f>IF(E48&lt;E49,E49/E48-1,E48/E49-1)</f>
        <v>4.2012501280868086E-3</v>
      </c>
      <c r="F53" s="449" t="str">
        <f>IF(OR(E53&gt;=0.3,E53&lt;=-0.3),"超过30%","")</f>
        <v/>
      </c>
      <c r="G53" s="448">
        <f>IF(G48&lt;G49,G49/G48-1,G48/G49-1)</f>
        <v>3.7952072749205534E-2</v>
      </c>
      <c r="H53" s="449" t="str">
        <f>IF(OR(G53&gt;=0.3,G53&lt;=-0.3),"超过30%","")</f>
        <v/>
      </c>
      <c r="I53" s="448">
        <f>IF(I48&lt;I49,I49/I48-1,I48/I49-1)</f>
        <v>4.5619360823003552E-2</v>
      </c>
      <c r="J53" s="449" t="str">
        <f>IF(OR(I53&gt;=0.3,I53&lt;=-0.3),"超过30%","")</f>
        <v/>
      </c>
      <c r="K53" s="2706"/>
      <c r="L53" s="2702"/>
      <c r="M53" s="2701"/>
      <c r="N53" s="2701"/>
      <c r="O53" s="2701"/>
      <c r="P53" s="2732"/>
      <c r="Q53" s="2701"/>
      <c r="R53" s="2701"/>
      <c r="S53" s="2701"/>
      <c r="T53" s="2701"/>
      <c r="U53" s="2701"/>
      <c r="V53" s="2701"/>
      <c r="W53" s="2701"/>
      <c r="X53" s="2701"/>
      <c r="Y53" s="2701"/>
      <c r="Z53" s="2701"/>
      <c r="AA53" s="2701"/>
      <c r="AB53" s="2701"/>
      <c r="AC53" s="2701"/>
    </row>
    <row r="54" spans="1:41" ht="13.5" customHeight="1">
      <c r="A54" s="2701"/>
      <c r="B54" s="2701"/>
      <c r="C54" s="446" t="s">
        <v>1694</v>
      </c>
      <c r="D54" s="450"/>
      <c r="E54" s="448">
        <f>IF(E49&lt;G49,G49/E49-1,E49/G49-1)</f>
        <v>9.056165210200473E-2</v>
      </c>
      <c r="F54" s="449" t="str">
        <f>IF(OR(E54&gt;=0.2,E54&lt;=-0.2),"超过20%","")</f>
        <v/>
      </c>
      <c r="G54" s="448">
        <f>IF(G49&lt;I49,I49/G49-1,G49/I49-1)</f>
        <v>6.0188185861475452E-2</v>
      </c>
      <c r="H54" s="449" t="str">
        <f>IF(OR(G54&gt;=0.2,G54&lt;=-0.2),"超过20%","")</f>
        <v/>
      </c>
      <c r="I54" s="448">
        <f>IF(I49&lt;E49,E49/I49-1,I49/E49-1)</f>
        <v>2.8649127245130357E-2</v>
      </c>
      <c r="J54" s="449" t="str">
        <f>IF(OR(I54&gt;=0.2,I54&lt;=-0.2),"超过20%","")</f>
        <v/>
      </c>
      <c r="K54" s="2706"/>
      <c r="L54" s="2702"/>
      <c r="M54" s="2701"/>
      <c r="N54" s="2701"/>
      <c r="O54" s="2701"/>
      <c r="P54" s="2732"/>
      <c r="Q54" s="2701"/>
      <c r="R54" s="2701"/>
      <c r="S54" s="2701"/>
      <c r="T54" s="2701"/>
      <c r="U54" s="2701"/>
      <c r="V54" s="2701"/>
      <c r="W54" s="2701"/>
      <c r="X54" s="2701"/>
      <c r="Y54" s="2701"/>
      <c r="Z54" s="2701"/>
      <c r="AA54" s="2701"/>
      <c r="AB54" s="2701"/>
      <c r="AC54" s="2701"/>
    </row>
    <row r="55" spans="1:41" s="451" customFormat="1" ht="13.5" customHeight="1">
      <c r="A55" s="2704"/>
      <c r="B55" s="2704"/>
      <c r="C55" s="446" t="s">
        <v>1695</v>
      </c>
      <c r="D55" s="450"/>
      <c r="E55" s="448">
        <f>IF(E48&lt;G48,G48/E48-1,E48/G48-1)</f>
        <v>0.13670633539796317</v>
      </c>
      <c r="F55" s="449" t="str">
        <f>IF(OR(E55&gt;=0.3,E55&lt;=-0.3),"超过30%","")</f>
        <v/>
      </c>
      <c r="G55" s="448">
        <f>IF(G48&lt;I48,I48/G48-1,G48/I48-1)</f>
        <v>0.15062518848446893</v>
      </c>
      <c r="H55" s="449" t="str">
        <f>IF(OR(G55&gt;=0.3,G55&lt;=-0.3),"超过30%","")</f>
        <v/>
      </c>
      <c r="I55" s="448">
        <f>IF(I48&lt;E48,E48/I48-1,I48/E48-1)</f>
        <v>1.2244897959183598E-2</v>
      </c>
      <c r="J55" s="449" t="str">
        <f>IF(OR(I55&gt;=0.3,I55&lt;=-0.3),"超过30%","")</f>
        <v/>
      </c>
      <c r="K55" s="2709"/>
      <c r="L55" s="2703"/>
      <c r="M55" s="2704"/>
      <c r="N55" s="2704"/>
      <c r="O55" s="2704"/>
      <c r="P55" s="2733"/>
      <c r="Q55" s="2704"/>
      <c r="R55" s="2704"/>
      <c r="S55" s="2704"/>
      <c r="T55" s="2704"/>
      <c r="U55" s="2704"/>
      <c r="V55" s="2704"/>
      <c r="W55" s="2704"/>
      <c r="X55" s="2704"/>
      <c r="Y55" s="2704"/>
      <c r="Z55" s="2704"/>
      <c r="AA55" s="2704"/>
      <c r="AB55" s="2704"/>
      <c r="AC55" s="2704"/>
    </row>
    <row r="56" spans="1:41"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41">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41" ht="21.75" thickBot="1">
      <c r="A58" s="694" t="s">
        <v>1696</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41" s="457" customFormat="1" ht="15">
      <c r="A59" s="454" t="s">
        <v>1661</v>
      </c>
      <c r="B59" s="455"/>
      <c r="C59" s="1184" t="str">
        <f>YEAR(C7)&amp;"-"&amp;MONTH(C7)</f>
        <v>2024-4</v>
      </c>
      <c r="D59" s="1185">
        <f>EDATE(C59,-1)</f>
        <v>45352</v>
      </c>
      <c r="E59" s="1185">
        <f>EDATE(D59,-1)</f>
        <v>45323</v>
      </c>
      <c r="F59" s="1185">
        <f t="shared" ref="F59:A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3475">
        <f t="shared" si="16"/>
        <v>44986</v>
      </c>
      <c r="Q59" s="3475">
        <f t="shared" si="16"/>
        <v>44958</v>
      </c>
      <c r="R59" s="3475">
        <f t="shared" si="16"/>
        <v>44927</v>
      </c>
      <c r="S59" s="3475">
        <f t="shared" si="16"/>
        <v>44896</v>
      </c>
      <c r="T59" s="3475">
        <f t="shared" si="16"/>
        <v>44866</v>
      </c>
      <c r="U59" s="3475">
        <f t="shared" si="16"/>
        <v>44835</v>
      </c>
      <c r="V59" s="3475">
        <f t="shared" si="16"/>
        <v>44805</v>
      </c>
      <c r="W59" s="3475">
        <f t="shared" si="16"/>
        <v>44774</v>
      </c>
      <c r="X59" s="3475">
        <f t="shared" si="16"/>
        <v>44743</v>
      </c>
      <c r="Y59" s="3475">
        <f t="shared" si="16"/>
        <v>44713</v>
      </c>
      <c r="Z59" s="3475">
        <f t="shared" si="16"/>
        <v>44682</v>
      </c>
      <c r="AA59" s="3475">
        <f t="shared" si="16"/>
        <v>44652</v>
      </c>
      <c r="AB59" s="3475">
        <f t="shared" si="16"/>
        <v>44621</v>
      </c>
      <c r="AC59" s="3475">
        <f t="shared" si="16"/>
        <v>44593</v>
      </c>
      <c r="AD59" s="3475">
        <f t="shared" si="16"/>
        <v>44562</v>
      </c>
      <c r="AE59" s="3475">
        <f t="shared" si="16"/>
        <v>44531</v>
      </c>
      <c r="AF59" s="3475">
        <f t="shared" si="16"/>
        <v>44501</v>
      </c>
      <c r="AG59" s="3475">
        <f t="shared" si="16"/>
        <v>44470</v>
      </c>
      <c r="AH59" s="3475">
        <f t="shared" si="16"/>
        <v>44440</v>
      </c>
      <c r="AI59" s="3475">
        <f t="shared" si="16"/>
        <v>44409</v>
      </c>
      <c r="AJ59" s="3475">
        <f t="shared" si="16"/>
        <v>44378</v>
      </c>
      <c r="AK59" s="3475">
        <f t="shared" si="16"/>
        <v>44348</v>
      </c>
      <c r="AL59" s="3475">
        <f t="shared" si="16"/>
        <v>44317</v>
      </c>
      <c r="AM59" s="3475">
        <f t="shared" si="16"/>
        <v>44287</v>
      </c>
      <c r="AN59" s="3475">
        <f t="shared" si="16"/>
        <v>44256</v>
      </c>
      <c r="AO59" s="3475">
        <f t="shared" si="16"/>
        <v>44228</v>
      </c>
    </row>
    <row r="60" spans="1:41"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f>O60-2</f>
        <v>98</v>
      </c>
      <c r="Q60" s="461">
        <f>P60</f>
        <v>98</v>
      </c>
      <c r="R60" s="461">
        <f>Q60</f>
        <v>98</v>
      </c>
      <c r="S60" s="461">
        <f t="shared" ref="S60:AA60" si="17">R60</f>
        <v>98</v>
      </c>
      <c r="T60" s="461">
        <f t="shared" si="17"/>
        <v>98</v>
      </c>
      <c r="U60" s="461">
        <f t="shared" si="17"/>
        <v>98</v>
      </c>
      <c r="V60" s="461">
        <f t="shared" si="17"/>
        <v>98</v>
      </c>
      <c r="W60" s="461">
        <f t="shared" si="17"/>
        <v>98</v>
      </c>
      <c r="X60" s="461">
        <f t="shared" si="17"/>
        <v>98</v>
      </c>
      <c r="Y60" s="461">
        <f t="shared" si="17"/>
        <v>98</v>
      </c>
      <c r="Z60" s="461">
        <f t="shared" si="17"/>
        <v>98</v>
      </c>
      <c r="AA60" s="461">
        <f t="shared" si="17"/>
        <v>98</v>
      </c>
      <c r="AB60" s="2638">
        <f>AA60-2</f>
        <v>96</v>
      </c>
      <c r="AC60" s="2638">
        <f>AB60</f>
        <v>96</v>
      </c>
      <c r="AD60" s="2638">
        <f t="shared" ref="AD60:AM60" si="18">AC60</f>
        <v>96</v>
      </c>
      <c r="AE60" s="2638">
        <f t="shared" si="18"/>
        <v>96</v>
      </c>
      <c r="AF60" s="2638">
        <f t="shared" si="18"/>
        <v>96</v>
      </c>
      <c r="AG60" s="2638">
        <f t="shared" si="18"/>
        <v>96</v>
      </c>
      <c r="AH60" s="2638">
        <f t="shared" si="18"/>
        <v>96</v>
      </c>
      <c r="AI60" s="2638">
        <f t="shared" si="18"/>
        <v>96</v>
      </c>
      <c r="AJ60" s="2638">
        <f t="shared" si="18"/>
        <v>96</v>
      </c>
      <c r="AK60" s="2638">
        <f t="shared" si="18"/>
        <v>96</v>
      </c>
      <c r="AL60" s="2638">
        <f t="shared" si="18"/>
        <v>96</v>
      </c>
      <c r="AM60" s="2638">
        <f t="shared" si="18"/>
        <v>96</v>
      </c>
      <c r="AN60" s="108">
        <f>AM60-1</f>
        <v>95</v>
      </c>
      <c r="AO60" s="108">
        <f>AN60</f>
        <v>95</v>
      </c>
    </row>
    <row r="61" spans="1:41" s="108" customFormat="1" ht="15.75" thickBot="1">
      <c r="A61" s="464" t="s">
        <v>1698</v>
      </c>
      <c r="B61" s="465"/>
      <c r="C61" s="466"/>
      <c r="D61" s="467"/>
      <c r="E61" s="467"/>
      <c r="F61" s="467"/>
      <c r="G61" s="467"/>
      <c r="H61" s="467"/>
      <c r="I61" s="467"/>
      <c r="J61" s="467"/>
      <c r="K61" s="467"/>
      <c r="L61" s="467"/>
      <c r="M61" s="468"/>
      <c r="N61" s="467"/>
      <c r="O61" s="468"/>
      <c r="P61" s="2736"/>
      <c r="Q61" s="2715"/>
      <c r="R61" s="2638"/>
      <c r="S61" s="2638"/>
      <c r="T61" s="2638"/>
      <c r="U61" s="2638"/>
      <c r="V61" s="2638"/>
      <c r="W61" s="2638"/>
      <c r="X61" s="2638"/>
      <c r="Y61" s="2638"/>
      <c r="Z61" s="2638"/>
      <c r="AA61" s="2638"/>
      <c r="AB61" s="2638"/>
      <c r="AC61" s="2638"/>
    </row>
    <row r="62" spans="1:41" s="108" customFormat="1" ht="15">
      <c r="A62" s="470" t="s">
        <v>1663</v>
      </c>
      <c r="B62" s="459"/>
      <c r="C62" s="471" t="s">
        <v>1700</v>
      </c>
      <c r="D62" s="472"/>
      <c r="E62" s="472"/>
      <c r="F62" s="472"/>
      <c r="G62" s="472"/>
      <c r="H62" s="472"/>
      <c r="I62" s="472"/>
      <c r="J62" s="472"/>
      <c r="K62" s="472"/>
      <c r="L62" s="473"/>
      <c r="M62" s="474"/>
      <c r="N62" s="2728"/>
      <c r="O62" s="2728"/>
      <c r="P62" s="2737"/>
      <c r="Q62" s="2715"/>
      <c r="R62" s="2638"/>
      <c r="S62" s="2638"/>
      <c r="T62" s="2638"/>
      <c r="U62" s="2638"/>
      <c r="V62" s="2638"/>
      <c r="W62" s="2638"/>
      <c r="X62" s="2638"/>
      <c r="Y62" s="2638"/>
      <c r="Z62" s="2638"/>
      <c r="AA62" s="2638"/>
      <c r="AB62" s="2638"/>
      <c r="AC62" s="2638"/>
    </row>
    <row r="63" spans="1:41" s="108" customFormat="1" ht="15.75" thickBot="1">
      <c r="A63" s="470"/>
      <c r="B63" s="459"/>
      <c r="C63" s="460">
        <v>100</v>
      </c>
      <c r="D63" s="461"/>
      <c r="E63" s="461"/>
      <c r="F63" s="461"/>
      <c r="G63" s="461"/>
      <c r="H63" s="461"/>
      <c r="I63" s="461"/>
      <c r="J63" s="461"/>
      <c r="K63" s="461"/>
      <c r="L63" s="461"/>
      <c r="M63" s="463"/>
      <c r="N63" s="2728"/>
      <c r="O63" s="2728"/>
      <c r="P63" s="2736"/>
      <c r="Q63" s="2715"/>
      <c r="R63" s="2638"/>
      <c r="S63" s="2638"/>
      <c r="T63" s="2638"/>
      <c r="U63" s="2638"/>
      <c r="V63" s="2638"/>
      <c r="W63" s="2638"/>
      <c r="X63" s="2638"/>
      <c r="Y63" s="2638"/>
      <c r="Z63" s="2638"/>
      <c r="AA63" s="2638"/>
      <c r="AB63" s="2638"/>
      <c r="AC63" s="2638"/>
    </row>
    <row r="64" spans="1:41">
      <c r="A64" s="476" t="s">
        <v>1701</v>
      </c>
      <c r="B64" s="477" t="s">
        <v>1667</v>
      </c>
      <c r="C64" s="478" t="str">
        <f>C9</f>
        <v>办公</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1670</v>
      </c>
      <c r="C66" s="532" t="s">
        <v>3562</v>
      </c>
      <c r="D66" s="532" t="s">
        <v>3563</v>
      </c>
      <c r="E66" s="532" t="s">
        <v>3564</v>
      </c>
      <c r="F66" s="3474" t="s">
        <v>3565</v>
      </c>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v>100</v>
      </c>
      <c r="D67" s="485">
        <f>C67-2</f>
        <v>98</v>
      </c>
      <c r="E67" s="485">
        <f>D67-2</f>
        <v>96</v>
      </c>
      <c r="F67" s="485">
        <f>E67-2</f>
        <v>94</v>
      </c>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1671</v>
      </c>
      <c r="C68" s="496" t="str">
        <f>C69&amp;"（含）"&amp;"-"&amp;D69</f>
        <v>0（含）-3</v>
      </c>
      <c r="D68" s="496" t="str">
        <f t="shared" ref="D68:L68" si="19">D69&amp;"（含）"&amp;"-"&amp;E69</f>
        <v>3（含）-</v>
      </c>
      <c r="E68" s="496" t="str">
        <f t="shared" si="19"/>
        <v>（含）-</v>
      </c>
      <c r="F68" s="496" t="str">
        <f t="shared" si="19"/>
        <v>（含）-</v>
      </c>
      <c r="G68" s="496" t="str">
        <f t="shared" si="19"/>
        <v>（含）-</v>
      </c>
      <c r="H68" s="496" t="str">
        <f t="shared" si="19"/>
        <v>（含）-</v>
      </c>
      <c r="I68" s="496" t="str">
        <f t="shared" si="19"/>
        <v>（含）-</v>
      </c>
      <c r="J68" s="496" t="str">
        <f t="shared" si="19"/>
        <v>（含）-</v>
      </c>
      <c r="K68" s="496" t="str">
        <f t="shared" si="19"/>
        <v>（含）-</v>
      </c>
      <c r="L68" s="496" t="str">
        <f t="shared" si="19"/>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20">C70-$K11</f>
        <v>100</v>
      </c>
      <c r="E70" s="493">
        <f t="shared" si="20"/>
        <v>100</v>
      </c>
      <c r="F70" s="493">
        <f t="shared" si="20"/>
        <v>100</v>
      </c>
      <c r="G70" s="493">
        <f t="shared" si="20"/>
        <v>100</v>
      </c>
      <c r="H70" s="493">
        <f t="shared" si="20"/>
        <v>100</v>
      </c>
      <c r="I70" s="493">
        <f t="shared" si="20"/>
        <v>100</v>
      </c>
      <c r="J70" s="493">
        <f t="shared" si="20"/>
        <v>100</v>
      </c>
      <c r="K70" s="493">
        <f t="shared" si="20"/>
        <v>100</v>
      </c>
      <c r="L70" s="493">
        <f t="shared" si="20"/>
        <v>100</v>
      </c>
      <c r="M70" s="494">
        <f t="shared" si="20"/>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0</v>
      </c>
      <c r="C71" s="503" t="s">
        <v>3548</v>
      </c>
      <c r="D71" s="503" t="s">
        <v>3557</v>
      </c>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v>100</v>
      </c>
      <c r="D72" s="485">
        <v>100</v>
      </c>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0</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29.25" thickTop="1">
      <c r="A75" s="502"/>
      <c r="B75" s="495" t="str">
        <f>B14</f>
        <v>用途</v>
      </c>
      <c r="C75" s="472" t="s">
        <v>3554</v>
      </c>
      <c r="D75" s="472" t="s">
        <v>3549</v>
      </c>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v>100</v>
      </c>
      <c r="D76" s="519">
        <v>90</v>
      </c>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1672</v>
      </c>
      <c r="B77" s="477" t="s">
        <v>1803</v>
      </c>
      <c r="C77" s="522" t="s">
        <v>1703</v>
      </c>
      <c r="D77" s="522" t="s">
        <v>1704</v>
      </c>
      <c r="E77" s="522" t="s">
        <v>1705</v>
      </c>
      <c r="F77" s="522" t="s">
        <v>1706</v>
      </c>
      <c r="G77" s="522" t="s">
        <v>1707</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95</v>
      </c>
      <c r="E78" s="493">
        <f>D78-$K15</f>
        <v>90</v>
      </c>
      <c r="F78" s="493">
        <f>E78-$K15</f>
        <v>85</v>
      </c>
      <c r="G78" s="493">
        <f>F78-$K15</f>
        <v>80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1708</v>
      </c>
      <c r="C79" s="527" t="s">
        <v>1703</v>
      </c>
      <c r="D79" s="527" t="s">
        <v>1704</v>
      </c>
      <c r="E79" s="527" t="s">
        <v>1705</v>
      </c>
      <c r="F79" s="527" t="s">
        <v>1706</v>
      </c>
      <c r="G79" s="527" t="s">
        <v>1707</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97</v>
      </c>
      <c r="E80" s="493">
        <f>D80-$K17</f>
        <v>94</v>
      </c>
      <c r="F80" s="493">
        <f>E80-$K17</f>
        <v>91</v>
      </c>
      <c r="G80" s="493">
        <f>F80-$K17</f>
        <v>88</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1709</v>
      </c>
      <c r="C81" s="527" t="s">
        <v>1703</v>
      </c>
      <c r="D81" s="527" t="s">
        <v>1704</v>
      </c>
      <c r="E81" s="527" t="s">
        <v>1705</v>
      </c>
      <c r="F81" s="527" t="s">
        <v>1706</v>
      </c>
      <c r="G81" s="527" t="s">
        <v>1707</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97</v>
      </c>
      <c r="E82" s="493">
        <f>D82-$K19</f>
        <v>94</v>
      </c>
      <c r="F82" s="493">
        <f>E82-$K19</f>
        <v>91</v>
      </c>
      <c r="G82" s="493">
        <f>F82-$K19</f>
        <v>88</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1795</v>
      </c>
      <c r="C83" s="608" t="s">
        <v>1781</v>
      </c>
      <c r="D83" s="608" t="s">
        <v>1782</v>
      </c>
      <c r="E83" s="608" t="s">
        <v>1783</v>
      </c>
      <c r="F83" s="608" t="s">
        <v>1784</v>
      </c>
      <c r="G83" s="608" t="s">
        <v>1785</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99</v>
      </c>
      <c r="E84" s="493">
        <f>D84-$K21</f>
        <v>98</v>
      </c>
      <c r="F84" s="493">
        <f>E84-$K21</f>
        <v>97</v>
      </c>
      <c r="G84" s="493">
        <f>F84-$K21</f>
        <v>96</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1804</v>
      </c>
      <c r="C85" s="527" t="s">
        <v>1703</v>
      </c>
      <c r="D85" s="527" t="s">
        <v>1704</v>
      </c>
      <c r="E85" s="527" t="s">
        <v>1705</v>
      </c>
      <c r="F85" s="527" t="s">
        <v>1706</v>
      </c>
      <c r="G85" s="527" t="s">
        <v>1707</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97</v>
      </c>
      <c r="E86" s="493">
        <f>D86-$K23</f>
        <v>94</v>
      </c>
      <c r="F86" s="493">
        <f>E86-$K23</f>
        <v>91</v>
      </c>
      <c r="G86" s="493">
        <f>F86-$K23</f>
        <v>88</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1805</v>
      </c>
      <c r="C87" s="503"/>
      <c r="D87" s="503"/>
      <c r="E87" s="503"/>
      <c r="F87" s="503"/>
      <c r="G87" s="503"/>
      <c r="H87" s="503"/>
      <c r="I87" s="503"/>
      <c r="J87" s="503"/>
      <c r="K87" s="503"/>
      <c r="L87" s="529"/>
      <c r="M87" s="530"/>
      <c r="N87" s="2728"/>
      <c r="O87" s="2728"/>
      <c r="P87" s="2738"/>
      <c r="Q87" s="2715"/>
      <c r="R87" s="2638"/>
      <c r="S87" s="2638"/>
      <c r="T87" s="2638"/>
      <c r="U87" s="2638"/>
      <c r="V87" s="2638"/>
      <c r="W87" s="2638"/>
      <c r="X87" s="2638"/>
      <c r="Y87" s="2638"/>
      <c r="Z87" s="2638"/>
      <c r="AA87" s="2638"/>
      <c r="AB87" s="2638"/>
      <c r="AC87" s="2638"/>
    </row>
    <row r="88" spans="1:29" s="108" customFormat="1" ht="15.75" thickBot="1">
      <c r="A88" s="528"/>
      <c r="B88" s="492"/>
      <c r="C88" s="531">
        <v>100</v>
      </c>
      <c r="D88" s="493">
        <f t="shared" ref="D88:M88" si="21">C88-$K25</f>
        <v>100</v>
      </c>
      <c r="E88" s="493">
        <f t="shared" si="21"/>
        <v>100</v>
      </c>
      <c r="F88" s="493">
        <f t="shared" si="21"/>
        <v>100</v>
      </c>
      <c r="G88" s="493">
        <f t="shared" si="21"/>
        <v>100</v>
      </c>
      <c r="H88" s="493">
        <f t="shared" si="21"/>
        <v>100</v>
      </c>
      <c r="I88" s="493">
        <f t="shared" si="21"/>
        <v>100</v>
      </c>
      <c r="J88" s="493">
        <f t="shared" si="21"/>
        <v>100</v>
      </c>
      <c r="K88" s="493">
        <f t="shared" si="21"/>
        <v>100</v>
      </c>
      <c r="L88" s="493">
        <f t="shared" si="21"/>
        <v>100</v>
      </c>
      <c r="M88" s="493">
        <f t="shared" si="21"/>
        <v>100</v>
      </c>
      <c r="N88" s="2730"/>
      <c r="O88" s="2730"/>
      <c r="P88" s="2738"/>
      <c r="Q88" s="2715"/>
      <c r="R88" s="2638"/>
      <c r="S88" s="2638"/>
      <c r="T88" s="2638"/>
      <c r="U88" s="2638"/>
      <c r="V88" s="2638"/>
      <c r="W88" s="2638"/>
      <c r="X88" s="2638"/>
      <c r="Y88" s="2638"/>
      <c r="Z88" s="2638"/>
      <c r="AA88" s="2638"/>
      <c r="AB88" s="2638"/>
      <c r="AC88" s="2638"/>
    </row>
    <row r="89" spans="1:29" s="108" customFormat="1" ht="15.75" thickTop="1">
      <c r="A89" s="528"/>
      <c r="B89" s="487" t="str">
        <f>B27</f>
        <v>楼层</v>
      </c>
      <c r="C89" s="503"/>
      <c r="D89" s="503"/>
      <c r="E89" s="503"/>
      <c r="F89" s="1927"/>
      <c r="G89" s="503"/>
      <c r="H89" s="503"/>
      <c r="I89" s="503"/>
      <c r="J89" s="503"/>
      <c r="K89" s="503"/>
      <c r="L89" s="503"/>
      <c r="M89" s="530"/>
      <c r="N89" s="2728"/>
      <c r="O89" s="2728"/>
      <c r="P89" s="2738"/>
      <c r="Q89" s="2715"/>
      <c r="R89" s="2638"/>
      <c r="S89" s="2638"/>
      <c r="T89" s="2638"/>
      <c r="U89" s="2638"/>
      <c r="V89" s="2638"/>
      <c r="W89" s="2638"/>
      <c r="X89" s="2638"/>
      <c r="Y89" s="2638"/>
      <c r="Z89" s="2638"/>
      <c r="AA89" s="2638"/>
      <c r="AB89" s="2638"/>
      <c r="AC89" s="2638"/>
    </row>
    <row r="90" spans="1:29" s="108" customFormat="1" ht="15.75" thickBot="1">
      <c r="A90" s="528"/>
      <c r="B90" s="492"/>
      <c r="C90" s="531">
        <v>100</v>
      </c>
      <c r="D90" s="493">
        <f>C90-$K27</f>
        <v>100</v>
      </c>
      <c r="E90" s="493">
        <f t="shared" ref="E90:M90" si="22">D90-$K27</f>
        <v>100</v>
      </c>
      <c r="F90" s="493">
        <f t="shared" si="22"/>
        <v>100</v>
      </c>
      <c r="G90" s="493">
        <f t="shared" si="22"/>
        <v>100</v>
      </c>
      <c r="H90" s="493">
        <f t="shared" si="22"/>
        <v>100</v>
      </c>
      <c r="I90" s="493">
        <f t="shared" si="22"/>
        <v>100</v>
      </c>
      <c r="J90" s="493">
        <f t="shared" si="22"/>
        <v>100</v>
      </c>
      <c r="K90" s="493">
        <f t="shared" si="22"/>
        <v>100</v>
      </c>
      <c r="L90" s="493">
        <f t="shared" si="22"/>
        <v>100</v>
      </c>
      <c r="M90" s="493">
        <f t="shared" si="22"/>
        <v>100</v>
      </c>
      <c r="N90" s="2730"/>
      <c r="O90" s="2730"/>
      <c r="P90" s="2738"/>
      <c r="Q90" s="2715"/>
      <c r="R90" s="2638"/>
      <c r="S90" s="2638"/>
      <c r="T90" s="2638"/>
      <c r="U90" s="2638"/>
      <c r="V90" s="2638"/>
      <c r="W90" s="2638"/>
      <c r="X90" s="2638"/>
      <c r="Y90" s="2638"/>
      <c r="Z90" s="2638"/>
      <c r="AA90" s="2638"/>
      <c r="AB90" s="2638"/>
      <c r="AC90" s="2638"/>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3">C92-$K28</f>
        <v>100</v>
      </c>
      <c r="E92" s="493">
        <f t="shared" si="23"/>
        <v>100</v>
      </c>
      <c r="F92" s="493">
        <f t="shared" si="23"/>
        <v>100</v>
      </c>
      <c r="G92" s="493">
        <f t="shared" si="23"/>
        <v>100</v>
      </c>
      <c r="H92" s="493">
        <f t="shared" si="23"/>
        <v>100</v>
      </c>
      <c r="I92" s="493">
        <f t="shared" si="23"/>
        <v>100</v>
      </c>
      <c r="J92" s="493">
        <f t="shared" si="23"/>
        <v>100</v>
      </c>
      <c r="K92" s="493">
        <f t="shared" si="23"/>
        <v>100</v>
      </c>
      <c r="L92" s="493">
        <f t="shared" si="23"/>
        <v>100</v>
      </c>
      <c r="M92" s="493">
        <f t="shared" si="23"/>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8"/>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1676</v>
      </c>
      <c r="B101" s="477" t="s">
        <v>1718</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4">C102-$K33</f>
        <v>98</v>
      </c>
      <c r="E102" s="493">
        <f t="shared" si="24"/>
        <v>96</v>
      </c>
      <c r="F102" s="493">
        <f t="shared" si="24"/>
        <v>94</v>
      </c>
      <c r="G102" s="493">
        <f t="shared" si="24"/>
        <v>92</v>
      </c>
      <c r="H102" s="493">
        <f t="shared" si="24"/>
        <v>90</v>
      </c>
      <c r="I102" s="493">
        <f t="shared" si="24"/>
        <v>88</v>
      </c>
      <c r="J102" s="493">
        <f t="shared" si="24"/>
        <v>86</v>
      </c>
      <c r="K102" s="493">
        <f t="shared" si="24"/>
        <v>84</v>
      </c>
      <c r="L102" s="493">
        <f t="shared" si="24"/>
        <v>82</v>
      </c>
      <c r="M102" s="494">
        <f t="shared" si="24"/>
        <v>80</v>
      </c>
      <c r="N102" s="2730"/>
      <c r="O102" s="2730"/>
      <c r="P102" s="2738"/>
      <c r="Q102" s="2715"/>
      <c r="R102" s="2701"/>
      <c r="S102" s="2701"/>
      <c r="T102" s="2701"/>
      <c r="U102" s="2701"/>
      <c r="V102" s="2701"/>
      <c r="W102" s="2701"/>
      <c r="X102" s="2701"/>
      <c r="Y102" s="2701"/>
      <c r="Z102" s="2701"/>
      <c r="AA102" s="2701"/>
      <c r="AB102" s="2701"/>
      <c r="AC102" s="2701"/>
    </row>
    <row r="103" spans="1:29" ht="29.25" thickTop="1">
      <c r="A103" s="483"/>
      <c r="B103" s="487" t="s">
        <v>1719</v>
      </c>
      <c r="C103" s="527" t="str">
        <f>C104&amp;"(含)"&amp;"-"&amp;D104</f>
        <v>0(含)-10000</v>
      </c>
      <c r="D103" s="527" t="str">
        <f t="shared" ref="D103:L103" si="25">D104&amp;"(含)"&amp;"-"&amp;E104</f>
        <v>10000(含)-60000</v>
      </c>
      <c r="E103" s="527" t="str">
        <f t="shared" si="25"/>
        <v>60000(含)-100000</v>
      </c>
      <c r="F103" s="527" t="str">
        <f t="shared" si="25"/>
        <v>100000(含)-300000</v>
      </c>
      <c r="G103" s="527" t="str">
        <f t="shared" si="25"/>
        <v>300000(含)-</v>
      </c>
      <c r="H103" s="527" t="str">
        <f t="shared" si="25"/>
        <v>(含)-</v>
      </c>
      <c r="I103" s="527" t="str">
        <f t="shared" si="25"/>
        <v>(含)-</v>
      </c>
      <c r="J103" s="527" t="str">
        <f t="shared" si="25"/>
        <v>(含)-</v>
      </c>
      <c r="K103" s="527" t="str">
        <f t="shared" si="25"/>
        <v>(含)-</v>
      </c>
      <c r="L103" s="527" t="str">
        <f t="shared" si="25"/>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v>0</v>
      </c>
      <c r="D104" s="544">
        <v>10000</v>
      </c>
      <c r="E104" s="544">
        <v>60000</v>
      </c>
      <c r="F104" s="544">
        <v>100000</v>
      </c>
      <c r="G104" s="544">
        <v>300000</v>
      </c>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v>100</v>
      </c>
      <c r="D105" s="485">
        <f>C105-4</f>
        <v>96</v>
      </c>
      <c r="E105" s="485">
        <f>D105-4</f>
        <v>92</v>
      </c>
      <c r="F105" s="485">
        <f>E105-4</f>
        <v>88</v>
      </c>
      <c r="G105" s="485">
        <f>F105-4</f>
        <v>84</v>
      </c>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1720</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6">C107-$K35</f>
        <v>98</v>
      </c>
      <c r="E107" s="493">
        <f t="shared" si="26"/>
        <v>96</v>
      </c>
      <c r="F107" s="493">
        <f t="shared" si="26"/>
        <v>94</v>
      </c>
      <c r="G107" s="493">
        <f t="shared" si="26"/>
        <v>92</v>
      </c>
      <c r="H107" s="493">
        <f t="shared" si="26"/>
        <v>90</v>
      </c>
      <c r="I107" s="493">
        <f t="shared" si="26"/>
        <v>88</v>
      </c>
      <c r="J107" s="493">
        <f t="shared" si="26"/>
        <v>86</v>
      </c>
      <c r="K107" s="493">
        <f t="shared" si="26"/>
        <v>84</v>
      </c>
      <c r="L107" s="493">
        <f t="shared" si="26"/>
        <v>82</v>
      </c>
      <c r="M107" s="494">
        <f t="shared" si="26"/>
        <v>80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1722</v>
      </c>
      <c r="C108" s="503" t="s">
        <v>3551</v>
      </c>
      <c r="D108" s="503" t="s">
        <v>3558</v>
      </c>
      <c r="E108" s="503" t="s">
        <v>3559</v>
      </c>
      <c r="F108" s="532" t="s">
        <v>3560</v>
      </c>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7">C109-$K36</f>
        <v>98</v>
      </c>
      <c r="E109" s="493">
        <f t="shared" si="27"/>
        <v>96</v>
      </c>
      <c r="F109" s="493">
        <f t="shared" si="27"/>
        <v>94</v>
      </c>
      <c r="G109" s="493">
        <f t="shared" si="27"/>
        <v>92</v>
      </c>
      <c r="H109" s="493">
        <f t="shared" si="27"/>
        <v>90</v>
      </c>
      <c r="I109" s="493">
        <f t="shared" si="27"/>
        <v>88</v>
      </c>
      <c r="J109" s="493">
        <f t="shared" si="27"/>
        <v>86</v>
      </c>
      <c r="K109" s="493">
        <f t="shared" si="27"/>
        <v>84</v>
      </c>
      <c r="L109" s="493">
        <f t="shared" si="27"/>
        <v>82</v>
      </c>
      <c r="M109" s="494">
        <f t="shared" si="27"/>
        <v>80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101</v>
      </c>
      <c r="E112" s="493">
        <f t="shared" ref="E112:M112" si="28">D112+$K37</f>
        <v>102</v>
      </c>
      <c r="F112" s="493">
        <f t="shared" si="28"/>
        <v>103</v>
      </c>
      <c r="G112" s="493">
        <f t="shared" si="28"/>
        <v>104</v>
      </c>
      <c r="H112" s="493">
        <f t="shared" si="28"/>
        <v>105</v>
      </c>
      <c r="I112" s="493">
        <f t="shared" si="28"/>
        <v>106</v>
      </c>
      <c r="J112" s="493">
        <f t="shared" si="28"/>
        <v>107</v>
      </c>
      <c r="K112" s="493">
        <f t="shared" si="28"/>
        <v>108</v>
      </c>
      <c r="L112" s="493">
        <f t="shared" si="28"/>
        <v>109</v>
      </c>
      <c r="M112" s="493">
        <f t="shared" si="28"/>
        <v>110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1806</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9">D114-$K38</f>
        <v>100</v>
      </c>
      <c r="F114" s="493">
        <f t="shared" si="29"/>
        <v>100</v>
      </c>
      <c r="G114" s="493">
        <f t="shared" si="29"/>
        <v>100</v>
      </c>
      <c r="H114" s="493">
        <f t="shared" si="29"/>
        <v>100</v>
      </c>
      <c r="I114" s="493">
        <f t="shared" si="29"/>
        <v>100</v>
      </c>
      <c r="J114" s="493">
        <f t="shared" si="29"/>
        <v>100</v>
      </c>
      <c r="K114" s="493">
        <f t="shared" si="29"/>
        <v>100</v>
      </c>
      <c r="L114" s="493">
        <f t="shared" si="29"/>
        <v>100</v>
      </c>
      <c r="M114" s="493">
        <f t="shared" si="29"/>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1723</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30">C116-$K39</f>
        <v>98</v>
      </c>
      <c r="E116" s="493">
        <f t="shared" si="30"/>
        <v>96</v>
      </c>
      <c r="F116" s="493">
        <f t="shared" si="30"/>
        <v>94</v>
      </c>
      <c r="G116" s="493">
        <f t="shared" si="30"/>
        <v>92</v>
      </c>
      <c r="H116" s="493">
        <f t="shared" si="30"/>
        <v>90</v>
      </c>
      <c r="I116" s="493">
        <f t="shared" si="30"/>
        <v>88</v>
      </c>
      <c r="J116" s="493">
        <f t="shared" si="30"/>
        <v>86</v>
      </c>
      <c r="K116" s="493">
        <f t="shared" si="30"/>
        <v>84</v>
      </c>
      <c r="L116" s="493">
        <f t="shared" si="30"/>
        <v>82</v>
      </c>
      <c r="M116" s="494">
        <f t="shared" si="30"/>
        <v>80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1724</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98</v>
      </c>
      <c r="E118" s="493">
        <f>D118-$K40</f>
        <v>96</v>
      </c>
      <c r="F118" s="493">
        <f>E118-$K40</f>
        <v>94</v>
      </c>
      <c r="G118" s="493">
        <f>F118-$K40</f>
        <v>92</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1807</v>
      </c>
      <c r="C119" s="532"/>
      <c r="D119" s="532"/>
      <c r="E119" s="532"/>
      <c r="F119" s="532"/>
      <c r="G119" s="532"/>
      <c r="H119" s="532"/>
      <c r="I119" s="532"/>
      <c r="J119" s="532"/>
      <c r="K119" s="532"/>
      <c r="L119" s="1968"/>
      <c r="M119" s="1969"/>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98</v>
      </c>
      <c r="E120" s="493">
        <f t="shared" ref="E120:M120" si="31">D120-$K41</f>
        <v>96</v>
      </c>
      <c r="F120" s="493">
        <f t="shared" si="31"/>
        <v>94</v>
      </c>
      <c r="G120" s="493">
        <f t="shared" si="31"/>
        <v>92</v>
      </c>
      <c r="H120" s="493">
        <f t="shared" si="31"/>
        <v>90</v>
      </c>
      <c r="I120" s="493">
        <f t="shared" si="31"/>
        <v>88</v>
      </c>
      <c r="J120" s="493">
        <f t="shared" si="31"/>
        <v>86</v>
      </c>
      <c r="K120" s="493">
        <f t="shared" si="31"/>
        <v>84</v>
      </c>
      <c r="L120" s="493">
        <f t="shared" si="31"/>
        <v>82</v>
      </c>
      <c r="M120" s="493">
        <f t="shared" si="31"/>
        <v>80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1790</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1726</v>
      </c>
      <c r="C123" s="503" t="str">
        <f>C108</f>
        <v>精装修</v>
      </c>
      <c r="D123" s="503" t="str">
        <f>D108</f>
        <v>普通装修</v>
      </c>
      <c r="E123" s="503" t="str">
        <f>E108</f>
        <v>简单装修</v>
      </c>
      <c r="F123" s="503" t="str">
        <f>F108</f>
        <v>毛坯</v>
      </c>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2">C124-$K43</f>
        <v>98</v>
      </c>
      <c r="E124" s="493">
        <f t="shared" si="32"/>
        <v>96</v>
      </c>
      <c r="F124" s="493">
        <f t="shared" si="32"/>
        <v>94</v>
      </c>
      <c r="G124" s="493">
        <f t="shared" si="32"/>
        <v>92</v>
      </c>
      <c r="H124" s="493">
        <f t="shared" si="32"/>
        <v>90</v>
      </c>
      <c r="I124" s="493">
        <f t="shared" si="32"/>
        <v>88</v>
      </c>
      <c r="J124" s="493">
        <f t="shared" si="32"/>
        <v>86</v>
      </c>
      <c r="K124" s="493">
        <f t="shared" si="32"/>
        <v>84</v>
      </c>
      <c r="L124" s="493">
        <f t="shared" si="32"/>
        <v>82</v>
      </c>
      <c r="M124" s="494">
        <f t="shared" si="32"/>
        <v>80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1727</v>
      </c>
      <c r="C125" s="527" t="s">
        <v>1703</v>
      </c>
      <c r="D125" s="527" t="s">
        <v>1704</v>
      </c>
      <c r="E125" s="527" t="s">
        <v>1705</v>
      </c>
      <c r="F125" s="527" t="s">
        <v>1706</v>
      </c>
      <c r="G125" s="527" t="s">
        <v>1707</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0</v>
      </c>
      <c r="C127" s="503">
        <f>C45</f>
        <v>0.2</v>
      </c>
      <c r="D127" s="503">
        <f>E45</f>
        <v>0</v>
      </c>
      <c r="E127" s="503">
        <f>G45</f>
        <v>0</v>
      </c>
      <c r="F127" s="503">
        <f>I45</f>
        <v>0</v>
      </c>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t="str">
        <f>B46</f>
        <v>地下面积占比</v>
      </c>
      <c r="C129" s="3531">
        <v>0</v>
      </c>
      <c r="D129" s="503" t="s">
        <v>4620</v>
      </c>
      <c r="E129" s="503" t="s">
        <v>4621</v>
      </c>
      <c r="F129" s="503" t="s">
        <v>4622</v>
      </c>
      <c r="G129" s="532" t="s">
        <v>4623</v>
      </c>
      <c r="H129" s="532" t="s">
        <v>4624</v>
      </c>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v>100</v>
      </c>
      <c r="D130" s="509">
        <f>C130-2</f>
        <v>98</v>
      </c>
      <c r="E130" s="509">
        <f>D130-2</f>
        <v>96</v>
      </c>
      <c r="F130" s="509">
        <f>E130-2</f>
        <v>94</v>
      </c>
      <c r="G130" s="509">
        <f>F130-2</f>
        <v>92</v>
      </c>
      <c r="H130" s="509">
        <f>G130-2</f>
        <v>90</v>
      </c>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t="str">
        <f>B47</f>
        <v>建成年代</v>
      </c>
      <c r="C131" s="472">
        <v>1998</v>
      </c>
      <c r="D131" s="472">
        <v>2008</v>
      </c>
      <c r="E131" s="472">
        <v>2009</v>
      </c>
      <c r="F131" s="472">
        <v>2015</v>
      </c>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8"/>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5"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9" zoomScale="90" zoomScaleNormal="70" zoomScaleSheetLayoutView="9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4664</v>
      </c>
      <c r="D1" s="1362" t="s">
        <v>43</v>
      </c>
      <c r="E1" s="1363" t="s">
        <v>678</v>
      </c>
      <c r="F1" s="1062">
        <f ca="1">J53</f>
        <v>20.84</v>
      </c>
      <c r="G1" s="1378">
        <f>MATCH(C1,'数据-取费表'!A6:A16,0)+5</f>
        <v>6</v>
      </c>
      <c r="H1" s="2668"/>
      <c r="I1" s="3534">
        <f ca="1">F6*F7*F8/10000</f>
        <v>7441.2638512499989</v>
      </c>
      <c r="J1" s="3534">
        <f>14142*0.05</f>
        <v>707.1</v>
      </c>
      <c r="K1" s="3535">
        <f>14142-707</f>
        <v>13435</v>
      </c>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86200</v>
      </c>
      <c r="C2" s="1387" t="s">
        <v>805</v>
      </c>
      <c r="D2" s="1387"/>
      <c r="E2" s="1388"/>
      <c r="F2" s="1389"/>
      <c r="G2" s="2682"/>
      <c r="H2" s="2671"/>
      <c r="I2" s="2671"/>
      <c r="J2" s="2671"/>
      <c r="K2" s="2672"/>
      <c r="L2" s="2671"/>
      <c r="M2" s="2671"/>
    </row>
    <row r="3" spans="1:37" ht="18" customHeight="1" thickBot="1">
      <c r="A3" s="1390" t="s">
        <v>806</v>
      </c>
      <c r="B3" s="1391">
        <f ca="1">IF(ISERROR(B2*10000/F43),0,ROUND(B2*10000/F43,0))</f>
        <v>26849</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7450</v>
      </c>
      <c r="D5" s="1364" t="s">
        <v>693</v>
      </c>
      <c r="E5" s="1071"/>
      <c r="F5" s="1072"/>
      <c r="G5" s="1384"/>
      <c r="H5" s="299">
        <v>1</v>
      </c>
      <c r="I5" s="300" t="s">
        <v>692</v>
      </c>
      <c r="J5" s="1070">
        <f ca="1">J6+J10+J12</f>
        <v>8543</v>
      </c>
      <c r="K5" s="1364" t="s">
        <v>693</v>
      </c>
      <c r="L5" s="1071"/>
      <c r="M5" s="1072"/>
    </row>
    <row r="6" spans="1:37" ht="18" customHeight="1">
      <c r="A6" s="1069" t="s">
        <v>398</v>
      </c>
      <c r="B6" s="3819" t="s">
        <v>694</v>
      </c>
      <c r="C6" s="1074">
        <f ca="1">ROUND(F6*F8*F7*(1-F9)/10000,0)</f>
        <v>7441</v>
      </c>
      <c r="D6" s="155" t="s">
        <v>2091</v>
      </c>
      <c r="E6" s="302" t="s">
        <v>696</v>
      </c>
      <c r="F6" s="303">
        <f ca="1">INDIRECT("'数据-取费表'!u"&amp;$G$1)</f>
        <v>6.35</v>
      </c>
      <c r="G6" s="1384"/>
      <c r="H6" s="1069" t="s">
        <v>398</v>
      </c>
      <c r="I6" s="3819" t="s">
        <v>694</v>
      </c>
      <c r="J6" s="301">
        <f ca="1">ROUND(M6*M8*M7*(1-M9)/10000,0)</f>
        <v>8543</v>
      </c>
      <c r="K6" s="155" t="s">
        <v>2090</v>
      </c>
      <c r="L6" s="302" t="s">
        <v>696</v>
      </c>
      <c r="M6" s="303">
        <f ca="1">INDIRECT("'数据-取费表'!z"&amp;$G$1)</f>
        <v>8.1</v>
      </c>
    </row>
    <row r="7" spans="1:37" ht="18" customHeight="1">
      <c r="A7" s="1073"/>
      <c r="B7" s="3820"/>
      <c r="C7" s="1075"/>
      <c r="D7" s="307"/>
      <c r="E7" s="1076" t="s">
        <v>697</v>
      </c>
      <c r="F7" s="303">
        <f ca="1">IF(INDIRECT("'数据-取费表'!ah"&amp;$G$1)="",INDIRECT("'数据-取费表'!k"&amp;$G$1),INDIRECT("'数据-取费表'!ah"&amp;$G$1))</f>
        <v>32105.549999999996</v>
      </c>
      <c r="G7" s="1384"/>
      <c r="H7" s="304"/>
      <c r="I7" s="3820"/>
      <c r="J7" s="306"/>
      <c r="K7" s="307"/>
      <c r="L7" s="302" t="s">
        <v>697</v>
      </c>
      <c r="M7" s="303">
        <f ca="1">F7</f>
        <v>32105.549999999996</v>
      </c>
    </row>
    <row r="8" spans="1:37" ht="18" customHeight="1">
      <c r="A8" s="304"/>
      <c r="B8" s="3820"/>
      <c r="C8" s="306"/>
      <c r="D8" s="307"/>
      <c r="E8" s="302" t="s">
        <v>698</v>
      </c>
      <c r="F8" s="303">
        <f ca="1">INDIRECT("'数据-取费表'!ai"&amp;$G$1)</f>
        <v>365</v>
      </c>
      <c r="G8" s="1384"/>
      <c r="H8" s="304"/>
      <c r="I8" s="3820"/>
      <c r="J8" s="306"/>
      <c r="K8" s="307"/>
      <c r="L8" s="302" t="s">
        <v>698</v>
      </c>
      <c r="M8" s="303">
        <f ca="1">INDIRECT("'数据-取费表'!ai"&amp;$G$1)</f>
        <v>365</v>
      </c>
    </row>
    <row r="9" spans="1:37" ht="18" customHeight="1">
      <c r="A9" s="304"/>
      <c r="B9" s="3821"/>
      <c r="C9" s="306"/>
      <c r="D9" s="307"/>
      <c r="E9" s="302" t="s">
        <v>699</v>
      </c>
      <c r="F9" s="312">
        <f ca="1">INDIRECT("'数据-取费表'!w"&amp;$G$1)</f>
        <v>0</v>
      </c>
      <c r="G9" s="1384"/>
      <c r="H9" s="304"/>
      <c r="I9" s="3821"/>
      <c r="J9" s="306"/>
      <c r="K9" s="307"/>
      <c r="L9" s="313" t="s">
        <v>699</v>
      </c>
      <c r="M9" s="314">
        <f ca="1">INDIRECT("'数据-取费表'!ab"&amp;$G$1)</f>
        <v>0.1</v>
      </c>
    </row>
    <row r="10" spans="1:37" ht="18" customHeight="1">
      <c r="A10" s="1069" t="s">
        <v>402</v>
      </c>
      <c r="B10" s="1365" t="s">
        <v>700</v>
      </c>
      <c r="C10" s="316">
        <f ca="1">ROUND(IF(F10="押一",C6/12*F11,IF(F10="押二",C6/12*2*F11,IF(F10="押三",C6/12*3*F11,C11*F11))),0)</f>
        <v>9</v>
      </c>
      <c r="D10" s="1366" t="s">
        <v>2099</v>
      </c>
      <c r="E10" s="313" t="s">
        <v>701</v>
      </c>
      <c r="F10" s="1116" t="s">
        <v>3386</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18028</v>
      </c>
      <c r="D13" s="1081" t="s">
        <v>705</v>
      </c>
      <c r="E13" s="1081" t="s">
        <v>706</v>
      </c>
      <c r="F13" s="1082">
        <f ca="1">INDIRECT("'数据-取费表'!y"&amp;$G$1)</f>
        <v>0.79</v>
      </c>
      <c r="G13" s="1384"/>
      <c r="H13" s="1079">
        <v>2</v>
      </c>
      <c r="I13" s="1080" t="s">
        <v>704</v>
      </c>
      <c r="J13" s="1068">
        <f ca="1">ROUND(J14*J15,0)</f>
        <v>15746</v>
      </c>
      <c r="K13" s="1087" t="s">
        <v>705</v>
      </c>
      <c r="L13" s="1392"/>
      <c r="M13" s="1393"/>
    </row>
    <row r="14" spans="1:37" ht="18" customHeight="1">
      <c r="A14" s="982" t="s">
        <v>397</v>
      </c>
      <c r="B14" s="302" t="s">
        <v>707</v>
      </c>
      <c r="C14" s="318">
        <f ca="1">INDIRECT("'数据-取费表'!m"&amp;$G$1)+INDIRECT("'数据-取费表'!t"&amp;$G$1)</f>
        <v>16053</v>
      </c>
      <c r="D14" s="1345" t="s">
        <v>708</v>
      </c>
      <c r="E14" s="1342"/>
      <c r="F14" s="319"/>
      <c r="G14" s="1384"/>
      <c r="H14" s="982" t="s">
        <v>398</v>
      </c>
      <c r="I14" s="302" t="s">
        <v>709</v>
      </c>
      <c r="J14" s="21">
        <f ca="1">C29</f>
        <v>22820</v>
      </c>
      <c r="K14" s="12"/>
      <c r="L14" s="807"/>
      <c r="M14" s="808"/>
    </row>
    <row r="15" spans="1:37" s="1397" customFormat="1" ht="18" customHeight="1" thickBot="1">
      <c r="A15" s="982" t="s">
        <v>399</v>
      </c>
      <c r="B15" s="302" t="s">
        <v>710</v>
      </c>
      <c r="C15" s="21">
        <f ca="1">ROUND(C14*F15,0)</f>
        <v>482</v>
      </c>
      <c r="D15" s="320" t="s">
        <v>711</v>
      </c>
      <c r="E15" s="320" t="s">
        <v>712</v>
      </c>
      <c r="F15" s="321">
        <f>'数据-取费表'!B33</f>
        <v>0.03</v>
      </c>
      <c r="G15" s="1396"/>
      <c r="H15" s="1089" t="s">
        <v>402</v>
      </c>
      <c r="I15" s="1090" t="s">
        <v>706</v>
      </c>
      <c r="J15" s="1099">
        <f ca="1">INDIRECT("'数据-取费表'!ad"&amp;$G$1)</f>
        <v>0.69</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1542</v>
      </c>
      <c r="K16" s="1087" t="s">
        <v>715</v>
      </c>
      <c r="L16" s="1088"/>
      <c r="M16" s="1072"/>
    </row>
    <row r="17" spans="1:37" s="1397" customFormat="1" ht="18" customHeight="1">
      <c r="A17" s="982" t="s">
        <v>681</v>
      </c>
      <c r="B17" s="302" t="s">
        <v>716</v>
      </c>
      <c r="C17" s="21">
        <f ca="1">ROUND(F17*(F43+INDIRECT("'数据-取费表'!S"&amp;$G$1))/10000,0)</f>
        <v>578</v>
      </c>
      <c r="D17" s="302" t="s">
        <v>717</v>
      </c>
      <c r="E17" s="302" t="s">
        <v>718</v>
      </c>
      <c r="F17" s="23">
        <f>'数据-取费表'!B35</f>
        <v>180</v>
      </c>
      <c r="G17" s="1396"/>
      <c r="H17" s="982" t="s">
        <v>398</v>
      </c>
      <c r="I17" s="302" t="s">
        <v>719</v>
      </c>
      <c r="J17" s="2316">
        <f ca="1">ROUND(IF(AND(项目基本情况!B11="自然人",项目基本情况!B10="北京市"),J6*M17/(1+'数据-取费表'!C42),J18+J19+J20),2)</f>
        <v>1431.97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321</v>
      </c>
      <c r="D18" s="302" t="s">
        <v>711</v>
      </c>
      <c r="E18" s="302" t="s">
        <v>712</v>
      </c>
      <c r="F18" s="322">
        <f>'数据-取费表'!B36</f>
        <v>0.02</v>
      </c>
      <c r="G18" s="1396"/>
      <c r="H18" s="982" t="s">
        <v>397</v>
      </c>
      <c r="I18" s="302" t="s">
        <v>723</v>
      </c>
      <c r="J18" s="21">
        <f ca="1">ROUND(J6*M18/(1+'数据-取费表'!C42),2)</f>
        <v>455.63</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17434</v>
      </c>
      <c r="D19" s="131" t="s">
        <v>726</v>
      </c>
      <c r="E19" s="1360"/>
      <c r="F19" s="23"/>
      <c r="G19" s="1384"/>
      <c r="H19" s="982" t="s">
        <v>399</v>
      </c>
      <c r="I19" s="302" t="s">
        <v>727</v>
      </c>
      <c r="J19" s="21">
        <f ca="1">IF(K19="按租金收入计税",ROUND(J6*M19/(1+'数据-取费表'!C42),2),ROUND(C29*M19*0.7,2))</f>
        <v>976.34</v>
      </c>
      <c r="K19" s="1370" t="s">
        <v>3317</v>
      </c>
      <c r="L19" s="302" t="s">
        <v>712</v>
      </c>
      <c r="M19" s="322">
        <f>IF(K19="按租金收入计税",'数据-取费表'!B51,'数据-取费表'!B50)</f>
        <v>0.12</v>
      </c>
    </row>
    <row r="20" spans="1:37" s="1397" customFormat="1" ht="18" customHeight="1">
      <c r="A20" s="982" t="s">
        <v>402</v>
      </c>
      <c r="B20" s="302" t="s">
        <v>728</v>
      </c>
      <c r="C20" s="21">
        <f ca="1">ROUND(C19*F20,0)</f>
        <v>349</v>
      </c>
      <c r="D20" s="323" t="s">
        <v>729</v>
      </c>
      <c r="E20" s="302" t="s">
        <v>712</v>
      </c>
      <c r="F20" s="322">
        <f>'数据-取费表'!B37</f>
        <v>0.02</v>
      </c>
      <c r="G20" s="1396"/>
      <c r="H20" s="982" t="s">
        <v>680</v>
      </c>
      <c r="I20" s="155" t="s">
        <v>730</v>
      </c>
      <c r="J20" s="22">
        <f ca="1">ROUND(M20*M21/10000,2)</f>
        <v>0</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68.459999999999994</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613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15.75</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25.63</v>
      </c>
      <c r="K24" s="1092" t="s">
        <v>748</v>
      </c>
      <c r="L24" s="1090" t="s">
        <v>744</v>
      </c>
      <c r="M24" s="1086">
        <f ca="1">INDIRECT("'数据-取费表'!Am"&amp;$G$1)</f>
        <v>3.0000000000000001E-3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7001</v>
      </c>
      <c r="K25" s="1095" t="s">
        <v>753</v>
      </c>
      <c r="L25" s="1096"/>
      <c r="M25" s="1097"/>
    </row>
    <row r="26" spans="1:37">
      <c r="A26" s="982" t="s">
        <v>397</v>
      </c>
      <c r="B26" s="302" t="s">
        <v>754</v>
      </c>
      <c r="C26" s="21">
        <f ca="1">ROUND((C19+C20)*F26,0)</f>
        <v>2667</v>
      </c>
      <c r="D26" s="323" t="s">
        <v>755</v>
      </c>
      <c r="E26" s="313" t="s">
        <v>756</v>
      </c>
      <c r="F26" s="312">
        <f ca="1">INDIRECT("'数据-取费表'!q"&amp;$G$1)</f>
        <v>0.15</v>
      </c>
      <c r="G26" s="1384"/>
      <c r="H26" s="299" t="s">
        <v>395</v>
      </c>
      <c r="I26" s="300" t="s">
        <v>757</v>
      </c>
      <c r="J26" s="301">
        <f ca="1">IF(J5&lt;&gt;0,ROUND(J25*(1-((1+M28)/(1+M26))^M27)/(M26-M28),0),0)</f>
        <v>67857</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11.91</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2.5000000000000001E-2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22820</v>
      </c>
      <c r="D29" s="1092"/>
      <c r="E29" s="1090"/>
      <c r="F29" s="1093"/>
      <c r="G29" s="1396"/>
      <c r="H29" s="334" t="s">
        <v>396</v>
      </c>
      <c r="I29" s="335" t="s">
        <v>768</v>
      </c>
      <c r="J29" s="336">
        <f ca="1">ROUND(J26/(1+F40)^F41,0)</f>
        <v>42068</v>
      </c>
      <c r="K29" s="337" t="s">
        <v>769</v>
      </c>
      <c r="L29" s="338"/>
      <c r="M29" s="339">
        <f ca="1">INDIRECT("'数据-取费表'!k"&amp;$G$1)</f>
        <v>32105.549999999996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1356</v>
      </c>
      <c r="D30" s="1087" t="s">
        <v>715</v>
      </c>
      <c r="E30" s="1088"/>
      <c r="F30" s="1072"/>
      <c r="G30" s="1384"/>
      <c r="H30" s="2673"/>
      <c r="I30" s="1398"/>
      <c r="J30" s="1399"/>
      <c r="K30" s="2471"/>
      <c r="L30" s="2674"/>
      <c r="M30" s="2675"/>
    </row>
    <row r="31" spans="1:37" ht="18" customHeight="1">
      <c r="A31" s="982" t="s">
        <v>398</v>
      </c>
      <c r="B31" s="302" t="s">
        <v>719</v>
      </c>
      <c r="C31" s="2316">
        <f ca="1">ROUND(IF(AND(项目基本情况!B11="自然人",项目基本情况!B10="北京市"),C6*F31/(1+'数据-取费表'!C42),C32+C33+C34),2)</f>
        <v>1247.25</v>
      </c>
      <c r="D31" s="1345" t="s">
        <v>720</v>
      </c>
      <c r="E31" s="1344"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f ca="1">IF(项目基本情况!B11="自然人","——",ROUND(C6*F32/(1+'数据-取费表'!C42),2))</f>
        <v>396.85</v>
      </c>
      <c r="D32" s="1344"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850.4</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68.459999999999994</v>
      </c>
      <c r="D36" s="1344" t="s">
        <v>771</v>
      </c>
      <c r="E36" s="302" t="s">
        <v>712</v>
      </c>
      <c r="F36" s="328">
        <f ca="1">INDIRECT("'数据-取费表'!Ak"&amp;$G$1)</f>
        <v>3.0000000000000001E-3</v>
      </c>
      <c r="G36" s="1384"/>
      <c r="H36" s="2676"/>
      <c r="I36" s="1398"/>
      <c r="J36" s="1399"/>
      <c r="K36" s="2521"/>
      <c r="L36" s="2676"/>
      <c r="M36" s="2676"/>
    </row>
    <row r="37" spans="1:18" ht="18" customHeight="1">
      <c r="A37" s="982" t="s">
        <v>437</v>
      </c>
      <c r="B37" s="302" t="s">
        <v>742</v>
      </c>
      <c r="C37" s="21">
        <f ca="1">ROUND(C13*F37,2)</f>
        <v>18.03</v>
      </c>
      <c r="D37" s="1344" t="s">
        <v>743</v>
      </c>
      <c r="E37" s="302" t="s">
        <v>744</v>
      </c>
      <c r="F37" s="330">
        <f ca="1">INDIRECT("'数据-取费表'!Al"&amp;$G$1)</f>
        <v>1E-3</v>
      </c>
      <c r="G37" s="1384"/>
      <c r="H37" s="2676"/>
      <c r="I37" s="1398"/>
      <c r="J37" s="1399"/>
      <c r="K37" s="2521"/>
      <c r="L37" s="2676"/>
      <c r="M37" s="2676"/>
    </row>
    <row r="38" spans="1:18" ht="18" customHeight="1" thickBot="1">
      <c r="A38" s="1089" t="s">
        <v>684</v>
      </c>
      <c r="B38" s="1090" t="s">
        <v>728</v>
      </c>
      <c r="C38" s="1091">
        <f ca="1">ROUND(C5*F38,2)</f>
        <v>22.35</v>
      </c>
      <c r="D38" s="1092" t="s">
        <v>748</v>
      </c>
      <c r="E38" s="1090" t="s">
        <v>744</v>
      </c>
      <c r="F38" s="1086">
        <f ca="1">INDIRECT("'数据-取费表'!Am"&amp;$G$1)</f>
        <v>3.0000000000000001E-3</v>
      </c>
      <c r="G38" s="1384"/>
      <c r="H38" s="2676"/>
      <c r="I38" s="1398"/>
      <c r="J38" s="1399"/>
      <c r="K38" s="2680"/>
      <c r="L38" s="2676"/>
      <c r="M38" s="2676"/>
    </row>
    <row r="39" spans="1:18" ht="24.6" customHeight="1" thickTop="1">
      <c r="A39" s="1079" t="s">
        <v>394</v>
      </c>
      <c r="B39" s="1094" t="s">
        <v>772</v>
      </c>
      <c r="C39" s="310">
        <f ca="1">C5-C30</f>
        <v>6094</v>
      </c>
      <c r="D39" s="1095" t="s">
        <v>773</v>
      </c>
      <c r="E39" s="1096"/>
      <c r="F39" s="1097"/>
      <c r="G39" s="1384"/>
      <c r="H39" s="2676">
        <f ca="1">C39/C5</f>
        <v>0.81798657718120804</v>
      </c>
      <c r="I39" s="1398"/>
      <c r="J39" s="1399"/>
      <c r="K39" s="2680"/>
      <c r="L39" s="2676"/>
      <c r="M39" s="2676"/>
    </row>
    <row r="40" spans="1:18" ht="18" customHeight="1">
      <c r="A40" s="299" t="s">
        <v>395</v>
      </c>
      <c r="B40" s="300" t="s">
        <v>774</v>
      </c>
      <c r="C40" s="301">
        <f ca="1">ROUND(C39*(1-((1+F42)/(1+F40))^F41)/(F40-F42),0)</f>
        <v>42110</v>
      </c>
      <c r="D40" s="324" t="s">
        <v>758</v>
      </c>
      <c r="E40" s="302" t="s">
        <v>759</v>
      </c>
      <c r="F40" s="312">
        <f ca="1">INDIRECT("'数据-取费表'!I"&amp;$G$1)</f>
        <v>5.5E-2</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8.93</v>
      </c>
      <c r="G41" s="1384"/>
      <c r="H41" s="1191"/>
      <c r="I41" s="1398"/>
      <c r="J41" s="1399"/>
      <c r="K41" s="2521"/>
      <c r="L41" s="1191"/>
      <c r="M41" s="1191"/>
    </row>
    <row r="42" spans="1:18" ht="18" customHeight="1">
      <c r="A42" s="308"/>
      <c r="B42" s="309"/>
      <c r="C42" s="310"/>
      <c r="D42" s="327"/>
      <c r="E42" s="302" t="s">
        <v>766</v>
      </c>
      <c r="F42" s="312">
        <f ca="1">INDIRECT("'数据-取费表'!v"&amp;$G$1)</f>
        <v>0</v>
      </c>
      <c r="G42" s="1384"/>
      <c r="H42" s="1191"/>
      <c r="I42" s="1398"/>
      <c r="J42" s="1399"/>
      <c r="K42" s="2521"/>
      <c r="L42" s="1191"/>
      <c r="M42" s="1191"/>
    </row>
    <row r="43" spans="1:18" ht="18" customHeight="1" thickBot="1">
      <c r="A43" s="334" t="s">
        <v>396</v>
      </c>
      <c r="B43" s="335" t="s">
        <v>776</v>
      </c>
      <c r="C43" s="336">
        <f ca="1">ROUND(C40*10000/F43,0)</f>
        <v>13116</v>
      </c>
      <c r="D43" s="337" t="s">
        <v>777</v>
      </c>
      <c r="E43" s="338" t="s">
        <v>778</v>
      </c>
      <c r="F43" s="339">
        <f ca="1">INDIRECT("'数据-取费表'!k"&amp;$G$1)</f>
        <v>32105.549999999996</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f ca="1">C68-C40</f>
        <v>-42704</v>
      </c>
      <c r="D46" s="1406" t="str">
        <f>C2</f>
        <v>万元</v>
      </c>
      <c r="E46" s="1400"/>
      <c r="F46" s="1400"/>
      <c r="I46" s="1407" t="s">
        <v>810</v>
      </c>
      <c r="J46" s="1408"/>
      <c r="K46" s="1409"/>
      <c r="L46" s="1410">
        <f ca="1">IF(M47="住宅",0,IF(L48&gt;J51,L60,J60))</f>
        <v>2022</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f ca="1">INDIRECT("'数据-取费表'!d"&amp;$G$1)</f>
        <v>50</v>
      </c>
      <c r="M47" s="1380" t="str">
        <f>IF(ISNUMBER(FIND("住宅",C1)),"住宅","非住宅")</f>
        <v>非住宅</v>
      </c>
      <c r="O47" s="1418" t="s">
        <v>403</v>
      </c>
      <c r="P47" s="1419" t="s">
        <v>817</v>
      </c>
      <c r="Q47" s="1420">
        <f ca="1">C40+J29</f>
        <v>84178</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20.84</v>
      </c>
      <c r="O48" s="1418" t="s">
        <v>404</v>
      </c>
      <c r="P48" s="1419" t="s">
        <v>821</v>
      </c>
      <c r="Q48" s="1420">
        <f ca="1">J60</f>
        <v>2022</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f>取值过程!C16</f>
        <v>2007</v>
      </c>
      <c r="K49" s="1423" t="s">
        <v>824</v>
      </c>
      <c r="L49" s="1427"/>
      <c r="O49" s="1428" t="s">
        <v>405</v>
      </c>
      <c r="P49" s="1419" t="s">
        <v>825</v>
      </c>
      <c r="Q49" s="1420">
        <f ca="1">C29</f>
        <v>22820</v>
      </c>
      <c r="R49" s="1420" t="s">
        <v>818</v>
      </c>
    </row>
    <row r="50" spans="1:18" s="1384" customFormat="1" ht="13.5" thickBot="1">
      <c r="A50" s="976"/>
      <c r="B50" s="979"/>
      <c r="C50" s="1118"/>
      <c r="D50" s="953"/>
      <c r="E50" s="1056" t="s">
        <v>697</v>
      </c>
      <c r="F50" s="1057">
        <f ca="1">F7</f>
        <v>32105.549999999996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84783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20.84</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f ca="1">IF(M47="住宅",IF(D1="——",MAX(J51,L48),MAX(J51,L48-'数据-取费表'!B24)),IF(D1="——",MIN(J51,L48),MIN(J51,L48-'数据-取费表'!B24)))</f>
        <v>20.84</v>
      </c>
      <c r="K53" s="3822" t="s">
        <v>837</v>
      </c>
      <c r="L53" s="3823"/>
      <c r="O53" s="1418" t="s">
        <v>409</v>
      </c>
      <c r="P53" s="1419" t="s">
        <v>838</v>
      </c>
      <c r="Q53" s="1420">
        <f ca="1">Q47+Q48</f>
        <v>86200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0.36899999999999999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18028</v>
      </c>
      <c r="D56" s="1447"/>
      <c r="E56" s="1448"/>
      <c r="F56" s="1440"/>
      <c r="I56" s="1449" t="s">
        <v>842</v>
      </c>
      <c r="J56" s="1450" t="s">
        <v>3370</v>
      </c>
      <c r="K56" s="1421" t="s">
        <v>843</v>
      </c>
      <c r="L56" s="1424" t="str">
        <f ca="1">IF(L48&lt;J51,"——",L48-J53)</f>
        <v>——</v>
      </c>
      <c r="O56" s="1418" t="s">
        <v>403</v>
      </c>
      <c r="P56" s="1419" t="s">
        <v>817</v>
      </c>
      <c r="Q56" s="1420">
        <f ca="1">C40+J29</f>
        <v>84178</v>
      </c>
      <c r="R56" s="1420" t="s">
        <v>818</v>
      </c>
    </row>
    <row r="57" spans="1:18" s="1384" customFormat="1" ht="24.75" thickBot="1">
      <c r="A57" s="1451"/>
      <c r="B57" s="950" t="s">
        <v>767</v>
      </c>
      <c r="C57" s="238">
        <f ca="1">C29</f>
        <v>22820</v>
      </c>
      <c r="D57" s="1452"/>
      <c r="E57" s="1453"/>
      <c r="F57" s="1454"/>
      <c r="I57" s="1455" t="s">
        <v>844</v>
      </c>
      <c r="J57" s="1456">
        <f ca="1">IF(OR(M47="住宅",J51&lt;L48,J56="是"),"——",J51-L48)</f>
        <v>22.16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9128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2022</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18</v>
      </c>
      <c r="I62" s="1462" t="s">
        <v>858</v>
      </c>
      <c r="J62" s="1463" t="s">
        <v>859</v>
      </c>
      <c r="K62" s="1463" t="s">
        <v>860</v>
      </c>
      <c r="L62" s="1463" t="s">
        <v>861</v>
      </c>
      <c r="M62" s="1464" t="s">
        <v>862</v>
      </c>
      <c r="O62" s="1418" t="s">
        <v>409</v>
      </c>
      <c r="P62" s="1419" t="s">
        <v>863</v>
      </c>
      <c r="Q62" s="1420">
        <f ca="1">Q56+Q57</f>
        <v>84178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68.459999999999994</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18.03</v>
      </c>
      <c r="D65" s="964" t="s">
        <v>743</v>
      </c>
      <c r="E65" s="950" t="s">
        <v>744</v>
      </c>
      <c r="F65" s="330">
        <f t="shared" ca="1" si="0"/>
        <v>1E-3</v>
      </c>
      <c r="I65" s="1462" t="s">
        <v>867</v>
      </c>
      <c r="J65" s="1463">
        <v>40</v>
      </c>
      <c r="K65" s="1463">
        <v>30</v>
      </c>
      <c r="L65" s="1463">
        <v>50</v>
      </c>
      <c r="M65" s="1465">
        <v>0.02</v>
      </c>
      <c r="O65" s="1418" t="s">
        <v>403</v>
      </c>
      <c r="P65" s="1419" t="s">
        <v>868</v>
      </c>
      <c r="Q65" s="1420">
        <f ca="1">C40+J29</f>
        <v>84178</v>
      </c>
      <c r="R65" s="1420" t="s">
        <v>818</v>
      </c>
    </row>
    <row r="66" spans="1:18" s="1384" customFormat="1" ht="16.5" thickBot="1">
      <c r="A66" s="982" t="s">
        <v>793</v>
      </c>
      <c r="B66" s="950" t="s">
        <v>728</v>
      </c>
      <c r="C66" s="21">
        <f ca="1">ROUND(C48*F66,2)</f>
        <v>0</v>
      </c>
      <c r="D66" s="964" t="s">
        <v>794</v>
      </c>
      <c r="E66" s="950" t="s">
        <v>712</v>
      </c>
      <c r="F66" s="312">
        <f t="shared" ca="1" si="0"/>
        <v>3.0000000000000001E-3</v>
      </c>
      <c r="O66" s="1418" t="s">
        <v>404</v>
      </c>
      <c r="P66" s="1419" t="s">
        <v>846</v>
      </c>
      <c r="Q66" s="1420">
        <f ca="1">L60</f>
        <v>0</v>
      </c>
      <c r="R66" s="1420" t="s">
        <v>869</v>
      </c>
    </row>
    <row r="67" spans="1:18" s="1384" customFormat="1" ht="16.5" thickBot="1">
      <c r="A67" s="957" t="s">
        <v>394</v>
      </c>
      <c r="B67" s="967" t="s">
        <v>752</v>
      </c>
      <c r="C67" s="316">
        <f ca="1">C48-C58</f>
        <v>-86</v>
      </c>
      <c r="D67" s="963" t="s">
        <v>753</v>
      </c>
      <c r="E67" s="968"/>
      <c r="F67" s="969"/>
      <c r="O67" s="1428" t="s">
        <v>405</v>
      </c>
      <c r="P67" s="1419" t="s">
        <v>850</v>
      </c>
      <c r="Q67" s="1466">
        <f ca="1">L51</f>
        <v>84783</v>
      </c>
      <c r="R67" s="1420" t="s">
        <v>870</v>
      </c>
    </row>
    <row r="68" spans="1:18" s="1384" customFormat="1" ht="16.5" thickBot="1">
      <c r="A68" s="947" t="s">
        <v>395</v>
      </c>
      <c r="B68" s="948" t="s">
        <v>774</v>
      </c>
      <c r="C68" s="301">
        <f ca="1">ROUND(C67*(1-((1+F70)/(1+F68))^F69)/(F68-F70),0)</f>
        <v>-594</v>
      </c>
      <c r="D68" s="965" t="s">
        <v>758</v>
      </c>
      <c r="E68" s="950" t="s">
        <v>759</v>
      </c>
      <c r="F68" s="312">
        <f ca="1">F40</f>
        <v>5.5E-2</v>
      </c>
      <c r="O68" s="1428" t="s">
        <v>406</v>
      </c>
      <c r="P68" s="1467" t="s">
        <v>871</v>
      </c>
      <c r="Q68" s="1420">
        <f ca="1">ROUND(Q69-Q70*Q71,0)</f>
        <v>4832</v>
      </c>
      <c r="R68" s="1420" t="s">
        <v>414</v>
      </c>
    </row>
    <row r="69" spans="1:18" s="1384" customFormat="1" ht="13.5" thickBot="1">
      <c r="A69" s="951"/>
      <c r="B69" s="952"/>
      <c r="C69" s="306"/>
      <c r="D69" s="970" t="s">
        <v>762</v>
      </c>
      <c r="E69" s="950" t="s">
        <v>763</v>
      </c>
      <c r="F69" s="333">
        <f ca="1">F41</f>
        <v>8.93</v>
      </c>
      <c r="O69" s="1428" t="s">
        <v>411</v>
      </c>
      <c r="P69" s="1467" t="s">
        <v>872</v>
      </c>
      <c r="Q69" s="1420">
        <f ca="1">C39</f>
        <v>6094</v>
      </c>
      <c r="R69" s="1420" t="s">
        <v>818</v>
      </c>
    </row>
    <row r="70" spans="1:18" s="1384" customFormat="1" ht="13.5" thickBot="1">
      <c r="A70" s="954"/>
      <c r="B70" s="955"/>
      <c r="C70" s="310"/>
      <c r="D70" s="966"/>
      <c r="E70" s="950" t="s">
        <v>766</v>
      </c>
      <c r="F70" s="1054"/>
      <c r="O70" s="1428" t="s">
        <v>412</v>
      </c>
      <c r="P70" s="1467" t="s">
        <v>873</v>
      </c>
      <c r="Q70" s="1420">
        <f ca="1">C13</f>
        <v>18028</v>
      </c>
      <c r="R70" s="1420" t="s">
        <v>818</v>
      </c>
    </row>
    <row r="71" spans="1:18" s="1384" customFormat="1" ht="13.5" thickBot="1">
      <c r="A71" s="971" t="s">
        <v>396</v>
      </c>
      <c r="B71" s="972" t="s">
        <v>776</v>
      </c>
      <c r="C71" s="336">
        <f ca="1">ROUND(C68*10000/F71,0)</f>
        <v>-185</v>
      </c>
      <c r="D71" s="973" t="s">
        <v>777</v>
      </c>
      <c r="E71" s="974" t="s">
        <v>778</v>
      </c>
      <c r="F71" s="339">
        <f ca="1">F43</f>
        <v>32105.549999999996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1262</v>
      </c>
      <c r="D75" s="1384"/>
      <c r="E75" s="1384"/>
      <c r="F75" s="1384"/>
      <c r="K75" s="1402"/>
      <c r="L75" s="1384"/>
      <c r="O75" s="1418" t="s">
        <v>409</v>
      </c>
      <c r="P75" s="1419" t="s">
        <v>838</v>
      </c>
      <c r="Q75" s="1420">
        <f ca="1">Q65+Q66</f>
        <v>84178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0.57200000000000006</v>
      </c>
    </row>
    <row r="83" spans="2:3">
      <c r="B83" s="273" t="s">
        <v>803</v>
      </c>
      <c r="C83" s="274">
        <f ca="1">ROUND(C13/C40,3)</f>
        <v>0.42799999999999999</v>
      </c>
    </row>
  </sheetData>
  <sheetProtection password="CEE9" sheet="1" objects="1" scenarios="1" formatCells="0" formatColumns="0" formatRows="0"/>
  <mergeCells count="3">
    <mergeCell ref="K53:L53"/>
    <mergeCell ref="B6:B9"/>
    <mergeCell ref="I6:I9"/>
  </mergeCells>
  <phoneticPr fontId="5" type="noConversion"/>
  <conditionalFormatting sqref="K55 K60">
    <cfRule type="expression" dxfId="108" priority="56">
      <formula>$L$48&gt;$J$51</formula>
    </cfRule>
  </conditionalFormatting>
  <conditionalFormatting sqref="I55 I60">
    <cfRule type="expression" dxfId="107" priority="57">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受贵公司委托，我公司对北京市朝阳区朝阳门外大街5号院1号楼房地产抵押价值进行了预评估。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估价对象为北京市朝阳区朝阳门外大街5号院1号楼房地产，为都城伟业集团有限公司所有。根据《国有土地使用证》[]，估价对象（分摊）出让国有建设用地使用权面积为0平方米，建筑面积为32105.55平方米。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5号院1号楼房地产,属都城伟业集团有限公司开发建设的办公项目，该项目尚在开发建设中。根据《国有土地使用证》[]，估价对象（分摊）出让国有建设用地使用权面积为0平方米，规划建筑面积为32105.55平方米。</v>
      </c>
    </row>
    <row r="11" spans="1:1" ht="76.5">
      <c r="A11" s="1483" t="s">
        <v>903</v>
      </c>
    </row>
    <row r="12" spans="1:1" ht="18.75">
      <c r="A12" s="1481" t="s">
        <v>904</v>
      </c>
    </row>
    <row r="13" spans="1:1" ht="38.25" customHeight="1">
      <c r="A13" s="1484" t="str">
        <f>IF(项目基本情况!B8="抵押",IF(项目基本情况!B5=项目基本情况!B6,定义!C51,定义!B51),定义!D51)</f>
        <v>都城伟业集团有限公司拟使用北京市朝阳区朝阳门外大街5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2024年4月24日（评估专业人员实地查勘之日）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8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3" sqref="B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1443</v>
      </c>
      <c r="B1" s="1470"/>
      <c r="C1" s="198"/>
      <c r="D1" s="198"/>
      <c r="E1" s="198"/>
      <c r="F1" s="198"/>
      <c r="G1" s="1126">
        <f>MATCH(B1,'数据-取费表'!A6:A16,0)+5</f>
        <v>7</v>
      </c>
    </row>
    <row r="2" spans="1:9" s="200" customFormat="1" ht="18" customHeight="1">
      <c r="A2" s="201" t="s">
        <v>1444</v>
      </c>
      <c r="B2" s="202">
        <f ca="1">IF(D2="——",C52,C52-E2)</f>
        <v>110506</v>
      </c>
      <c r="C2" s="199" t="s">
        <v>1445</v>
      </c>
      <c r="D2" s="1853" t="s">
        <v>43</v>
      </c>
      <c r="E2" s="1169" t="e">
        <f ca="1">SUMIF(INDIRECT("'"&amp;G2&amp;"'"&amp;"!A:A"),"承租人权益价值",INDIRECT("'"&amp;G2&amp;"'"&amp;"!c:c"))</f>
        <v>#REF!</v>
      </c>
      <c r="F2" s="1854" t="s">
        <v>1445</v>
      </c>
      <c r="G2" s="1855"/>
    </row>
    <row r="3" spans="1:9" s="200" customFormat="1" ht="18" customHeight="1" thickBot="1">
      <c r="A3" s="203" t="s">
        <v>1446</v>
      </c>
      <c r="B3" s="204">
        <f ca="1">ROUND(B2*10000/(IF(B1="",'数据-汇总表'!E3,INDIRECT("'数据-取费表'!k"&amp;$G$1))),0)</f>
        <v>34420</v>
      </c>
      <c r="C3" s="199" t="s">
        <v>1447</v>
      </c>
      <c r="D3" s="199"/>
      <c r="E3" s="199"/>
      <c r="F3" s="199"/>
      <c r="G3" s="199"/>
    </row>
    <row r="4" spans="1:9" s="208" customFormat="1" ht="15.75">
      <c r="A4" s="205" t="s">
        <v>1448</v>
      </c>
      <c r="B4" s="206"/>
      <c r="C4" s="206"/>
      <c r="D4" s="206"/>
      <c r="E4" s="206"/>
      <c r="F4" s="206"/>
      <c r="G4" s="207"/>
    </row>
    <row r="5" spans="1:9" s="214" customFormat="1" ht="13.5" customHeight="1">
      <c r="A5" s="255" t="s">
        <v>1449</v>
      </c>
      <c r="B5" s="210" t="s">
        <v>1450</v>
      </c>
      <c r="C5" s="211">
        <f ca="1">C6+C7+C8</f>
        <v>68622</v>
      </c>
      <c r="D5" s="211" t="s">
        <v>1451</v>
      </c>
      <c r="E5" s="212" t="s">
        <v>1452</v>
      </c>
      <c r="F5" s="212" t="s">
        <v>1453</v>
      </c>
      <c r="G5" s="213"/>
    </row>
    <row r="6" spans="1:9" s="214" customFormat="1" ht="13.5" customHeight="1">
      <c r="A6" s="778" t="s">
        <v>1454</v>
      </c>
      <c r="B6" s="215" t="s">
        <v>1455</v>
      </c>
      <c r="C6" s="216">
        <f>基准地价修正!B2</f>
        <v>65968</v>
      </c>
      <c r="D6" s="217"/>
      <c r="E6" s="218"/>
      <c r="F6" s="218"/>
      <c r="G6" s="219"/>
    </row>
    <row r="7" spans="1:9" s="214" customFormat="1" ht="13.5" customHeight="1">
      <c r="A7" s="778" t="s">
        <v>1456</v>
      </c>
      <c r="B7" s="215" t="s">
        <v>1457</v>
      </c>
      <c r="C7" s="220">
        <f>ROUND(C6*F7,0)</f>
        <v>2012</v>
      </c>
      <c r="D7" s="220"/>
      <c r="E7" s="218"/>
      <c r="F7" s="221">
        <f>IF(项目基本情况!B8="出让",0,'数据-取费表'!B48+'数据-取费表'!B49)</f>
        <v>3.0499999999999999E-2</v>
      </c>
      <c r="G7" s="219"/>
    </row>
    <row r="8" spans="1:9" s="223" customFormat="1">
      <c r="A8" s="778" t="s">
        <v>1458</v>
      </c>
      <c r="B8" s="215" t="s">
        <v>1459</v>
      </c>
      <c r="C8" s="220">
        <f ca="1">IF(G8="已包含在土地购买价格中","0",IF(B1="",'数据-取费表'!B29,IF(G9="全部缴纳",C9+C10,H9)))</f>
        <v>642</v>
      </c>
      <c r="D8" s="222"/>
      <c r="E8" s="220"/>
      <c r="F8" s="221"/>
      <c r="G8" s="1856" t="s">
        <v>3403</v>
      </c>
    </row>
    <row r="9" spans="1:9" s="214" customFormat="1" ht="13.5" customHeight="1">
      <c r="A9" s="779" t="s">
        <v>355</v>
      </c>
      <c r="B9" s="224" t="s">
        <v>1460</v>
      </c>
      <c r="C9" s="225">
        <f ca="1">ROUND(D9*E9/10000,0)</f>
        <v>0</v>
      </c>
      <c r="D9" s="845">
        <f ca="1">IF(B1="",'数据-汇总表'!E5,IF(INDIRECT("'数据-取费表'!c"&amp;$G$1)="住宅",INDIRECT("'数据-取费表'!k"&amp;$G$1),0))</f>
        <v>0</v>
      </c>
      <c r="E9" s="225">
        <f>'数据-取费表'!B27</f>
        <v>0</v>
      </c>
      <c r="F9" s="221"/>
      <c r="G9" s="1857"/>
      <c r="H9" s="1137"/>
      <c r="I9" s="1858" t="s">
        <v>1461</v>
      </c>
    </row>
    <row r="10" spans="1:9" s="214" customFormat="1" ht="13.5" customHeight="1">
      <c r="A10" s="779" t="s">
        <v>356</v>
      </c>
      <c r="B10" s="224" t="s">
        <v>1462</v>
      </c>
      <c r="C10" s="225">
        <f ca="1">ROUND(D10*E10/10000,0)</f>
        <v>642</v>
      </c>
      <c r="D10" s="845">
        <f ca="1">IF(B1="",'数据-汇总表'!E6,IF(INDIRECT("'数据-取费表'!c"&amp;$G$1)="住宅",INDIRECT("'数据-取费表'!s"&amp;$G$1),INDIRECT("'数据-取费表'!k"&amp;$G$1)+INDIRECT("'数据-取费表'!s"&amp;$G$1)))</f>
        <v>32105.55</v>
      </c>
      <c r="E10" s="225">
        <f>'数据-取费表'!B28</f>
        <v>200</v>
      </c>
      <c r="F10" s="221"/>
      <c r="G10" s="226"/>
    </row>
    <row r="11" spans="1:9" s="214" customFormat="1" ht="13.5" hidden="1" customHeight="1">
      <c r="A11" s="227" t="s">
        <v>4</v>
      </c>
      <c r="B11" s="215" t="s">
        <v>1463</v>
      </c>
      <c r="C11" s="211"/>
      <c r="D11" s="847"/>
      <c r="E11" s="218"/>
      <c r="F11" s="218"/>
      <c r="G11" s="219"/>
    </row>
    <row r="12" spans="1:9" s="214" customFormat="1" ht="13.5" hidden="1" customHeight="1">
      <c r="A12" s="227" t="s">
        <v>5</v>
      </c>
      <c r="B12" s="215" t="s">
        <v>1464</v>
      </c>
      <c r="C12" s="211">
        <v>0</v>
      </c>
      <c r="D12" s="847"/>
      <c r="E12" s="228"/>
      <c r="F12" s="221">
        <v>3.0499999999999999E-2</v>
      </c>
      <c r="G12" s="219"/>
    </row>
    <row r="13" spans="1:9" s="214" customFormat="1" ht="13.5" hidden="1" customHeight="1">
      <c r="A13" s="227" t="s">
        <v>6</v>
      </c>
      <c r="B13" s="215" t="s">
        <v>1465</v>
      </c>
      <c r="C13" s="211"/>
      <c r="D13" s="847"/>
      <c r="E13" s="218"/>
      <c r="F13" s="218"/>
      <c r="G13" s="219"/>
    </row>
    <row r="14" spans="1:9" s="214" customFormat="1" ht="13.5" hidden="1" customHeight="1">
      <c r="A14" s="227" t="s">
        <v>7</v>
      </c>
      <c r="B14" s="215" t="s">
        <v>1466</v>
      </c>
      <c r="C14" s="211"/>
      <c r="D14" s="847"/>
      <c r="E14" s="218"/>
      <c r="F14" s="218"/>
      <c r="G14" s="219" t="s">
        <v>1467</v>
      </c>
    </row>
    <row r="15" spans="1:9" s="214" customFormat="1" ht="13.5" hidden="1" customHeight="1">
      <c r="A15" s="227" t="s">
        <v>8</v>
      </c>
      <c r="B15" s="215" t="s">
        <v>1468</v>
      </c>
      <c r="C15" s="220"/>
      <c r="D15" s="847"/>
      <c r="E15" s="218"/>
      <c r="F15" s="218"/>
      <c r="G15" s="219" t="s">
        <v>1469</v>
      </c>
    </row>
    <row r="16" spans="1:9" s="214" customFormat="1" ht="13.5" hidden="1" customHeight="1">
      <c r="A16" s="227" t="s">
        <v>9</v>
      </c>
      <c r="B16" s="215" t="s">
        <v>1466</v>
      </c>
      <c r="C16" s="220"/>
      <c r="D16" s="847"/>
      <c r="E16" s="218"/>
      <c r="F16" s="218"/>
      <c r="G16" s="219"/>
    </row>
    <row r="17" spans="1:7" s="214" customFormat="1" ht="13.5" hidden="1" customHeight="1">
      <c r="A17" s="227" t="s">
        <v>10</v>
      </c>
      <c r="B17" s="215" t="s">
        <v>1470</v>
      </c>
      <c r="C17" s="229"/>
      <c r="D17" s="848"/>
      <c r="E17" s="229"/>
      <c r="F17" s="229"/>
      <c r="G17" s="219" t="s">
        <v>1469</v>
      </c>
    </row>
    <row r="18" spans="1:7" s="214" customFormat="1" ht="13.5" hidden="1" customHeight="1">
      <c r="A18" s="227" t="s">
        <v>11</v>
      </c>
      <c r="B18" s="215" t="s">
        <v>1471</v>
      </c>
      <c r="C18" s="220">
        <v>0</v>
      </c>
      <c r="D18" s="847"/>
      <c r="E18" s="218"/>
      <c r="F18" s="221">
        <v>3.0499999999999999E-2</v>
      </c>
      <c r="G18" s="219" t="s">
        <v>1472</v>
      </c>
    </row>
    <row r="19" spans="1:7" s="223" customFormat="1" ht="13.5" customHeight="1">
      <c r="A19" s="255" t="s">
        <v>1473</v>
      </c>
      <c r="B19" s="210" t="s">
        <v>1474</v>
      </c>
      <c r="C19" s="211" t="str">
        <f>IF(G19="已包含在土地取得成本中","0",ROUND(D19*E19/10000,0))</f>
        <v>0</v>
      </c>
      <c r="D19" s="849">
        <f ca="1">D9+D10</f>
        <v>32105.55</v>
      </c>
      <c r="E19" s="211">
        <f>'数据-取费表'!B31</f>
        <v>180</v>
      </c>
      <c r="F19" s="231"/>
      <c r="G19" s="1856" t="s">
        <v>3404</v>
      </c>
    </row>
    <row r="20" spans="1:7" s="214" customFormat="1" ht="13.5" customHeight="1">
      <c r="A20" s="255" t="s">
        <v>1475</v>
      </c>
      <c r="B20" s="210" t="s">
        <v>1476</v>
      </c>
      <c r="C20" s="232">
        <f ca="1">ROUND((C5+C19)*F20,0)</f>
        <v>1372</v>
      </c>
      <c r="D20" s="232"/>
      <c r="E20" s="232"/>
      <c r="F20" s="233">
        <f>'数据-取费表'!B37</f>
        <v>0.02</v>
      </c>
      <c r="G20" s="234" t="s">
        <v>1477</v>
      </c>
    </row>
    <row r="21" spans="1:7" s="214" customFormat="1" ht="13.5" customHeight="1">
      <c r="A21" s="255" t="s">
        <v>1478</v>
      </c>
      <c r="B21" s="210" t="s">
        <v>1479</v>
      </c>
      <c r="C21" s="235">
        <f>F21</f>
        <v>0.02</v>
      </c>
      <c r="D21" s="236" t="s">
        <v>1480</v>
      </c>
      <c r="E21" s="232"/>
      <c r="F21" s="233">
        <f>'数据-取费表'!B38</f>
        <v>0.02</v>
      </c>
      <c r="G21" s="234" t="s">
        <v>1481</v>
      </c>
    </row>
    <row r="22" spans="1:7" s="214" customFormat="1" ht="13.5" customHeight="1">
      <c r="A22" s="255" t="s">
        <v>1482</v>
      </c>
      <c r="B22" s="210" t="s">
        <v>1483</v>
      </c>
      <c r="C22" s="1104">
        <f ca="1">ROUND(SUM(C23:C25),0)</f>
        <v>4864</v>
      </c>
      <c r="D22" s="235">
        <f ca="1">C26</f>
        <v>6.9999999999999999E-4</v>
      </c>
      <c r="E22" s="236" t="s">
        <v>1480</v>
      </c>
      <c r="F22" s="237">
        <f ca="1">'数据-取费表'!B40</f>
        <v>3.4500000000000003E-2</v>
      </c>
      <c r="G22" s="234" t="str">
        <f>IF('数据-取费表'!B22&lt;=1,"单利计息","复利计息")</f>
        <v>复利计息</v>
      </c>
    </row>
    <row r="23" spans="1:7" s="214" customFormat="1" ht="13.5" customHeight="1">
      <c r="A23" s="780" t="s">
        <v>1484</v>
      </c>
      <c r="B23" s="215" t="s">
        <v>1485</v>
      </c>
      <c r="C23" s="1105">
        <f ca="1">ROUND(IF('数据-取费表'!B22&lt;=1,C5*F22*'数据-取费表'!B23,C5*(POWER((1+F22),'数据-取费表'!B23)-1)),0)</f>
        <v>4817</v>
      </c>
      <c r="D23" s="238"/>
      <c r="E23" s="238"/>
      <c r="F23" s="239"/>
      <c r="G23" s="240" t="s">
        <v>1486</v>
      </c>
    </row>
    <row r="24" spans="1:7" s="214" customFormat="1" ht="13.5" customHeight="1">
      <c r="A24" s="780" t="s">
        <v>1487</v>
      </c>
      <c r="B24" s="215" t="s">
        <v>1488</v>
      </c>
      <c r="C24" s="1105">
        <f ca="1">ROUND(IF('数据-取费表'!B22&lt;=1,C19*F22*('数据-取费表'!B19/2+'数据-取费表'!B21),C19*(POWER((1+F22),('数据-取费表'!B19/2+'数据-取费表'!B21))-1)),0)</f>
        <v>0</v>
      </c>
      <c r="D24" s="238"/>
      <c r="E24" s="238"/>
      <c r="F24" s="239"/>
      <c r="G24" s="240" t="s">
        <v>1489</v>
      </c>
    </row>
    <row r="25" spans="1:7" s="214" customFormat="1" ht="24">
      <c r="A25" s="780" t="s">
        <v>1490</v>
      </c>
      <c r="B25" s="215" t="s">
        <v>1491</v>
      </c>
      <c r="C25" s="1105">
        <f ca="1">ROUND(IF('数据-取费表'!B22&lt;=1,C20*F22*'数据-取费表'!B23/2,C20*(POWER((1+F22),'数据-取费表'!B23/2)-1)),0)</f>
        <v>47</v>
      </c>
      <c r="D25" s="238"/>
      <c r="E25" s="241"/>
      <c r="F25" s="239"/>
      <c r="G25" s="242" t="s">
        <v>1492</v>
      </c>
    </row>
    <row r="26" spans="1:7" s="214" customFormat="1">
      <c r="A26" s="780" t="s">
        <v>350</v>
      </c>
      <c r="B26" s="215" t="s">
        <v>1493</v>
      </c>
      <c r="C26" s="238">
        <f ca="1">ROUND(IF('数据-取费表'!B22&lt;=1,F21*F22*'数据-取费表'!B23/2,F21*(POWER((1+F22),'数据-取费表'!B23/2)-1)),4)</f>
        <v>6.9999999999999999E-4</v>
      </c>
      <c r="D26" s="238"/>
      <c r="E26" s="241"/>
      <c r="F26" s="239"/>
      <c r="G26" s="243"/>
    </row>
    <row r="27" spans="1:7" s="214" customFormat="1" ht="24.75">
      <c r="A27" s="255" t="s">
        <v>1494</v>
      </c>
      <c r="B27" s="244" t="s">
        <v>1495</v>
      </c>
      <c r="C27" s="245">
        <f ca="1">C28</f>
        <v>10499</v>
      </c>
      <c r="D27" s="235">
        <f ca="1">C29</f>
        <v>3.0000000000000001E-3</v>
      </c>
      <c r="E27" s="236" t="s">
        <v>1496</v>
      </c>
      <c r="F27" s="246">
        <f ca="1">IF(B1="",'数据-取费表'!Q16,INDIRECT("'数据-取费表'!q"&amp;$G$1))</f>
        <v>0.15</v>
      </c>
      <c r="G27" s="247" t="s">
        <v>1497</v>
      </c>
    </row>
    <row r="28" spans="1:7" s="214" customFormat="1" ht="13.5" customHeight="1">
      <c r="A28" s="780" t="s">
        <v>346</v>
      </c>
      <c r="B28" s="248" t="s">
        <v>1498</v>
      </c>
      <c r="C28" s="249">
        <f ca="1">ROUND((C5+C19+C20)*F27*'数据-取费表'!B21/'数据-取费表'!B20,0)</f>
        <v>10499</v>
      </c>
      <c r="D28" s="235"/>
      <c r="E28" s="236"/>
      <c r="F28" s="246"/>
      <c r="G28" s="247"/>
    </row>
    <row r="29" spans="1:7" s="214" customFormat="1" ht="13.5" customHeight="1">
      <c r="A29" s="780" t="s">
        <v>347</v>
      </c>
      <c r="B29" s="248" t="s">
        <v>1499</v>
      </c>
      <c r="C29" s="238">
        <f ca="1">ROUND(C21*F27*'数据-取费表'!B21/'数据-取费表'!B20,4)</f>
        <v>3.0000000000000001E-3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92478</v>
      </c>
      <c r="D31" s="230"/>
      <c r="E31" s="211"/>
      <c r="F31" s="250"/>
      <c r="G31" s="234" t="s">
        <v>1504</v>
      </c>
    </row>
    <row r="32" spans="1:7" s="208" customFormat="1" ht="15.75">
      <c r="A32" s="252" t="s">
        <v>1505</v>
      </c>
      <c r="B32" s="253"/>
      <c r="C32" s="253"/>
      <c r="D32" s="253"/>
      <c r="E32" s="253"/>
      <c r="F32" s="253"/>
      <c r="G32" s="254"/>
    </row>
    <row r="33" spans="1:7" s="214" customFormat="1" ht="13.5" customHeight="1">
      <c r="A33" s="255" t="s">
        <v>337</v>
      </c>
      <c r="B33" s="210" t="s">
        <v>1506</v>
      </c>
      <c r="C33" s="256">
        <f ca="1">SUM(C34:C38)</f>
        <v>17434</v>
      </c>
      <c r="D33" s="232"/>
      <c r="E33" s="212"/>
      <c r="F33" s="241"/>
      <c r="G33" s="234"/>
    </row>
    <row r="34" spans="1:7" s="258" customFormat="1" ht="13.5" customHeight="1">
      <c r="A34" s="780" t="s">
        <v>346</v>
      </c>
      <c r="B34" s="215" t="s">
        <v>1507</v>
      </c>
      <c r="C34" s="220">
        <f ca="1">IF(B1="",IF(F34=100%,'数据-取费表'!M16,'数据-取费表'!O16),IF(F34=100%,INDIRECT("'数据-取费表'!m"&amp;$G$1)+INDIRECT("'数据-取费表'!t"&amp;$G$1),INDIRECT("'数据-取费表'!o"&amp;$G$1)+INDIRECT("'数据-取费表'!aq"&amp;$G$1)))</f>
        <v>16053</v>
      </c>
      <c r="D34" s="217"/>
      <c r="E34" s="220"/>
      <c r="F34" s="257">
        <f ca="1">IF('数据-取费表'!B24=0,1,IF(B1="",'数据-取费表'!N16,INDIRECT("'数据-取费表'!n"&amp;$G$1)))</f>
        <v>1</v>
      </c>
      <c r="G34" s="219" t="s">
        <v>1508</v>
      </c>
    </row>
    <row r="35" spans="1:7" ht="13.5" customHeight="1">
      <c r="A35" s="780" t="s">
        <v>351</v>
      </c>
      <c r="B35" s="215" t="s">
        <v>1509</v>
      </c>
      <c r="C35" s="220">
        <f ca="1">ROUND(C34*F35,0)</f>
        <v>482</v>
      </c>
      <c r="D35" s="220"/>
      <c r="E35" s="220"/>
      <c r="F35" s="259">
        <f>'数据-取费表'!B33</f>
        <v>0.03</v>
      </c>
      <c r="G35" s="219" t="s">
        <v>1510</v>
      </c>
    </row>
    <row r="36" spans="1:7" ht="24">
      <c r="A36" s="780"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80" t="s">
        <v>353</v>
      </c>
      <c r="B37" s="215" t="s">
        <v>1513</v>
      </c>
      <c r="C37" s="249">
        <f ca="1">ROUND(E37*D37*F34/10000,0)</f>
        <v>578</v>
      </c>
      <c r="D37" s="217">
        <f ca="1">D19</f>
        <v>32105.55</v>
      </c>
      <c r="E37" s="249">
        <f>'数据-取费表'!B35</f>
        <v>180</v>
      </c>
      <c r="F37" s="259"/>
      <c r="G37" s="261" t="s">
        <v>1514</v>
      </c>
    </row>
    <row r="38" spans="1:7" ht="13.5" customHeight="1">
      <c r="A38" s="780" t="s">
        <v>354</v>
      </c>
      <c r="B38" s="215" t="s">
        <v>1515</v>
      </c>
      <c r="C38" s="220">
        <f ca="1">ROUND(C34*F38,0)</f>
        <v>321</v>
      </c>
      <c r="D38" s="220"/>
      <c r="E38" s="220"/>
      <c r="F38" s="259">
        <f>'数据-取费表'!B36</f>
        <v>0.02</v>
      </c>
      <c r="G38" s="219" t="s">
        <v>1510</v>
      </c>
    </row>
    <row r="39" spans="1:7" s="214" customFormat="1" ht="13.5" customHeight="1">
      <c r="A39" s="255" t="s">
        <v>1516</v>
      </c>
      <c r="B39" s="210" t="s">
        <v>1517</v>
      </c>
      <c r="C39" s="232">
        <f ca="1">ROUND(C33*F20,0)</f>
        <v>349</v>
      </c>
      <c r="D39" s="232"/>
      <c r="E39" s="232"/>
      <c r="F39" s="233">
        <f>F20</f>
        <v>0.02</v>
      </c>
      <c r="G39" s="234" t="s">
        <v>1518</v>
      </c>
    </row>
    <row r="40" spans="1:7" s="214" customFormat="1" ht="13.5" customHeight="1">
      <c r="A40" s="255" t="s">
        <v>1519</v>
      </c>
      <c r="B40" s="210" t="s">
        <v>1520</v>
      </c>
      <c r="C40" s="1327">
        <f>F21</f>
        <v>0.02</v>
      </c>
      <c r="D40" s="236" t="s">
        <v>1521</v>
      </c>
      <c r="E40" s="232"/>
      <c r="F40" s="233">
        <f>F21</f>
        <v>0.02</v>
      </c>
      <c r="G40" s="234" t="s">
        <v>1522</v>
      </c>
    </row>
    <row r="41" spans="1:7" s="214" customFormat="1" ht="13.5" customHeight="1">
      <c r="A41" s="255" t="s">
        <v>1523</v>
      </c>
      <c r="B41" s="210" t="s">
        <v>1524</v>
      </c>
      <c r="C41" s="232">
        <f ca="1">ROUND(SUM(C42:C43),0)</f>
        <v>613</v>
      </c>
      <c r="D41" s="235">
        <f ca="1">C44</f>
        <v>6.9999999999999999E-4</v>
      </c>
      <c r="E41" s="236" t="s">
        <v>1521</v>
      </c>
      <c r="F41" s="237">
        <f ca="1">F22</f>
        <v>3.4500000000000003E-2</v>
      </c>
      <c r="G41" s="234" t="str">
        <f>IF('数据-取费表'!B22&lt;=1,"单利计息","复利计息")</f>
        <v>复利计息</v>
      </c>
    </row>
    <row r="42" spans="1:7" ht="13.5" customHeight="1">
      <c r="A42" s="780" t="s">
        <v>346</v>
      </c>
      <c r="B42" s="215" t="s">
        <v>1525</v>
      </c>
      <c r="C42" s="238">
        <f ca="1">ROUND(IF('数据-取费表'!B22&lt;=1,C33*F22*'数据-取费表'!B21/2,C33*(POWER((1+F22),'数据-取费表'!B21/2)-1)),0)</f>
        <v>601</v>
      </c>
      <c r="D42" s="238"/>
      <c r="E42" s="238"/>
      <c r="F42" s="239"/>
      <c r="G42" s="3816" t="s">
        <v>1526</v>
      </c>
    </row>
    <row r="43" spans="1:7" ht="13.5" customHeight="1">
      <c r="A43" s="780" t="s">
        <v>347</v>
      </c>
      <c r="B43" s="215" t="s">
        <v>1527</v>
      </c>
      <c r="C43" s="238">
        <f ca="1">ROUND(IF('数据-取费表'!B22&lt;=1,C39*F22*'数据-取费表'!B21/2,C39*(POWER((1+F22),'数据-取费表'!B21/2)-1)),0)</f>
        <v>12</v>
      </c>
      <c r="D43" s="238"/>
      <c r="E43" s="238"/>
      <c r="F43" s="239"/>
      <c r="G43" s="3817"/>
    </row>
    <row r="44" spans="1:7" ht="13.5" customHeight="1">
      <c r="A44" s="780" t="s">
        <v>348</v>
      </c>
      <c r="B44" s="215" t="s">
        <v>1528</v>
      </c>
      <c r="C44" s="238">
        <f ca="1">ROUND(IF('数据-取费表'!B22&lt;=1,C40*F22*'数据-取费表'!B21/2,C40*(POWER((1+F22),'数据-取费表'!B21/2)-1)),4)</f>
        <v>6.9999999999999999E-4</v>
      </c>
      <c r="D44" s="238"/>
      <c r="E44" s="238"/>
      <c r="F44" s="239"/>
      <c r="G44" s="3818"/>
    </row>
    <row r="45" spans="1:7" s="214" customFormat="1" ht="13.5" customHeight="1">
      <c r="A45" s="255" t="s">
        <v>1529</v>
      </c>
      <c r="B45" s="244" t="s">
        <v>1495</v>
      </c>
      <c r="C45" s="245">
        <f ca="1">C46</f>
        <v>2667</v>
      </c>
      <c r="D45" s="235">
        <f ca="1">C47</f>
        <v>3.0000000000000001E-3</v>
      </c>
      <c r="E45" s="236" t="s">
        <v>1521</v>
      </c>
      <c r="F45" s="246">
        <f ca="1">F27</f>
        <v>0.15</v>
      </c>
      <c r="G45" s="247" t="s">
        <v>1530</v>
      </c>
    </row>
    <row r="46" spans="1:7" s="214" customFormat="1" ht="13.5" customHeight="1">
      <c r="A46" s="780" t="s">
        <v>346</v>
      </c>
      <c r="B46" s="248" t="s">
        <v>1531</v>
      </c>
      <c r="C46" s="249">
        <f ca="1">ROUND((C33+C39)*F27,0)</f>
        <v>2667</v>
      </c>
      <c r="D46" s="263"/>
      <c r="E46" s="236"/>
      <c r="F46" s="246"/>
      <c r="G46" s="247"/>
    </row>
    <row r="47" spans="1:7" s="214" customFormat="1" ht="13.5" customHeight="1">
      <c r="A47" s="780" t="s">
        <v>347</v>
      </c>
      <c r="B47" s="248" t="s">
        <v>1532</v>
      </c>
      <c r="C47" s="238">
        <f ca="1">ROUND(C40*F27,4)</f>
        <v>3.0000000000000001E-3</v>
      </c>
      <c r="D47" s="263"/>
      <c r="E47" s="236"/>
      <c r="F47" s="246"/>
      <c r="G47" s="247"/>
    </row>
    <row r="48" spans="1:7" s="214" customFormat="1" ht="13.5" customHeight="1">
      <c r="A48" s="255" t="s">
        <v>1494</v>
      </c>
      <c r="B48" s="210" t="s">
        <v>1533</v>
      </c>
      <c r="C48" s="1327">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22820</v>
      </c>
      <c r="D49" s="232"/>
      <c r="E49" s="232"/>
      <c r="F49" s="264"/>
      <c r="G49" s="234" t="s">
        <v>1536</v>
      </c>
    </row>
    <row r="50" spans="1:7" s="258" customFormat="1" ht="24">
      <c r="A50" s="255" t="s">
        <v>1537</v>
      </c>
      <c r="B50" s="210" t="s">
        <v>1538</v>
      </c>
      <c r="C50" s="232"/>
      <c r="D50" s="232"/>
      <c r="E50" s="232"/>
      <c r="F50" s="264">
        <f>IF('数据-取费表'!B24=0,'数据-取费表'!N16,1)</f>
        <v>0.79</v>
      </c>
      <c r="G50" s="247" t="s">
        <v>1539</v>
      </c>
    </row>
    <row r="51" spans="1:7" ht="16.5" customHeight="1">
      <c r="A51" s="255" t="s">
        <v>1540</v>
      </c>
      <c r="B51" s="210" t="s">
        <v>1541</v>
      </c>
      <c r="C51" s="232">
        <f ca="1">ROUND(C49*F50,0)</f>
        <v>18028</v>
      </c>
      <c r="D51" s="232"/>
      <c r="E51" s="232"/>
      <c r="F51" s="264"/>
      <c r="G51" s="234" t="s">
        <v>1542</v>
      </c>
    </row>
    <row r="52" spans="1:7" s="208" customFormat="1" ht="16.5" thickBot="1">
      <c r="A52" s="265" t="s">
        <v>1543</v>
      </c>
      <c r="B52" s="266"/>
      <c r="C52" s="267">
        <f ca="1">C31+C51</f>
        <v>110506</v>
      </c>
      <c r="D52" s="266"/>
      <c r="E52" s="266"/>
      <c r="F52" s="266"/>
      <c r="G52" s="268"/>
    </row>
    <row r="55" spans="1:7" ht="15">
      <c r="B55" s="270" t="s">
        <v>1544</v>
      </c>
      <c r="C55" s="271"/>
    </row>
    <row r="56" spans="1:7">
      <c r="B56" s="273" t="s">
        <v>802</v>
      </c>
      <c r="C56" s="275">
        <f ca="1">1-C57</f>
        <v>0.83699999999999997</v>
      </c>
    </row>
    <row r="57" spans="1:7">
      <c r="B57" s="273" t="s">
        <v>803</v>
      </c>
      <c r="C57" s="274">
        <f ca="1">ROUND(C51/C52,3)</f>
        <v>0.16300000000000001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F40" sqref="F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1908</v>
      </c>
      <c r="B1" s="197"/>
      <c r="C1" s="201" t="s">
        <v>1909</v>
      </c>
      <c r="D1" s="342">
        <f>SUM(D33:D34,D37:D42)</f>
        <v>32110.089999999997</v>
      </c>
      <c r="E1" s="1995"/>
      <c r="F1" s="1995"/>
      <c r="G1" s="1995"/>
      <c r="H1" s="1995"/>
      <c r="I1" s="1995"/>
      <c r="J1" s="1995"/>
      <c r="K1" s="1119"/>
      <c r="L1" s="1996" t="s">
        <v>1910</v>
      </c>
      <c r="M1" s="863">
        <f>SUMPRODUCT((区片价!B5:B9=I2)*(区片价!C3:G3=E2)*(区片价!C5:G9))</f>
        <v>0</v>
      </c>
      <c r="N1" s="866">
        <f>SUMPRODUCT((因素修正幅度!B5:B9=I2)*(因素修正幅度!C3:G3=E2)*(因素修正幅度!C5:G9))</f>
        <v>0</v>
      </c>
      <c r="O1" s="1997"/>
      <c r="P1" s="1997"/>
      <c r="Q1" s="1119"/>
      <c r="R1" s="1212" t="s">
        <v>1911</v>
      </c>
      <c r="S1" s="1212" t="s">
        <v>1912</v>
      </c>
      <c r="T1" s="1212" t="s">
        <v>1913</v>
      </c>
      <c r="U1" s="1212" t="s">
        <v>1914</v>
      </c>
      <c r="V1" s="1212" t="s">
        <v>1915</v>
      </c>
      <c r="W1" s="1216"/>
      <c r="X1" s="1216"/>
      <c r="Y1" s="1216"/>
      <c r="Z1" s="1216"/>
      <c r="AA1" s="1216"/>
      <c r="AB1" s="1216"/>
      <c r="AC1" s="1217"/>
      <c r="AD1" s="1218"/>
      <c r="AE1" s="1218"/>
      <c r="AF1" s="1218"/>
      <c r="AG1" s="1218"/>
      <c r="AH1" s="1218"/>
      <c r="AI1" s="1218"/>
      <c r="AJ1" s="1219"/>
    </row>
    <row r="2" spans="1:36" ht="15.75">
      <c r="A2" s="201" t="s">
        <v>1916</v>
      </c>
      <c r="B2" s="204">
        <f>C30</f>
        <v>65968</v>
      </c>
      <c r="C2" s="1999" t="s">
        <v>1917</v>
      </c>
      <c r="D2" s="2000" t="s">
        <v>1918</v>
      </c>
      <c r="E2" s="3398" t="s">
        <v>21</v>
      </c>
      <c r="F2" s="2000" t="s">
        <v>1919</v>
      </c>
      <c r="G2" s="2001" t="str">
        <f>IF(E2="商业",项目基本情况!B37,IF(E2="办公",项目基本情况!C37,IF(E2="住宅",项目基本情况!D37,IF(E2="工业",项目基本情况!E37,项目基本情况!F37))))</f>
        <v>二级</v>
      </c>
      <c r="H2" s="2000" t="s">
        <v>1920</v>
      </c>
      <c r="I2" s="2001" t="str">
        <f>IF(E2="商业",项目基本情况!B38,IF(E2="办公",项目基本情况!C38,IF(E2="住宅",项目基本情况!D38,IF(E2="工业",项目基本情况!E38,项目基本情况!F38))))</f>
        <v>Ⅱ—16</v>
      </c>
      <c r="J2" s="2002"/>
      <c r="K2" s="1119"/>
      <c r="L2" s="2003" t="s">
        <v>1921</v>
      </c>
      <c r="M2" s="864">
        <f>SUMPRODUCT((区片价!B10:B29=I2)*(区片价!C3:G3=E2)*(区片价!C10:G29))</f>
        <v>29640</v>
      </c>
      <c r="N2" s="866">
        <f>SUMPRODUCT((因素修正幅度!B10:B29=I2)*(因素修正幅度!C3:G3=E2)*(因素修正幅度!C10:G29))</f>
        <v>9.6000000000000002E-2</v>
      </c>
      <c r="O2" s="1119"/>
      <c r="P2" s="1119"/>
      <c r="Q2" s="1119"/>
      <c r="R2" s="1212">
        <v>1</v>
      </c>
      <c r="S2" s="3337">
        <f>ROUND(SUMPRODUCT((B106:B110=R2)*(C105:N105=G2)*(C106:N110)),4)</f>
        <v>1.5206</v>
      </c>
      <c r="T2" s="3337">
        <f t="shared" ref="T2:T16" si="0">ROUND($C$5*$C$22*$C$23*$C$24*S2*$C$28,0)</f>
        <v>35140</v>
      </c>
      <c r="U2" s="1213"/>
      <c r="V2" s="3337">
        <f>ROUND(T2*U2/10000,0)</f>
        <v>0</v>
      </c>
      <c r="W2" s="1216"/>
      <c r="X2" s="1216"/>
      <c r="Y2" s="1216"/>
      <c r="Z2" s="1216"/>
      <c r="AA2" s="1216"/>
      <c r="AB2" s="1216"/>
      <c r="AC2" s="1217"/>
      <c r="AD2" s="1218"/>
      <c r="AE2" s="1218"/>
      <c r="AF2" s="1218"/>
      <c r="AG2" s="1218"/>
      <c r="AH2" s="1218"/>
      <c r="AI2" s="1218"/>
      <c r="AJ2" s="1219"/>
    </row>
    <row r="3" spans="1:36" ht="15.75">
      <c r="A3" s="203" t="s">
        <v>1922</v>
      </c>
      <c r="B3" s="204">
        <f>ROUND(B2*10000/D1,0)</f>
        <v>20544</v>
      </c>
      <c r="C3" s="1999" t="s">
        <v>1923</v>
      </c>
      <c r="D3" s="2000" t="s">
        <v>1924</v>
      </c>
      <c r="E3" s="3396" t="s">
        <v>3392</v>
      </c>
      <c r="F3" s="2004" t="s">
        <v>4688</v>
      </c>
      <c r="G3" s="752">
        <f>IF(F3="宗地容积率",'数据-汇总表'!I4,IF(F3="估价对象容积率",'数据-汇总表'!I6,'数据-汇总表'!I7))</f>
        <v>3.5</v>
      </c>
      <c r="H3" s="170" t="s">
        <v>1925</v>
      </c>
      <c r="I3" s="775"/>
      <c r="J3" s="2002" t="s">
        <v>1926</v>
      </c>
      <c r="K3" s="1119"/>
      <c r="L3" s="2003" t="s">
        <v>1927</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1.2072000000000001</v>
      </c>
      <c r="T3" s="3337">
        <f t="shared" si="0"/>
        <v>27898</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861"/>
      <c r="B4" s="3862"/>
      <c r="C4" s="3862"/>
      <c r="D4" s="3863"/>
      <c r="E4" s="3863"/>
      <c r="F4" s="3863"/>
      <c r="G4" s="3863"/>
      <c r="H4" s="3863"/>
      <c r="I4" s="3863"/>
      <c r="J4" s="3864"/>
      <c r="K4" s="1119"/>
      <c r="L4" s="2003" t="s">
        <v>1928</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1.0430999999999999</v>
      </c>
      <c r="T4" s="3337">
        <f t="shared" si="0"/>
        <v>24106</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1929</v>
      </c>
      <c r="C5" s="753">
        <f>ROUND(IF(E2="商业",C6*C7*C17+C20,(IF(E2="住宅",C6*C13*C17+C20,IF(E2="办公",C6*C12*C17+C20,C6+C20)))),0)</f>
        <v>29640</v>
      </c>
      <c r="D5" s="1339">
        <f>ROUND(C6*C17+C20,0)</f>
        <v>29640</v>
      </c>
      <c r="E5" s="1339"/>
      <c r="F5" s="2007"/>
      <c r="G5" s="2008"/>
      <c r="H5" s="2008"/>
      <c r="I5" s="2008"/>
      <c r="J5" s="2009"/>
      <c r="K5" s="2010"/>
      <c r="L5" s="2003" t="s">
        <v>1930</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0.94389999999999996</v>
      </c>
      <c r="T5" s="3337">
        <f t="shared" si="0"/>
        <v>21813</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1931</v>
      </c>
      <c r="B6" s="2016" t="s">
        <v>1932</v>
      </c>
      <c r="C6" s="754">
        <f>SUMIF(L1:L12,G2,M1:M12)</f>
        <v>29640</v>
      </c>
      <c r="D6" s="2017"/>
      <c r="E6" s="2018"/>
      <c r="F6" s="2018"/>
      <c r="G6" s="2019"/>
      <c r="H6" s="2019"/>
      <c r="I6" s="2019"/>
      <c r="J6" s="2020"/>
      <c r="K6" s="1384"/>
      <c r="L6" s="2003" t="s">
        <v>1933</v>
      </c>
      <c r="M6" s="864">
        <f>SUMPRODUCT((区片价!B127:B189=I2)*(区片价!C3:G3=E2)*(区片价!C127:G189))</f>
        <v>0</v>
      </c>
      <c r="N6" s="866">
        <f>SUMPRODUCT((因素修正幅度!B127:B189=I2)*(因素修正幅度!C3:G3=E2)*(因素修正幅度!C127:G189))</f>
        <v>0</v>
      </c>
      <c r="O6" s="1119"/>
      <c r="P6" s="1119"/>
      <c r="Q6" s="1119"/>
      <c r="R6" s="1212">
        <v>5</v>
      </c>
      <c r="S6" s="3337">
        <f>ROUND(SUMPRODUCT((B106:B110=R6)*(C105:N105=G2)*(C106:N110)),4)</f>
        <v>0.89959999999999996</v>
      </c>
      <c r="T6" s="3337">
        <f t="shared" si="0"/>
        <v>20789</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3218</v>
      </c>
      <c r="B7" s="2021" t="s">
        <v>1934</v>
      </c>
      <c r="C7" s="755">
        <f>IF(C8="不临65条商业街",1,ROUND(1+(1.6*E8+1.2*E9+0.8*E10+0.4*E11)*C9,4))</f>
        <v>1</v>
      </c>
      <c r="D7" s="2022" t="s">
        <v>1935</v>
      </c>
      <c r="E7" s="776"/>
      <c r="F7" s="2023"/>
      <c r="G7" s="2024"/>
      <c r="H7" s="2024"/>
      <c r="I7" s="2024"/>
      <c r="J7" s="2025"/>
      <c r="K7" s="1384"/>
      <c r="L7" s="2003" t="s">
        <v>1936</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1937</v>
      </c>
      <c r="X7" s="1214" t="str">
        <f>G2</f>
        <v>二级</v>
      </c>
      <c r="Y7" s="1214" t="s">
        <v>1938</v>
      </c>
      <c r="Z7" s="1215">
        <f>G3</f>
        <v>3.5</v>
      </c>
      <c r="AA7" s="1216"/>
      <c r="AB7" s="1216"/>
      <c r="AC7" s="1217"/>
      <c r="AD7" s="1218"/>
      <c r="AE7" s="1218"/>
      <c r="AF7" s="1218"/>
      <c r="AG7" s="1218"/>
      <c r="AH7" s="1218"/>
      <c r="AI7" s="1218"/>
      <c r="AJ7" s="1219"/>
    </row>
    <row r="8" spans="1:36" ht="25.5">
      <c r="A8" s="3275"/>
      <c r="B8" s="170" t="s">
        <v>1939</v>
      </c>
      <c r="C8" s="2026" t="s">
        <v>3393</v>
      </c>
      <c r="D8" s="756" t="s">
        <v>112</v>
      </c>
      <c r="E8" s="757" t="e">
        <f>ROUND(C11/E7,4)</f>
        <v>#DIV/0!</v>
      </c>
      <c r="F8" s="2027" t="s">
        <v>1940</v>
      </c>
      <c r="G8" s="2028"/>
      <c r="H8" s="2028"/>
      <c r="I8" s="2028"/>
      <c r="J8" s="2029"/>
      <c r="K8" s="1119"/>
      <c r="L8" s="2003" t="s">
        <v>1941</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858" t="s">
        <v>1942</v>
      </c>
      <c r="X8" s="3859"/>
      <c r="Y8" s="1220" t="s">
        <v>1943</v>
      </c>
      <c r="Z8" s="1220" t="s">
        <v>1944</v>
      </c>
      <c r="AA8" s="1220" t="s">
        <v>1945</v>
      </c>
      <c r="AB8" s="1220" t="s">
        <v>1946</v>
      </c>
      <c r="AC8" s="1220" t="s">
        <v>1947</v>
      </c>
      <c r="AD8" s="1220" t="s">
        <v>1948</v>
      </c>
      <c r="AE8" s="1220" t="s">
        <v>1949</v>
      </c>
      <c r="AF8" s="1220" t="s">
        <v>1950</v>
      </c>
      <c r="AG8" s="1220" t="s">
        <v>1951</v>
      </c>
      <c r="AH8" s="1220" t="s">
        <v>1952</v>
      </c>
      <c r="AI8" s="1220" t="s">
        <v>1953</v>
      </c>
      <c r="AJ8" s="1220" t="s">
        <v>1954</v>
      </c>
    </row>
    <row r="9" spans="1:36" ht="15">
      <c r="A9" s="3275"/>
      <c r="B9" s="170" t="s">
        <v>1955</v>
      </c>
      <c r="C9" s="758">
        <f>SUMIF(修正!C71:C138,C8,修正!E71:E138)</f>
        <v>0</v>
      </c>
      <c r="D9" s="171" t="s">
        <v>113</v>
      </c>
      <c r="E9" s="171" t="e">
        <f>ROUND(C11/E7,4)</f>
        <v>#DIV/0!</v>
      </c>
      <c r="F9" s="2027" t="s">
        <v>1956</v>
      </c>
      <c r="G9" s="2028"/>
      <c r="H9" s="2028"/>
      <c r="I9" s="2028"/>
      <c r="J9" s="2029"/>
      <c r="K9" s="1119"/>
      <c r="L9" s="2003" t="s">
        <v>1957</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860"/>
      <c r="X9" s="3338" t="s">
        <v>3249</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1958</v>
      </c>
      <c r="C10" s="171">
        <f>SUMIF(修正!C71:C138,C8,修正!F71:F138)</f>
        <v>0</v>
      </c>
      <c r="D10" s="171" t="s">
        <v>114</v>
      </c>
      <c r="E10" s="171" t="e">
        <f>ROUND(C11/E7,4)</f>
        <v>#DIV/0!</v>
      </c>
      <c r="F10" s="2027" t="s">
        <v>1959</v>
      </c>
      <c r="G10" s="2028"/>
      <c r="H10" s="2028"/>
      <c r="I10" s="2028"/>
      <c r="J10" s="2029"/>
      <c r="K10" s="1119"/>
      <c r="L10" s="2003" t="s">
        <v>1960</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860"/>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1961</v>
      </c>
      <c r="C11" s="759">
        <f>C10/4</f>
        <v>0</v>
      </c>
      <c r="D11" s="759" t="s">
        <v>115</v>
      </c>
      <c r="E11" s="759" t="e">
        <f>ROUND(C11/E7,4)</f>
        <v>#DIV/0!</v>
      </c>
      <c r="F11" s="2031" t="s">
        <v>1962</v>
      </c>
      <c r="G11" s="2032"/>
      <c r="H11" s="2032"/>
      <c r="I11" s="2032"/>
      <c r="J11" s="2033"/>
      <c r="K11" s="1119"/>
      <c r="L11" s="2003" t="s">
        <v>1963</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5"/>
      <c r="AE11" s="2765"/>
      <c r="AF11" s="2765"/>
      <c r="AG11" s="2765"/>
      <c r="AH11" s="2765"/>
      <c r="AI11" s="2765"/>
      <c r="AJ11" s="2766"/>
    </row>
    <row r="12" spans="1:36" ht="25.5" thickBot="1">
      <c r="A12" s="3280" t="s">
        <v>3219</v>
      </c>
      <c r="B12" s="3281" t="s">
        <v>3220</v>
      </c>
      <c r="C12" s="3282">
        <v>1</v>
      </c>
      <c r="D12" s="3283" t="s">
        <v>3221</v>
      </c>
      <c r="E12" s="3284" t="s">
        <v>3222</v>
      </c>
      <c r="F12" s="3285"/>
      <c r="G12" s="3286"/>
      <c r="H12" s="3286"/>
      <c r="I12" s="3286"/>
      <c r="J12" s="3287"/>
      <c r="K12" s="1119"/>
      <c r="L12" s="2039" t="s">
        <v>1966</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5"/>
      <c r="AE12" s="2765"/>
      <c r="AF12" s="2765"/>
      <c r="AG12" s="2765"/>
      <c r="AH12" s="2765"/>
      <c r="AI12" s="2765"/>
      <c r="AJ12" s="2766"/>
    </row>
    <row r="13" spans="1:36" ht="15.75" thickBot="1">
      <c r="A13" s="3280" t="s">
        <v>3223</v>
      </c>
      <c r="B13" s="2034" t="s">
        <v>1964</v>
      </c>
      <c r="C13" s="755">
        <f>ROUND(C16*D16*E16*F16*G16*H16*I16*J16,4)</f>
        <v>0</v>
      </c>
      <c r="D13" s="2035" t="s">
        <v>1965</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5"/>
      <c r="AE13" s="2765"/>
      <c r="AF13" s="2765"/>
      <c r="AG13" s="2765"/>
      <c r="AH13" s="2765"/>
      <c r="AI13" s="2765"/>
      <c r="AJ13" s="2766"/>
    </row>
    <row r="14" spans="1:36" ht="15">
      <c r="A14" s="3274"/>
      <c r="B14" s="2040" t="s">
        <v>1967</v>
      </c>
      <c r="C14" s="2041" t="s">
        <v>1968</v>
      </c>
      <c r="D14" s="1350" t="s">
        <v>1969</v>
      </c>
      <c r="E14" s="27" t="s">
        <v>1970</v>
      </c>
      <c r="F14" s="3288" t="s">
        <v>3224</v>
      </c>
      <c r="G14" s="3288" t="s">
        <v>3224</v>
      </c>
      <c r="H14" s="3288" t="s">
        <v>3224</v>
      </c>
      <c r="I14" s="3288" t="s">
        <v>3224</v>
      </c>
      <c r="J14" s="3288" t="s">
        <v>3224</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5"/>
      <c r="AE14" s="2765"/>
      <c r="AF14" s="2765"/>
      <c r="AG14" s="2765"/>
      <c r="AH14" s="2765"/>
      <c r="AI14" s="2765"/>
      <c r="AJ14" s="2766"/>
    </row>
    <row r="15" spans="1:36" ht="15">
      <c r="A15" s="3274"/>
      <c r="B15" s="2042"/>
      <c r="C15" s="2043"/>
      <c r="D15" s="2044"/>
      <c r="E15" s="2045"/>
      <c r="F15" s="3289" t="s">
        <v>3225</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5"/>
      <c r="AE15" s="2765"/>
      <c r="AF15" s="2765"/>
      <c r="AG15" s="2765"/>
      <c r="AH15" s="2765"/>
      <c r="AI15" s="2765"/>
      <c r="AJ15" s="2766"/>
    </row>
    <row r="16" spans="1:36" ht="15.75" thickBot="1">
      <c r="A16" s="3274"/>
      <c r="B16" s="3296" t="s">
        <v>1971</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5"/>
      <c r="AE16" s="2765"/>
      <c r="AF16" s="2765"/>
      <c r="AG16" s="2765"/>
      <c r="AH16" s="2765"/>
      <c r="AI16" s="2765"/>
      <c r="AJ16" s="2766"/>
    </row>
    <row r="17" spans="1:37">
      <c r="A17" s="3306" t="s">
        <v>3226</v>
      </c>
      <c r="B17" s="3297" t="s">
        <v>3227</v>
      </c>
      <c r="C17" s="3307">
        <f>ROUND(IF(OR(E2="工业",E2="公共服务"),1,IF(AND(E18=0,E19=0),1,IF(AND(E18=J24,E19=G19),0.8,IF(E19=0,1+E17*(-0.2),1+E17*G17*(-0.2))))),4)</f>
        <v>1</v>
      </c>
      <c r="D17" s="3298" t="s">
        <v>3228</v>
      </c>
      <c r="E17" s="3307">
        <f>ROUND(G18/I18,2)</f>
        <v>0</v>
      </c>
      <c r="F17" s="3298" t="s">
        <v>3231</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6"/>
      <c r="C18" s="3304"/>
      <c r="D18" s="3299" t="s">
        <v>3229</v>
      </c>
      <c r="E18" s="3305"/>
      <c r="F18" s="3300" t="s">
        <v>3232</v>
      </c>
      <c r="G18" s="3304">
        <f>ROUND(1-(1/(POWER(1+G24,E18))),4)</f>
        <v>0</v>
      </c>
      <c r="H18" s="3300" t="s">
        <v>3234</v>
      </c>
      <c r="I18" s="3304">
        <f>ROUND(1-(1/(POWER(1+G24,J24))),4)</f>
        <v>0.93120000000000003</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4"/>
    </row>
    <row r="19" spans="1:37" s="2014" customFormat="1" ht="15" thickBot="1">
      <c r="A19" s="3311"/>
      <c r="B19" s="3312"/>
      <c r="C19" s="3313"/>
      <c r="D19" s="3313" t="s">
        <v>3230</v>
      </c>
      <c r="E19" s="3314"/>
      <c r="F19" s="3315" t="s">
        <v>3233</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7"/>
      <c r="AH19" s="2141"/>
      <c r="AI19" s="2768"/>
      <c r="AJ19" s="2768"/>
      <c r="AK19" s="2057"/>
    </row>
    <row r="20" spans="1:37" s="2014" customFormat="1" ht="14.25">
      <c r="A20" s="3865" t="s">
        <v>3235</v>
      </c>
      <c r="B20" s="167" t="s">
        <v>1976</v>
      </c>
      <c r="C20" s="3301">
        <f>ROUND(IF(F21="与级别开发程度一致",0,(G21-E21)/C21),0)</f>
        <v>0</v>
      </c>
      <c r="D20" s="3317" t="s">
        <v>1980</v>
      </c>
      <c r="E20" s="3318"/>
      <c r="F20" s="3871" t="s">
        <v>1977</v>
      </c>
      <c r="G20" s="3872"/>
      <c r="H20" s="3302" t="s">
        <v>3372</v>
      </c>
      <c r="I20" s="3302" t="s">
        <v>3373</v>
      </c>
      <c r="J20" s="3303" t="s">
        <v>3374</v>
      </c>
      <c r="K20" s="2047" t="s">
        <v>3375</v>
      </c>
      <c r="L20" s="2047" t="s">
        <v>3376</v>
      </c>
      <c r="M20" s="2047" t="s">
        <v>3377</v>
      </c>
      <c r="N20" s="2047" t="s">
        <v>3378</v>
      </c>
      <c r="O20" s="2048" t="s">
        <v>3394</v>
      </c>
      <c r="P20" s="1997"/>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4" customFormat="1" ht="26.25" thickBot="1">
      <c r="A21" s="3866"/>
      <c r="B21" s="2164" t="s">
        <v>1979</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3395</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4" customFormat="1" ht="15.75" thickBot="1">
      <c r="A22" s="2158" t="s">
        <v>363</v>
      </c>
      <c r="B22" s="2159" t="s">
        <v>1982</v>
      </c>
      <c r="C22" s="2160">
        <f>SUMIF(修正!C20:C51,E3,修正!E20:E51)</f>
        <v>1</v>
      </c>
      <c r="D22" s="2161"/>
      <c r="E22" s="2162"/>
      <c r="F22" s="2162"/>
      <c r="G22" s="2162"/>
      <c r="H22" s="2162"/>
      <c r="I22" s="2162"/>
      <c r="J22" s="2163"/>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50" t="s">
        <v>364</v>
      </c>
      <c r="B23" s="2051" t="s">
        <v>1983</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4" t="s">
        <v>1984</v>
      </c>
      <c r="E23" s="761">
        <v>44197</v>
      </c>
      <c r="F23" s="2054" t="s">
        <v>1985</v>
      </c>
      <c r="G23" s="762">
        <f>'数据-取费表'!B2</f>
        <v>45406</v>
      </c>
      <c r="H23" s="3319" t="s">
        <v>3237</v>
      </c>
      <c r="I23" s="3320" t="str">
        <f>IF(H23="季度增幅（自定义）",SUMIF(N25:N28,E2,O25:O28),"")</f>
        <v/>
      </c>
      <c r="J23" s="3422" t="s">
        <v>3236</v>
      </c>
      <c r="K23" s="1125"/>
      <c r="L23" s="2055" t="s">
        <v>1986</v>
      </c>
      <c r="M23" s="1328">
        <f>ROUND(SUMIF(地价!B2:G2,E2,地价!B16:G16),0)</f>
        <v>350</v>
      </c>
      <c r="N23" s="2056" t="s">
        <v>1987</v>
      </c>
      <c r="O23" s="763">
        <f>ROUNDDOWN(DATEDIF(E23,G23,"M")/3,0)</f>
        <v>13</v>
      </c>
      <c r="P23" s="1122"/>
      <c r="Q23" s="276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1988</v>
      </c>
      <c r="C24" s="764">
        <f>ROUND(POWER(1+G24,J24-I24)*(POWER(1+G24,I24)-1)/(POWER(1+G24,J24)-1),4)</f>
        <v>0.72199999999999998</v>
      </c>
      <c r="D24" s="2060" t="s">
        <v>1989</v>
      </c>
      <c r="E24" s="1335">
        <f>存贷款利率!E24/100</f>
        <v>4.3499999999999997E-2</v>
      </c>
      <c r="F24" s="2060" t="s">
        <v>1981</v>
      </c>
      <c r="G24" s="768">
        <f>SUMIF(M30:Q30,E2,M33:Q33)</f>
        <v>5.5E-2</v>
      </c>
      <c r="H24" s="2060" t="s">
        <v>1990</v>
      </c>
      <c r="I24" s="769">
        <f>SUMIF('数据-取费表'!C6:C15,E2,'数据-取费表'!F6:F15)/COUNTIF('数据-取费表'!C6:C15,E2)</f>
        <v>20.84</v>
      </c>
      <c r="J24" s="770">
        <f>IF(E2="住宅",70,IF(E2="商业",40,50))</f>
        <v>50</v>
      </c>
      <c r="K24" s="1125"/>
      <c r="L24" s="2061" t="s">
        <v>1991</v>
      </c>
      <c r="M24" s="1329">
        <f>ROUND(SUMPRODUCT((地价!A4:A16=YEAR(G23)&amp;"-"&amp;ROUNDUP(MONTH(G23)/3,0))*(地价!B2:G2=E2)*(地价!B4:G16)),0)</f>
        <v>0</v>
      </c>
      <c r="N24" s="2062" t="s">
        <v>1992</v>
      </c>
      <c r="O24" s="2063" t="s">
        <v>1993</v>
      </c>
      <c r="P24" s="2064" t="s">
        <v>1994</v>
      </c>
      <c r="Q24" s="1997"/>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5" t="s">
        <v>366</v>
      </c>
      <c r="B25" s="2066" t="s">
        <v>3316</v>
      </c>
      <c r="C25" s="771">
        <f>IF(B25="容积率修正",IF(G3&lt;10,D26,J26),C27)</f>
        <v>1</v>
      </c>
      <c r="D25" s="2067"/>
      <c r="E25" s="2067"/>
      <c r="F25" s="2067"/>
      <c r="G25" s="2067"/>
      <c r="H25" s="2067"/>
      <c r="I25" s="2067"/>
      <c r="J25" s="2068"/>
      <c r="K25" s="1125"/>
      <c r="L25" s="2764"/>
      <c r="M25" s="2764"/>
      <c r="N25" s="2069" t="s">
        <v>1995</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1996</v>
      </c>
      <c r="B26" s="2070" t="s">
        <v>1997</v>
      </c>
      <c r="C26" s="3321" t="s">
        <v>3238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3239</v>
      </c>
      <c r="J26" s="772" t="str">
        <f>IF(G3&gt;=10,D115,"——")</f>
        <v>——</v>
      </c>
      <c r="K26" s="1125"/>
      <c r="L26" s="2764"/>
      <c r="M26" s="2764"/>
      <c r="N26" s="2069" t="s">
        <v>1998</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1999</v>
      </c>
      <c r="B27" s="2071" t="s">
        <v>2000</v>
      </c>
      <c r="C27" s="841">
        <f>ROUND(IF(I3&lt;6,SUMPRODUCT((B106:B110=I3)*(C105:N105=G2)*(C106:N110)),SUMIF(C105:N105,G2,C112:N112)),4)</f>
        <v>0</v>
      </c>
      <c r="D27" s="2046"/>
      <c r="E27" s="2046"/>
      <c r="F27" s="2072"/>
      <c r="G27" s="2073"/>
      <c r="H27" s="2074"/>
      <c r="I27" s="2075"/>
      <c r="J27" s="2076"/>
      <c r="K27" s="1119"/>
      <c r="L27" s="1997"/>
      <c r="M27" s="1997"/>
      <c r="N27" s="2069" t="s">
        <v>2001</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2002</v>
      </c>
      <c r="C28" s="760">
        <f>SUMIF(A47:A101,E2,B47:B101)</f>
        <v>1.0519000000000001</v>
      </c>
      <c r="D28" s="2052"/>
      <c r="E28" s="2077"/>
      <c r="F28" s="2077"/>
      <c r="G28" s="2077"/>
      <c r="H28" s="2077"/>
      <c r="I28" s="2077"/>
      <c r="J28" s="2078"/>
      <c r="K28" s="1125"/>
      <c r="L28" s="2764"/>
      <c r="M28" s="2764"/>
      <c r="N28" s="2079" t="s">
        <v>2003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2004</v>
      </c>
      <c r="C29" s="765"/>
      <c r="D29" s="2024"/>
      <c r="E29" s="2024"/>
      <c r="F29" s="2081"/>
      <c r="G29" s="2024"/>
      <c r="H29" s="2024"/>
      <c r="I29" s="2024"/>
      <c r="J29" s="2025"/>
      <c r="K29" s="1119"/>
      <c r="L29" s="1997"/>
      <c r="M29" s="1997"/>
      <c r="N29" s="2761" t="s">
        <v>2005</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2006</v>
      </c>
      <c r="C30" s="2321">
        <f>IF(B25="容积率修正",E33+SUM(E37:E42),SUM(V2:V16)+SUM(E37:E42))</f>
        <v>65968</v>
      </c>
      <c r="D30" s="2083"/>
      <c r="E30" s="2046"/>
      <c r="F30" s="2084"/>
      <c r="G30" s="2046"/>
      <c r="H30" s="2046"/>
      <c r="I30" s="2046"/>
      <c r="J30" s="2085"/>
      <c r="K30" s="1119"/>
      <c r="L30" s="3327" t="s">
        <v>1918</v>
      </c>
      <c r="M30" s="3328" t="s">
        <v>1972</v>
      </c>
      <c r="N30" s="3328" t="s">
        <v>1973</v>
      </c>
      <c r="O30" s="3328" t="s">
        <v>1974</v>
      </c>
      <c r="P30" s="3328" t="s">
        <v>1975</v>
      </c>
      <c r="Q30" s="3331" t="s">
        <v>3243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2007</v>
      </c>
      <c r="C31" s="766">
        <f>E34+SUM(I37:I42)</f>
        <v>1694</v>
      </c>
      <c r="D31" s="2087"/>
      <c r="E31" s="2088"/>
      <c r="F31" s="2089"/>
      <c r="G31" s="2088"/>
      <c r="H31" s="2088"/>
      <c r="I31" s="2088"/>
      <c r="J31" s="2090"/>
      <c r="K31" s="1119"/>
      <c r="L31" s="3329" t="s">
        <v>1978</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2008</v>
      </c>
      <c r="C32" s="2093" t="s">
        <v>2009</v>
      </c>
      <c r="D32" s="2093" t="s">
        <v>2010</v>
      </c>
      <c r="E32" s="2094" t="s">
        <v>2011</v>
      </c>
      <c r="F32" s="2095"/>
      <c r="G32" s="2037"/>
      <c r="H32" s="2037"/>
      <c r="I32" s="2037"/>
      <c r="J32" s="2038"/>
      <c r="K32" s="1119"/>
      <c r="L32" s="3330" t="s">
        <v>1981</v>
      </c>
      <c r="M32" s="2547">
        <f>ROUND($E$24*(1+M31),3)</f>
        <v>5.3999999999999999E-2</v>
      </c>
      <c r="N32" s="2547">
        <f>ROUND($E$24*(1+N31),3)</f>
        <v>5.1999999999999998E-2</v>
      </c>
      <c r="O32" s="2547">
        <f>ROUND($E$24*(1+O31),3)</f>
        <v>0.05</v>
      </c>
      <c r="P32" s="2547">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2012</v>
      </c>
      <c r="C33" s="175">
        <f>ROUND(C5*C22*C23*C24*C25*C28,0)</f>
        <v>23110</v>
      </c>
      <c r="D33" s="2098">
        <f>'数据-汇总表'!F31</f>
        <v>25613.089999999997</v>
      </c>
      <c r="E33" s="773">
        <f>ROUND(C33*D33/10000,0)</f>
        <v>59192</v>
      </c>
      <c r="F33" s="3322" t="s">
        <v>3241</v>
      </c>
      <c r="G33" s="2099"/>
      <c r="H33" s="2099"/>
      <c r="I33" s="2099"/>
      <c r="J33" s="2100"/>
      <c r="K33" s="1119"/>
      <c r="L33" s="3325" t="s">
        <v>3244</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2013</v>
      </c>
      <c r="C34" s="187">
        <f>ROUND(IF(E2="工业",C33*M42,IF(B25="楼层修正",SUM(V2:V16)*M41*10000/D34,C33*M41)),0)</f>
        <v>5778</v>
      </c>
      <c r="D34" s="2103"/>
      <c r="E34" s="773">
        <f>ROUND(IF(B25="楼层修正",SUM(V2:V16)*M40,C34*D34/10000),0)</f>
        <v>0</v>
      </c>
      <c r="F34" s="2104" t="s">
        <v>2014</v>
      </c>
      <c r="G34" s="2105"/>
      <c r="H34" s="2105"/>
      <c r="I34" s="2105"/>
      <c r="J34" s="2106"/>
      <c r="K34" s="1119"/>
      <c r="L34" s="3325" t="s">
        <v>3245</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2015</v>
      </c>
      <c r="C35" s="3323" t="s">
        <v>3242</v>
      </c>
      <c r="D35" s="2037"/>
      <c r="E35" s="2109"/>
      <c r="F35" s="2109"/>
      <c r="G35" s="2035" t="s">
        <v>2016</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2009</v>
      </c>
      <c r="D36" s="447" t="s">
        <v>2010</v>
      </c>
      <c r="E36" s="447" t="s">
        <v>2011</v>
      </c>
      <c r="F36" s="342" t="s">
        <v>2017</v>
      </c>
      <c r="G36" s="2112" t="s">
        <v>2009</v>
      </c>
      <c r="H36" s="2112" t="s">
        <v>2010</v>
      </c>
      <c r="I36" s="2112" t="s">
        <v>2011</v>
      </c>
      <c r="J36" s="243"/>
      <c r="K36" s="3333" t="s">
        <v>3246</v>
      </c>
      <c r="L36" s="3423">
        <f ca="1">'数据-取费表'!B40</f>
        <v>3.4500000000000003E-2</v>
      </c>
      <c r="M36" s="3334">
        <f ca="1">ROUND($L$36*(1+M31),3)</f>
        <v>4.2999999999999997E-2</v>
      </c>
      <c r="N36" s="3334">
        <f ca="1">ROUND($L$36*(1+N31),3)</f>
        <v>4.1000000000000002E-2</v>
      </c>
      <c r="O36" s="3334">
        <f ca="1">ROUND($L$36*(1+O31),3)</f>
        <v>0.04</v>
      </c>
      <c r="P36" s="3334">
        <f ca="1">ROUND($L$36*(1+P31),3)</f>
        <v>3.7999999999999999E-2</v>
      </c>
      <c r="Q36" s="333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69"/>
      <c r="B37" s="2113" t="s">
        <v>2018</v>
      </c>
      <c r="C37" s="175">
        <f>ROUND(D5*C22*C23*C24*C28*F37,0)</f>
        <v>16177</v>
      </c>
      <c r="D37" s="2098">
        <f>取值过程!E25</f>
        <v>3265</v>
      </c>
      <c r="E37" s="171">
        <f>ROUND(C37*D37/10000,0)</f>
        <v>5282</v>
      </c>
      <c r="F37" s="171">
        <f>SUMIF(修正!A57:A68,G2,修正!B57:B68)</f>
        <v>0.7</v>
      </c>
      <c r="G37" s="171">
        <f>ROUND(IF(E2="工业",C37*$M$42,C37*$M$41),0)</f>
        <v>4044</v>
      </c>
      <c r="H37" s="171">
        <f>D37</f>
        <v>3265</v>
      </c>
      <c r="I37" s="171">
        <f>ROUND(G37*H37/10000,0)</f>
        <v>1320</v>
      </c>
      <c r="J37" s="2988"/>
      <c r="K37" s="3335" t="s">
        <v>3247</v>
      </c>
      <c r="L37" s="3333">
        <f ca="1">L36+K38</f>
        <v>3.95E-2</v>
      </c>
      <c r="M37" s="3334">
        <f ca="1">ROUND($L$37*(1+M31),3)</f>
        <v>4.9000000000000002E-2</v>
      </c>
      <c r="N37" s="3334">
        <f t="shared" ref="N37:Q37" ca="1" si="3">ROUND($L$37*(1+N31),3)</f>
        <v>4.7E-2</v>
      </c>
      <c r="O37" s="3334">
        <f t="shared" ca="1" si="3"/>
        <v>4.4999999999999998E-2</v>
      </c>
      <c r="P37" s="3334">
        <f t="shared" ca="1" si="3"/>
        <v>4.2999999999999997E-2</v>
      </c>
      <c r="Q37" s="333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0"/>
      <c r="B38" s="2041" t="s">
        <v>2019</v>
      </c>
      <c r="C38" s="175">
        <f>ROUND(D5*C22*C23*C24*C28*F38,0)</f>
        <v>9244</v>
      </c>
      <c r="D38" s="2098"/>
      <c r="E38" s="171">
        <f t="shared" ref="E38:E42" si="4">ROUND(C38*D38/10000,0)</f>
        <v>0</v>
      </c>
      <c r="F38" s="171">
        <f>SUMIF(修正!A57:A68,G2,修正!C57:C68)</f>
        <v>0.4</v>
      </c>
      <c r="G38" s="171">
        <f>ROUND(IF(E2="工业",C38*$M$42,C38*$M$41),0)</f>
        <v>2311</v>
      </c>
      <c r="H38" s="171">
        <f t="shared" ref="H38:H42" si="5">D38</f>
        <v>0</v>
      </c>
      <c r="I38" s="171">
        <f t="shared" ref="I38:I42" si="6">ROUND(G38*H38/10000,0)</f>
        <v>0</v>
      </c>
      <c r="J38" s="2987"/>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870"/>
      <c r="B39" s="2041" t="s">
        <v>3240</v>
      </c>
      <c r="C39" s="175">
        <f>ROUND(D5*C22*C23*C24*C28*F39,0)</f>
        <v>6933</v>
      </c>
      <c r="D39" s="2098"/>
      <c r="E39" s="171">
        <f t="shared" si="4"/>
        <v>0</v>
      </c>
      <c r="F39" s="171">
        <f>SUMIF(修正!A57:A68,G2,修正!D57:D68)</f>
        <v>0.3</v>
      </c>
      <c r="G39" s="171">
        <f>ROUND(IF(E2="工业",C39*$M$42,C39*$M$41),0)</f>
        <v>1733</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2020</v>
      </c>
      <c r="C40" s="171">
        <f>ROUND(D5*C22*C23*C24*C28*F40,0)</f>
        <v>6933</v>
      </c>
      <c r="D40" s="2098"/>
      <c r="E40" s="171">
        <f t="shared" si="4"/>
        <v>0</v>
      </c>
      <c r="F40" s="175">
        <f>SUMIF(修正!A57:A68,G2,修正!E57:E68)</f>
        <v>0.3</v>
      </c>
      <c r="G40" s="171">
        <f>ROUND(IF(E2="工业",C40*$M$42,C40*$M$41),0)</f>
        <v>1733</v>
      </c>
      <c r="H40" s="171">
        <f t="shared" si="5"/>
        <v>0</v>
      </c>
      <c r="I40" s="171">
        <f t="shared" si="6"/>
        <v>0</v>
      </c>
      <c r="J40" s="2114"/>
      <c r="L40" s="2116" t="s">
        <v>2021</v>
      </c>
      <c r="M40" s="2117"/>
      <c r="Z40" s="1120"/>
      <c r="AA40" s="1120"/>
      <c r="AB40" s="1120"/>
      <c r="AC40" s="1120"/>
      <c r="AD40" s="1120"/>
      <c r="AE40" s="1120"/>
      <c r="AF40" s="1120"/>
      <c r="AG40" s="1120"/>
      <c r="AH40" s="1120"/>
      <c r="AI40" s="1120"/>
      <c r="AJ40" s="1120"/>
    </row>
    <row r="41" spans="1:37" s="1119" customFormat="1">
      <c r="A41" s="2115"/>
      <c r="B41" s="2041" t="s">
        <v>2022</v>
      </c>
      <c r="C41" s="171">
        <f>ROUND(D5*C22*C23*C44*C28*F41,0)</f>
        <v>6933</v>
      </c>
      <c r="D41" s="2098"/>
      <c r="E41" s="171">
        <f t="shared" si="4"/>
        <v>0</v>
      </c>
      <c r="F41" s="175">
        <f>SUMIF(修正!A57:A68,G2,修正!F57:F68)</f>
        <v>0.3</v>
      </c>
      <c r="G41" s="171">
        <f>ROUND(IF(E2="工业",C41*$M$42,C41*$M$41),0)</f>
        <v>1733</v>
      </c>
      <c r="H41" s="171">
        <f t="shared" si="5"/>
        <v>0</v>
      </c>
      <c r="I41" s="171">
        <f t="shared" si="6"/>
        <v>0</v>
      </c>
      <c r="J41" s="2114"/>
      <c r="L41" s="3336" t="s">
        <v>3248</v>
      </c>
      <c r="M41" s="2118">
        <v>0.25</v>
      </c>
      <c r="Z41" s="1120"/>
      <c r="AA41" s="1120"/>
      <c r="AB41" s="1120"/>
      <c r="AC41" s="1120"/>
      <c r="AD41" s="1120"/>
      <c r="AE41" s="1120"/>
      <c r="AF41" s="1120"/>
      <c r="AG41" s="1120"/>
      <c r="AH41" s="1120"/>
      <c r="AI41" s="1120"/>
      <c r="AJ41" s="1120"/>
    </row>
    <row r="42" spans="1:37" s="1119" customFormat="1" ht="13.5" thickBot="1">
      <c r="A42" s="2101"/>
      <c r="B42" s="2119" t="s">
        <v>2023</v>
      </c>
      <c r="C42" s="187">
        <f>ROUND(D5*C22*C23*C44*C28*F42,0)</f>
        <v>4622</v>
      </c>
      <c r="D42" s="3576">
        <f>取值过程!E26</f>
        <v>3232</v>
      </c>
      <c r="E42" s="187">
        <f t="shared" si="4"/>
        <v>1494</v>
      </c>
      <c r="F42" s="767">
        <f>SUMIF(修正!A57:A68,G2,修正!G57:G68)</f>
        <v>0.2</v>
      </c>
      <c r="G42" s="187">
        <f>ROUND(IF(E2="工业",C42*$M$42,C42*$M$41),0)</f>
        <v>1156</v>
      </c>
      <c r="H42" s="187">
        <f t="shared" si="5"/>
        <v>3232</v>
      </c>
      <c r="I42" s="187">
        <f t="shared" si="6"/>
        <v>374</v>
      </c>
      <c r="J42" s="2120"/>
      <c r="L42" s="2121" t="s">
        <v>1975</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2104</v>
      </c>
      <c r="C44" s="342">
        <f>ROUND(POWER(1+E44,H44-G44)*(POWER(1+E44,G44)-1)/(POWER(1+E44,H44)-1),4)</f>
        <v>0.72199999999999998</v>
      </c>
      <c r="D44" s="171" t="s">
        <v>1981</v>
      </c>
      <c r="E44" s="2153">
        <f>G24</f>
        <v>5.5E-2</v>
      </c>
      <c r="F44" s="171" t="s">
        <v>1990</v>
      </c>
      <c r="G44" s="183">
        <f>项目基本情况!F15</f>
        <v>20.84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2024</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2025</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2026</v>
      </c>
      <c r="B49" s="1351" t="s">
        <v>2027</v>
      </c>
      <c r="C49" s="1351" t="s">
        <v>2028</v>
      </c>
      <c r="D49" s="1351" t="s">
        <v>2029</v>
      </c>
      <c r="E49" s="743" t="s">
        <v>2030</v>
      </c>
      <c r="F49" s="2131" t="s">
        <v>2031</v>
      </c>
      <c r="G49" s="1351" t="s">
        <v>310</v>
      </c>
      <c r="H49" s="2132" t="s">
        <v>2032</v>
      </c>
      <c r="I49" s="1351" t="s">
        <v>2033</v>
      </c>
      <c r="J49" s="552" t="s">
        <v>1703</v>
      </c>
      <c r="K49" s="552" t="s">
        <v>1704</v>
      </c>
      <c r="L49" s="552" t="s">
        <v>1705</v>
      </c>
      <c r="M49" s="552" t="s">
        <v>1706</v>
      </c>
      <c r="N49" s="552" t="s">
        <v>1707</v>
      </c>
      <c r="AA49" s="1120"/>
      <c r="AB49" s="1120"/>
      <c r="AC49" s="1120"/>
      <c r="AD49" s="1120"/>
      <c r="AE49" s="1120"/>
      <c r="AF49" s="1120"/>
      <c r="AG49" s="1120"/>
      <c r="AH49" s="1120"/>
      <c r="AI49" s="1120"/>
      <c r="AJ49" s="1120"/>
      <c r="AK49" s="1120"/>
    </row>
    <row r="50" spans="1:37" s="1119" customFormat="1" ht="24.75" hidden="1">
      <c r="A50" s="2130" t="s">
        <v>2034</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2035</v>
      </c>
      <c r="B51" s="2134" t="str">
        <f>估价对象房地状况!C18</f>
        <v>较好</v>
      </c>
      <c r="C51" s="2044"/>
      <c r="D51" s="1065">
        <f t="shared" si="7"/>
        <v>0</v>
      </c>
      <c r="E51" s="745"/>
      <c r="F51" s="1814"/>
      <c r="G51" s="1063"/>
      <c r="H51" s="1066" t="str">
        <f t="shared" si="8"/>
        <v>——</v>
      </c>
      <c r="I51" s="334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5" t="s">
        <v>3250</v>
      </c>
      <c r="B52" s="2134">
        <f>估价对象房地状况!C19</f>
        <v>0</v>
      </c>
      <c r="C52" s="2044"/>
      <c r="D52" s="1065">
        <f t="shared" si="7"/>
        <v>0</v>
      </c>
      <c r="E52" s="745"/>
      <c r="F52" s="1814"/>
      <c r="G52" s="1063"/>
      <c r="H52" s="1066" t="str">
        <f t="shared" si="8"/>
        <v>——</v>
      </c>
      <c r="I52" s="334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2036</v>
      </c>
      <c r="B53" s="2135" t="s">
        <v>2037</v>
      </c>
      <c r="C53" s="2044"/>
      <c r="D53" s="1065">
        <f t="shared" si="7"/>
        <v>0</v>
      </c>
      <c r="E53" s="745"/>
      <c r="F53" s="1814"/>
      <c r="G53" s="1063"/>
      <c r="H53" s="1066" t="str">
        <f t="shared" si="8"/>
        <v>——</v>
      </c>
      <c r="I53" s="334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2038</v>
      </c>
      <c r="B54" s="2134">
        <f>估价对象房地状况!C24</f>
        <v>0</v>
      </c>
      <c r="C54" s="2044"/>
      <c r="D54" s="1065">
        <f t="shared" si="7"/>
        <v>0</v>
      </c>
      <c r="E54" s="745"/>
      <c r="F54" s="1814"/>
      <c r="G54" s="1063"/>
      <c r="H54" s="1066" t="str">
        <f t="shared" si="8"/>
        <v>——</v>
      </c>
      <c r="I54" s="334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2039</v>
      </c>
      <c r="B55" s="2136" t="s">
        <v>2040</v>
      </c>
      <c r="C55" s="2044"/>
      <c r="D55" s="1065">
        <f t="shared" si="7"/>
        <v>0</v>
      </c>
      <c r="E55" s="745"/>
      <c r="F55" s="1814"/>
      <c r="G55" s="1063"/>
      <c r="H55" s="1066" t="str">
        <f t="shared" si="8"/>
        <v>——</v>
      </c>
      <c r="I55" s="334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2041</v>
      </c>
      <c r="B56" s="1326" t="str">
        <f>估价对象房地状况!C21</f>
        <v>较好</v>
      </c>
      <c r="C56" s="2044"/>
      <c r="D56" s="1065">
        <f t="shared" si="7"/>
        <v>0</v>
      </c>
      <c r="E56" s="745"/>
      <c r="F56" s="1814"/>
      <c r="G56" s="1063"/>
      <c r="H56" s="1066" t="str">
        <f t="shared" si="8"/>
        <v>——</v>
      </c>
      <c r="I56" s="334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2042</v>
      </c>
      <c r="B57" s="2134" t="str">
        <f>估价对象房地状况!C22</f>
        <v>七通</v>
      </c>
      <c r="C57" s="2044"/>
      <c r="D57" s="1065">
        <f t="shared" si="7"/>
        <v>0</v>
      </c>
      <c r="E57" s="745"/>
      <c r="F57" s="1814"/>
      <c r="G57" s="1063"/>
      <c r="H57" s="1066" t="str">
        <f t="shared" si="8"/>
        <v>——</v>
      </c>
      <c r="I57" s="334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2043</v>
      </c>
      <c r="B58" s="2139" t="str">
        <f>估价对象房地状况!C20</f>
        <v>较好</v>
      </c>
      <c r="C58" s="2044"/>
      <c r="D58" s="1065">
        <f t="shared" si="7"/>
        <v>0</v>
      </c>
      <c r="E58" s="746"/>
      <c r="F58" s="1814"/>
      <c r="G58" s="1063"/>
      <c r="H58" s="1066" t="str">
        <f t="shared" si="8"/>
        <v>——</v>
      </c>
      <c r="I58" s="334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2044</v>
      </c>
      <c r="B59" s="2127">
        <f>1+E61</f>
        <v>1.0519000000000001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2026</v>
      </c>
      <c r="B60" s="1351"/>
      <c r="C60" s="1351" t="s">
        <v>2028</v>
      </c>
      <c r="D60" s="1351" t="s">
        <v>2029</v>
      </c>
      <c r="E60" s="743" t="s">
        <v>2030</v>
      </c>
      <c r="F60" s="2131" t="s">
        <v>2045</v>
      </c>
      <c r="G60" s="1351" t="s">
        <v>310</v>
      </c>
      <c r="H60" s="2132" t="s">
        <v>2032</v>
      </c>
      <c r="I60" s="1351" t="s">
        <v>2033</v>
      </c>
      <c r="J60" s="552" t="s">
        <v>1703</v>
      </c>
      <c r="K60" s="552" t="s">
        <v>1704</v>
      </c>
      <c r="L60" s="552" t="s">
        <v>1705</v>
      </c>
      <c r="M60" s="552" t="s">
        <v>1706</v>
      </c>
      <c r="N60" s="552" t="s">
        <v>1707</v>
      </c>
      <c r="AA60" s="1120"/>
      <c r="AB60" s="1120"/>
      <c r="AC60" s="1120"/>
      <c r="AD60" s="1120"/>
      <c r="AE60" s="1120"/>
      <c r="AF60" s="1120"/>
      <c r="AG60" s="1120"/>
      <c r="AH60" s="1120"/>
      <c r="AI60" s="1120"/>
      <c r="AJ60" s="1120"/>
      <c r="AK60" s="1120"/>
    </row>
    <row r="61" spans="1:37" s="1119" customFormat="1" ht="24">
      <c r="A61" s="2130" t="s">
        <v>2046</v>
      </c>
      <c r="B61" s="2133" t="str">
        <f>估价对象房地状况!C17</f>
        <v>较好</v>
      </c>
      <c r="C61" s="2044" t="s">
        <v>3396</v>
      </c>
      <c r="D61" s="1065">
        <f t="shared" ref="D61:D69" si="12">SUMIF($J$60:$N$60,C61,J61:N61)</f>
        <v>1.2E-2</v>
      </c>
      <c r="E61" s="744">
        <f>ROUND(SUM(D61:D69),4)</f>
        <v>5.1900000000000002E-2</v>
      </c>
      <c r="F61" s="1814">
        <f>IF(E2="办公",SUMIF(L1:L12,G2,N1:N12),"——")</f>
        <v>9.6000000000000002E-2</v>
      </c>
      <c r="G61" s="1063">
        <v>1.2E-2</v>
      </c>
      <c r="H61" s="1066">
        <f t="shared" ref="H61:H69" si="13">IFERROR(ROUNDDOWN($F$61*I61/2,4),"——")</f>
        <v>1.2E-2</v>
      </c>
      <c r="I61" s="3343">
        <v>0.25</v>
      </c>
      <c r="J61" s="1064">
        <f t="shared" ref="J61:J69" si="14">K61+$G61</f>
        <v>2.4E-2</v>
      </c>
      <c r="K61" s="1064">
        <f t="shared" ref="K61:K69" si="15">$L61+$G61</f>
        <v>1.2E-2</v>
      </c>
      <c r="L61" s="1064">
        <v>0</v>
      </c>
      <c r="M61" s="1064">
        <f t="shared" ref="M61:N69" si="16">L61-$G61</f>
        <v>-1.2E-2</v>
      </c>
      <c r="N61" s="1064">
        <f t="shared" si="16"/>
        <v>-2.4E-2</v>
      </c>
      <c r="AA61" s="1120"/>
      <c r="AB61" s="1120"/>
      <c r="AC61" s="1120"/>
      <c r="AD61" s="1120"/>
      <c r="AE61" s="1120"/>
      <c r="AF61" s="1120"/>
      <c r="AG61" s="1120"/>
      <c r="AH61" s="1120"/>
      <c r="AI61" s="1120"/>
      <c r="AJ61" s="1120"/>
      <c r="AK61" s="1120"/>
    </row>
    <row r="62" spans="1:37" s="1119" customFormat="1" ht="14.25">
      <c r="A62" s="2130" t="s">
        <v>2035</v>
      </c>
      <c r="B62" s="2134" t="str">
        <f>估价对象房地状况!C18</f>
        <v>较好</v>
      </c>
      <c r="C62" s="2044" t="s">
        <v>3396</v>
      </c>
      <c r="D62" s="1065">
        <f t="shared" si="12"/>
        <v>1.24E-2</v>
      </c>
      <c r="E62" s="745"/>
      <c r="F62" s="1814"/>
      <c r="G62" s="1063">
        <v>1.24E-2</v>
      </c>
      <c r="H62" s="1066">
        <f t="shared" si="13"/>
        <v>1.24E-2</v>
      </c>
      <c r="I62" s="3343">
        <v>0.26</v>
      </c>
      <c r="J62" s="1064">
        <f t="shared" si="14"/>
        <v>2.4799999999999999E-2</v>
      </c>
      <c r="K62" s="1064">
        <f t="shared" si="15"/>
        <v>1.24E-2</v>
      </c>
      <c r="L62" s="1064">
        <v>0</v>
      </c>
      <c r="M62" s="1064">
        <f t="shared" si="16"/>
        <v>-1.24E-2</v>
      </c>
      <c r="N62" s="1064">
        <f t="shared" si="16"/>
        <v>-2.4799999999999999E-2</v>
      </c>
      <c r="AA62" s="1120"/>
      <c r="AB62" s="1120"/>
      <c r="AC62" s="1120"/>
      <c r="AD62" s="1120"/>
      <c r="AE62" s="1120"/>
      <c r="AF62" s="1120"/>
      <c r="AG62" s="1120"/>
      <c r="AH62" s="1120"/>
      <c r="AI62" s="1120"/>
      <c r="AJ62" s="1120"/>
      <c r="AK62" s="1120"/>
    </row>
    <row r="63" spans="1:37" s="1119" customFormat="1" ht="36">
      <c r="A63" s="3345" t="s">
        <v>3250</v>
      </c>
      <c r="B63" s="2134">
        <f>估价对象房地状况!C19</f>
        <v>0</v>
      </c>
      <c r="C63" s="2044" t="s">
        <v>3396</v>
      </c>
      <c r="D63" s="1065">
        <f t="shared" si="12"/>
        <v>5.1999999999999998E-3</v>
      </c>
      <c r="E63" s="745"/>
      <c r="F63" s="1814"/>
      <c r="G63" s="1063">
        <v>5.1999999999999998E-3</v>
      </c>
      <c r="H63" s="1066">
        <f t="shared" si="13"/>
        <v>5.1999999999999998E-3</v>
      </c>
      <c r="I63" s="3343">
        <v>0.11</v>
      </c>
      <c r="J63" s="1064">
        <f t="shared" si="14"/>
        <v>1.04E-2</v>
      </c>
      <c r="K63" s="1064">
        <f t="shared" si="15"/>
        <v>5.1999999999999998E-3</v>
      </c>
      <c r="L63" s="1064">
        <v>0</v>
      </c>
      <c r="M63" s="1064">
        <f t="shared" si="16"/>
        <v>-5.1999999999999998E-3</v>
      </c>
      <c r="N63" s="1064">
        <f t="shared" si="16"/>
        <v>-1.04E-2</v>
      </c>
      <c r="AA63" s="1120"/>
      <c r="AB63" s="1120"/>
      <c r="AC63" s="1120"/>
      <c r="AD63" s="1120"/>
      <c r="AE63" s="1120"/>
      <c r="AF63" s="1120"/>
      <c r="AG63" s="1120"/>
      <c r="AH63" s="1120"/>
      <c r="AI63" s="1120"/>
      <c r="AJ63" s="1120"/>
      <c r="AK63" s="1120"/>
    </row>
    <row r="64" spans="1:37" s="1119" customFormat="1" ht="36.75">
      <c r="A64" s="2130" t="s">
        <v>2036</v>
      </c>
      <c r="B64" s="2135" t="s">
        <v>2037</v>
      </c>
      <c r="C64" s="2044" t="s">
        <v>3396</v>
      </c>
      <c r="D64" s="1065">
        <f t="shared" si="12"/>
        <v>2.3999999999999998E-3</v>
      </c>
      <c r="E64" s="745"/>
      <c r="F64" s="1814"/>
      <c r="G64" s="1063">
        <v>2.3999999999999998E-3</v>
      </c>
      <c r="H64" s="1066">
        <f t="shared" si="13"/>
        <v>2.3999999999999998E-3</v>
      </c>
      <c r="I64" s="3343">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2038</v>
      </c>
      <c r="B65" s="2134">
        <f>估价对象房地状况!C24</f>
        <v>0</v>
      </c>
      <c r="C65" s="2044" t="s">
        <v>3396</v>
      </c>
      <c r="D65" s="1065">
        <f t="shared" si="12"/>
        <v>2.3999999999999998E-3</v>
      </c>
      <c r="E65" s="745"/>
      <c r="F65" s="1814"/>
      <c r="G65" s="1063">
        <v>2.3999999999999998E-3</v>
      </c>
      <c r="H65" s="1066">
        <f t="shared" si="13"/>
        <v>2.3999999999999998E-3</v>
      </c>
      <c r="I65" s="3343">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2039</v>
      </c>
      <c r="B66" s="2136" t="s">
        <v>2040</v>
      </c>
      <c r="C66" s="2044" t="s">
        <v>3396</v>
      </c>
      <c r="D66" s="1065">
        <f t="shared" si="12"/>
        <v>2.8E-3</v>
      </c>
      <c r="E66" s="745"/>
      <c r="F66" s="1814"/>
      <c r="G66" s="1063">
        <v>2.8E-3</v>
      </c>
      <c r="H66" s="1066">
        <f t="shared" si="13"/>
        <v>2.8E-3</v>
      </c>
      <c r="I66" s="3343">
        <v>0.06</v>
      </c>
      <c r="J66" s="1064">
        <f t="shared" si="14"/>
        <v>5.5999999999999999E-3</v>
      </c>
      <c r="K66" s="1064">
        <f t="shared" si="15"/>
        <v>2.8E-3</v>
      </c>
      <c r="L66" s="1064">
        <v>0</v>
      </c>
      <c r="M66" s="1064">
        <f t="shared" si="16"/>
        <v>-2.8E-3</v>
      </c>
      <c r="N66" s="1064">
        <f t="shared" si="16"/>
        <v>-5.5999999999999999E-3</v>
      </c>
      <c r="AA66" s="1120"/>
      <c r="AB66" s="1120"/>
      <c r="AC66" s="1120"/>
      <c r="AD66" s="1120"/>
      <c r="AE66" s="1120"/>
      <c r="AF66" s="1120"/>
      <c r="AG66" s="1120"/>
      <c r="AH66" s="1120"/>
      <c r="AI66" s="1120"/>
      <c r="AJ66" s="1120"/>
      <c r="AK66" s="1120"/>
    </row>
    <row r="67" spans="1:37" s="1119" customFormat="1" ht="24">
      <c r="A67" s="2130" t="s">
        <v>2041</v>
      </c>
      <c r="B67" s="1326" t="str">
        <f>估价对象房地状况!C21</f>
        <v>较好</v>
      </c>
      <c r="C67" s="2044" t="s">
        <v>3396</v>
      </c>
      <c r="D67" s="1065">
        <f t="shared" si="12"/>
        <v>2.8E-3</v>
      </c>
      <c r="E67" s="745"/>
      <c r="F67" s="1814"/>
      <c r="G67" s="1063">
        <v>2.8E-3</v>
      </c>
      <c r="H67" s="1066">
        <f t="shared" si="13"/>
        <v>2.8E-3</v>
      </c>
      <c r="I67" s="3343">
        <v>0.06</v>
      </c>
      <c r="J67" s="1064">
        <f t="shared" si="14"/>
        <v>5.5999999999999999E-3</v>
      </c>
      <c r="K67" s="1064">
        <f t="shared" si="15"/>
        <v>2.8E-3</v>
      </c>
      <c r="L67" s="1064">
        <v>0</v>
      </c>
      <c r="M67" s="1064">
        <f t="shared" si="16"/>
        <v>-2.8E-3</v>
      </c>
      <c r="N67" s="1064">
        <f t="shared" si="16"/>
        <v>-5.5999999999999999E-3</v>
      </c>
      <c r="AA67" s="1120"/>
      <c r="AB67" s="1120"/>
      <c r="AC67" s="1120"/>
      <c r="AD67" s="1120"/>
      <c r="AE67" s="1120"/>
      <c r="AF67" s="1120"/>
      <c r="AG67" s="1120"/>
      <c r="AH67" s="1120"/>
      <c r="AI67" s="1120"/>
      <c r="AJ67" s="1120"/>
      <c r="AK67" s="1120"/>
    </row>
    <row r="68" spans="1:37" s="1119" customFormat="1" ht="24">
      <c r="A68" s="2130" t="s">
        <v>2042</v>
      </c>
      <c r="B68" s="1326" t="str">
        <f>估价对象房地状况!C22</f>
        <v>七通</v>
      </c>
      <c r="C68" s="2044" t="s">
        <v>3402</v>
      </c>
      <c r="D68" s="1065">
        <f t="shared" si="12"/>
        <v>8.6E-3</v>
      </c>
      <c r="E68" s="745"/>
      <c r="F68" s="1814"/>
      <c r="G68" s="1063">
        <v>4.3E-3</v>
      </c>
      <c r="H68" s="1066">
        <f t="shared" si="13"/>
        <v>4.3E-3</v>
      </c>
      <c r="I68" s="3343">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4.75" thickBot="1">
      <c r="A69" s="2138" t="s">
        <v>2043</v>
      </c>
      <c r="B69" s="2140" t="str">
        <f>估价对象房地状况!C20</f>
        <v>较好</v>
      </c>
      <c r="C69" s="2044" t="s">
        <v>3396</v>
      </c>
      <c r="D69" s="1065">
        <f t="shared" si="12"/>
        <v>3.3E-3</v>
      </c>
      <c r="E69" s="746"/>
      <c r="F69" s="1814"/>
      <c r="G69" s="1063">
        <v>3.3E-3</v>
      </c>
      <c r="H69" s="1066">
        <f t="shared" si="13"/>
        <v>3.3E-3</v>
      </c>
      <c r="I69" s="3344">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2047</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2026</v>
      </c>
      <c r="B71" s="1351"/>
      <c r="C71" s="1351" t="s">
        <v>2028</v>
      </c>
      <c r="D71" s="1351" t="s">
        <v>2029</v>
      </c>
      <c r="E71" s="743" t="s">
        <v>2030</v>
      </c>
      <c r="F71" s="2131" t="s">
        <v>2045</v>
      </c>
      <c r="G71" s="1351" t="s">
        <v>310</v>
      </c>
      <c r="H71" s="2132" t="s">
        <v>2032</v>
      </c>
      <c r="I71" s="1351" t="s">
        <v>2033</v>
      </c>
      <c r="J71" s="552" t="s">
        <v>1703</v>
      </c>
      <c r="K71" s="552" t="s">
        <v>1704</v>
      </c>
      <c r="L71" s="552" t="s">
        <v>1705</v>
      </c>
      <c r="M71" s="552" t="s">
        <v>1706</v>
      </c>
      <c r="N71" s="552" t="s">
        <v>1707</v>
      </c>
      <c r="AA71" s="1120"/>
      <c r="AB71" s="1120"/>
      <c r="AC71" s="1120"/>
      <c r="AD71" s="1120"/>
      <c r="AE71" s="1120"/>
      <c r="AF71" s="1120"/>
      <c r="AG71" s="1120"/>
      <c r="AH71" s="1120"/>
      <c r="AI71" s="1120"/>
      <c r="AJ71" s="1120"/>
      <c r="AK71" s="1120"/>
    </row>
    <row r="72" spans="1:37" s="1119" customFormat="1" ht="24">
      <c r="A72" s="2130" t="s">
        <v>2048</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2035</v>
      </c>
      <c r="B73" s="2134" t="str">
        <f>估价对象房地状况!C18</f>
        <v>较好</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3250</v>
      </c>
      <c r="B74" s="2134">
        <f>估价对象房地状况!C19</f>
        <v>0</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2049</v>
      </c>
      <c r="B75" s="2134">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2041</v>
      </c>
      <c r="B76" s="1326" t="str">
        <f>估价对象房地状况!C21</f>
        <v>较好</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2042</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2039</v>
      </c>
      <c r="B78" s="2136" t="s">
        <v>2040</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2043</v>
      </c>
      <c r="B79" s="2133"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3"/>
      <c r="AG79" s="1121"/>
      <c r="AK79" s="2053"/>
    </row>
    <row r="80" spans="1:37" ht="24.75" thickBot="1">
      <c r="A80" s="2138" t="s">
        <v>2050</v>
      </c>
      <c r="B80" s="2142"/>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3"/>
      <c r="AG80" s="1121"/>
      <c r="AK80" s="2053"/>
    </row>
    <row r="81" spans="1:37" ht="15">
      <c r="A81" s="2126" t="s">
        <v>2051</v>
      </c>
      <c r="B81" s="2127">
        <f>1+E83</f>
        <v>1</v>
      </c>
      <c r="C81" s="741"/>
      <c r="D81" s="741"/>
      <c r="E81" s="742"/>
      <c r="F81" s="2129"/>
      <c r="G81" s="3"/>
      <c r="H81" s="3"/>
      <c r="I81" s="3"/>
      <c r="J81" s="4"/>
      <c r="K81" s="4"/>
      <c r="L81" s="4"/>
      <c r="M81" s="4"/>
      <c r="N81" s="4"/>
      <c r="Z81" s="1998"/>
      <c r="AA81" s="2053"/>
      <c r="AG81" s="1121"/>
      <c r="AK81" s="2053"/>
    </row>
    <row r="82" spans="1:37" ht="24.75">
      <c r="A82" s="2130" t="s">
        <v>2026</v>
      </c>
      <c r="B82" s="1351"/>
      <c r="C82" s="1351" t="s">
        <v>2028</v>
      </c>
      <c r="D82" s="1351" t="s">
        <v>2029</v>
      </c>
      <c r="E82" s="743" t="s">
        <v>2030</v>
      </c>
      <c r="F82" s="2131" t="s">
        <v>2045</v>
      </c>
      <c r="G82" s="1351" t="s">
        <v>310</v>
      </c>
      <c r="H82" s="2132" t="s">
        <v>2032</v>
      </c>
      <c r="I82" s="1351" t="s">
        <v>2033</v>
      </c>
      <c r="J82" s="552" t="s">
        <v>1703</v>
      </c>
      <c r="K82" s="552" t="s">
        <v>1704</v>
      </c>
      <c r="L82" s="552" t="s">
        <v>1705</v>
      </c>
      <c r="M82" s="552" t="s">
        <v>1706</v>
      </c>
      <c r="N82" s="552" t="s">
        <v>1707</v>
      </c>
      <c r="Z82" s="1998"/>
      <c r="AA82" s="2053"/>
      <c r="AG82" s="1121"/>
      <c r="AK82" s="2053"/>
    </row>
    <row r="83" spans="1:37" ht="38.25">
      <c r="A83" s="2130" t="s">
        <v>2052</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2035</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3"/>
      <c r="AG84" s="1121"/>
      <c r="AK84" s="2053"/>
    </row>
    <row r="85" spans="1:37" ht="36">
      <c r="A85" s="3345" t="s">
        <v>3251</v>
      </c>
      <c r="B85" s="2134">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3"/>
      <c r="AG85" s="1121"/>
      <c r="AK85" s="2053"/>
    </row>
    <row r="86" spans="1:37" ht="14.25">
      <c r="A86" s="2130" t="s">
        <v>2049</v>
      </c>
      <c r="B86" s="2134">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3"/>
      <c r="AG86" s="1121"/>
      <c r="AK86" s="2053"/>
    </row>
    <row r="87" spans="1:37" ht="25.5">
      <c r="A87" s="2130" t="s">
        <v>2041</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30" t="s">
        <v>2042</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30" t="s">
        <v>2039</v>
      </c>
      <c r="B89" s="2136" t="s">
        <v>2053</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8" t="s">
        <v>2054</v>
      </c>
      <c r="B90" s="2143"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2593</v>
      </c>
      <c r="B91" s="3354">
        <f>1+E93</f>
        <v>1</v>
      </c>
      <c r="C91" s="3347"/>
      <c r="D91" s="3348"/>
      <c r="E91" s="1814"/>
      <c r="F91" s="1814"/>
      <c r="G91" s="3349"/>
      <c r="H91" s="3350"/>
      <c r="I91" s="3351"/>
      <c r="J91" s="3352"/>
      <c r="K91" s="3352"/>
      <c r="L91" s="3352"/>
      <c r="M91" s="3352"/>
      <c r="N91" s="3352"/>
    </row>
    <row r="92" spans="1:37" ht="24.75">
      <c r="A92" s="3355" t="s">
        <v>3252</v>
      </c>
      <c r="B92" s="3342"/>
      <c r="C92" s="3342" t="s">
        <v>3261</v>
      </c>
      <c r="D92" s="3342" t="s">
        <v>3262</v>
      </c>
      <c r="E92" s="3324" t="s">
        <v>3263</v>
      </c>
      <c r="F92" s="3357" t="s">
        <v>3264</v>
      </c>
      <c r="G92" s="3342" t="s">
        <v>3265</v>
      </c>
      <c r="H92" s="3364" t="s">
        <v>3268</v>
      </c>
      <c r="I92" s="3342" t="s">
        <v>3269</v>
      </c>
      <c r="J92" s="3365" t="s">
        <v>3270</v>
      </c>
      <c r="K92" s="3365" t="s">
        <v>3271</v>
      </c>
      <c r="L92" s="3365" t="s">
        <v>3272</v>
      </c>
      <c r="M92" s="3365" t="s">
        <v>3273</v>
      </c>
      <c r="N92" s="3365" t="s">
        <v>3274</v>
      </c>
    </row>
    <row r="93" spans="1:37" ht="24">
      <c r="A93" s="3345" t="s">
        <v>3253</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3254</v>
      </c>
      <c r="B94" s="3346" t="str">
        <f>估价对象房地状况!C18</f>
        <v>较好</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3250</v>
      </c>
      <c r="B95" s="3346">
        <f>估价对象房地状况!C19</f>
        <v>0</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3255</v>
      </c>
      <c r="B96" s="3361" t="s">
        <v>3266</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3256</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3257</v>
      </c>
      <c r="B98" s="3362" t="s">
        <v>3267</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3258</v>
      </c>
      <c r="B99" s="3346" t="str">
        <f>估价对象房地状况!C21</f>
        <v>较好</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3259</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3260</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867" t="s">
        <v>3275</v>
      </c>
      <c r="B103" s="3867"/>
      <c r="C103" s="3867"/>
      <c r="D103" s="3867"/>
      <c r="E103" s="3867"/>
      <c r="F103" s="3867"/>
      <c r="G103" s="3867"/>
      <c r="H103" s="3867"/>
      <c r="I103" s="3867"/>
      <c r="J103" s="3867"/>
      <c r="K103" s="3366"/>
      <c r="L103" s="3366"/>
      <c r="M103" s="3366"/>
      <c r="N103" s="3366"/>
    </row>
    <row r="104" spans="1:14">
      <c r="A104" s="3868" t="s">
        <v>3276</v>
      </c>
      <c r="B104" s="3868" t="s">
        <v>3277</v>
      </c>
      <c r="C104" s="3367" t="s">
        <v>3278</v>
      </c>
      <c r="D104" s="3368"/>
      <c r="E104" s="3368"/>
      <c r="F104" s="3368"/>
      <c r="G104" s="3368"/>
      <c r="H104" s="3368"/>
      <c r="I104" s="3368"/>
      <c r="J104" s="3369"/>
      <c r="K104" s="3370"/>
      <c r="L104" s="3370"/>
      <c r="M104" s="3370"/>
      <c r="N104" s="3370"/>
    </row>
    <row r="105" spans="1:14">
      <c r="A105" s="3868"/>
      <c r="B105" s="3868"/>
      <c r="C105" s="3371" t="s">
        <v>3279</v>
      </c>
      <c r="D105" s="3371" t="s">
        <v>3280</v>
      </c>
      <c r="E105" s="3371" t="s">
        <v>3281</v>
      </c>
      <c r="F105" s="3371" t="s">
        <v>3282</v>
      </c>
      <c r="G105" s="3371" t="s">
        <v>3283</v>
      </c>
      <c r="H105" s="3371" t="s">
        <v>3284</v>
      </c>
      <c r="I105" s="3371" t="s">
        <v>3285</v>
      </c>
      <c r="J105" s="3371" t="s">
        <v>3286</v>
      </c>
      <c r="K105" s="3371" t="s">
        <v>3287</v>
      </c>
      <c r="L105" s="3371" t="s">
        <v>3288</v>
      </c>
      <c r="M105" s="3371" t="s">
        <v>3289</v>
      </c>
      <c r="N105" s="3371" t="s">
        <v>3290</v>
      </c>
    </row>
    <row r="106" spans="1:14">
      <c r="A106" s="3854" t="s">
        <v>3291</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855"/>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855"/>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855"/>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855"/>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855"/>
      <c r="B111" s="3371" t="s">
        <v>3249</v>
      </c>
      <c r="C111" s="3372">
        <f>$I$3</f>
        <v>0</v>
      </c>
      <c r="D111" s="3372">
        <f t="shared" ref="D111:M111" si="32">$I$3</f>
        <v>0</v>
      </c>
      <c r="E111" s="3372">
        <f t="shared" si="32"/>
        <v>0</v>
      </c>
      <c r="F111" s="3372">
        <f t="shared" si="32"/>
        <v>0</v>
      </c>
      <c r="G111" s="3372">
        <f t="shared" si="32"/>
        <v>0</v>
      </c>
      <c r="H111" s="3372">
        <f t="shared" si="32"/>
        <v>0</v>
      </c>
      <c r="I111" s="3372">
        <f t="shared" si="32"/>
        <v>0</v>
      </c>
      <c r="J111" s="3372">
        <f t="shared" si="32"/>
        <v>0</v>
      </c>
      <c r="K111" s="3372">
        <f t="shared" si="32"/>
        <v>0</v>
      </c>
      <c r="L111" s="3372">
        <f t="shared" si="32"/>
        <v>0</v>
      </c>
      <c r="M111" s="3372">
        <f t="shared" si="32"/>
        <v>0</v>
      </c>
      <c r="N111" s="3372">
        <f>$I$3</f>
        <v>0</v>
      </c>
    </row>
    <row r="112" spans="1:14">
      <c r="A112" s="3856"/>
      <c r="B112" s="3371">
        <v>6</v>
      </c>
      <c r="C112" s="3364">
        <f>(-0.5556*(C111^2)-0.2719*C111+8944)*(10^(-4))</f>
        <v>0.89440000000000008</v>
      </c>
      <c r="D112" s="3364">
        <f>(-0.5556*(D111^2)-0.2719*D111+8944)*(10^(-4))</f>
        <v>0.89440000000000008</v>
      </c>
      <c r="E112" s="3364">
        <f>(-0.7912*(E111^2)-11.3794*E111+8482)*(10^(-4))</f>
        <v>0.84820000000000007</v>
      </c>
      <c r="F112" s="3364">
        <f t="shared" ref="F112:I112" si="33">(-0.7912*(F111^2)-11.3794*F111+8482)*(10^(-4))</f>
        <v>0.84820000000000007</v>
      </c>
      <c r="G112" s="3364">
        <f t="shared" si="33"/>
        <v>0.84820000000000007</v>
      </c>
      <c r="H112" s="3364">
        <f t="shared" si="33"/>
        <v>0.84820000000000007</v>
      </c>
      <c r="I112" s="3364">
        <f t="shared" si="33"/>
        <v>0.84820000000000007</v>
      </c>
      <c r="J112" s="3364">
        <f>(-0.989*(J111^2)-63.78*J111+7771)*(10^(-4))</f>
        <v>0.77710000000000001</v>
      </c>
      <c r="K112" s="3364">
        <f t="shared" ref="K112:N112" si="34">(-0.989*(K111^2)-63.78*K111+7771)*(10^(-4))</f>
        <v>0.77710000000000001</v>
      </c>
      <c r="L112" s="3364">
        <f t="shared" si="34"/>
        <v>0.77710000000000001</v>
      </c>
      <c r="M112" s="3364">
        <f t="shared" si="34"/>
        <v>0.77710000000000001</v>
      </c>
      <c r="N112" s="3364">
        <f t="shared" si="34"/>
        <v>0.77710000000000001</v>
      </c>
    </row>
    <row r="113" spans="1:14">
      <c r="A113" s="3857" t="s">
        <v>3292</v>
      </c>
      <c r="B113" s="3857"/>
      <c r="C113" s="3857"/>
      <c r="D113" s="3857"/>
      <c r="E113" s="3857"/>
      <c r="F113" s="3857"/>
      <c r="G113" s="3857"/>
      <c r="H113" s="3857"/>
      <c r="I113" s="3857"/>
      <c r="J113" s="3857"/>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3293</v>
      </c>
      <c r="B116" s="3392">
        <f>G3</f>
        <v>3.5</v>
      </c>
      <c r="C116" s="3376" t="s">
        <v>3294</v>
      </c>
      <c r="D116" s="3377">
        <f>SUMPRODUCT((A118:A122=F116)*(B117:M117=H116)*B118:M122)</f>
        <v>0.95379999999999998</v>
      </c>
      <c r="E116" s="2000" t="s">
        <v>3295</v>
      </c>
      <c r="F116" s="3378" t="str">
        <f>E2</f>
        <v>办公</v>
      </c>
      <c r="G116" s="2000" t="s">
        <v>3296</v>
      </c>
      <c r="H116" s="3378" t="str">
        <f>G2</f>
        <v>二级</v>
      </c>
      <c r="I116" s="2000"/>
      <c r="J116" s="3379"/>
      <c r="K116" s="3379"/>
      <c r="L116" s="3379"/>
      <c r="M116" s="3379"/>
      <c r="N116" s="3374"/>
    </row>
    <row r="117" spans="1:14">
      <c r="A117" s="3380"/>
      <c r="B117" s="3381" t="s">
        <v>3297</v>
      </c>
      <c r="C117" s="3381" t="s">
        <v>3298</v>
      </c>
      <c r="D117" s="3381" t="s">
        <v>3299</v>
      </c>
      <c r="E117" s="3382" t="s">
        <v>3300</v>
      </c>
      <c r="F117" s="3382" t="s">
        <v>3301</v>
      </c>
      <c r="G117" s="3382" t="s">
        <v>3302</v>
      </c>
      <c r="H117" s="3383" t="s">
        <v>3303</v>
      </c>
      <c r="I117" s="3383" t="s">
        <v>3304</v>
      </c>
      <c r="J117" s="3384" t="s">
        <v>3305</v>
      </c>
      <c r="K117" s="3384" t="s">
        <v>3306</v>
      </c>
      <c r="L117" s="3384" t="s">
        <v>3307</v>
      </c>
      <c r="M117" s="3385" t="s">
        <v>3308</v>
      </c>
      <c r="N117" s="3374"/>
    </row>
    <row r="118" spans="1:14">
      <c r="A118" s="3386" t="s">
        <v>3309</v>
      </c>
      <c r="B118" s="3364">
        <f>ROUND(0.9968-0.011*B116,4)</f>
        <v>0.95830000000000004</v>
      </c>
      <c r="C118" s="3364">
        <f>B118</f>
        <v>0.95830000000000004</v>
      </c>
      <c r="D118" s="3364">
        <f>ROUND(0.949-0.014*B116,4)</f>
        <v>0.9</v>
      </c>
      <c r="E118" s="3364">
        <f>D118</f>
        <v>0.9</v>
      </c>
      <c r="F118" s="3364">
        <f>E118</f>
        <v>0.9</v>
      </c>
      <c r="G118" s="3364">
        <f>F118</f>
        <v>0.9</v>
      </c>
      <c r="H118" s="3364">
        <f>G118</f>
        <v>0.9</v>
      </c>
      <c r="I118" s="3364">
        <f>ROUND(0.8486-0.018*B116,4)</f>
        <v>0.78559999999999997</v>
      </c>
      <c r="J118" s="3364">
        <f t="shared" ref="J118:M122" si="35">I118</f>
        <v>0.78559999999999997</v>
      </c>
      <c r="K118" s="3364">
        <f t="shared" si="35"/>
        <v>0.78559999999999997</v>
      </c>
      <c r="L118" s="3364">
        <f t="shared" si="35"/>
        <v>0.78559999999999997</v>
      </c>
      <c r="M118" s="3387">
        <f t="shared" si="35"/>
        <v>0.78559999999999997</v>
      </c>
      <c r="N118" s="3374"/>
    </row>
    <row r="119" spans="1:14">
      <c r="A119" s="3386" t="s">
        <v>3310</v>
      </c>
      <c r="B119" s="3364">
        <f>ROUND(0.993-0.0112*B116,4)</f>
        <v>0.95379999999999998</v>
      </c>
      <c r="C119" s="3364">
        <f>B119</f>
        <v>0.95379999999999998</v>
      </c>
      <c r="D119" s="3364">
        <f>ROUND(0.9415-0.0142*B116,4)</f>
        <v>0.89180000000000004</v>
      </c>
      <c r="E119" s="3364">
        <f t="shared" ref="E119:H120" si="36">D119</f>
        <v>0.89180000000000004</v>
      </c>
      <c r="F119" s="3364">
        <f t="shared" si="36"/>
        <v>0.89180000000000004</v>
      </c>
      <c r="G119" s="3364">
        <f t="shared" si="36"/>
        <v>0.89180000000000004</v>
      </c>
      <c r="H119" s="3364">
        <f t="shared" si="36"/>
        <v>0.89180000000000004</v>
      </c>
      <c r="I119" s="3364">
        <f>ROUND(0.838-0.0182*B116,4)</f>
        <v>0.77429999999999999</v>
      </c>
      <c r="J119" s="3364">
        <f t="shared" si="35"/>
        <v>0.77429999999999999</v>
      </c>
      <c r="K119" s="3364">
        <f t="shared" si="35"/>
        <v>0.77429999999999999</v>
      </c>
      <c r="L119" s="3364">
        <f t="shared" si="35"/>
        <v>0.77429999999999999</v>
      </c>
      <c r="M119" s="3387">
        <f t="shared" si="35"/>
        <v>0.77429999999999999</v>
      </c>
      <c r="N119" s="3374"/>
    </row>
    <row r="120" spans="1:14">
      <c r="A120" s="3386" t="s">
        <v>3311</v>
      </c>
      <c r="B120" s="3364">
        <f>ROUND(0.9448-0.0115*B116,4)</f>
        <v>0.90459999999999996</v>
      </c>
      <c r="C120" s="3364">
        <f>B120</f>
        <v>0.90459999999999996</v>
      </c>
      <c r="D120" s="3364">
        <f>ROUND(0.937-0.0145*B116,4)</f>
        <v>0.88629999999999998</v>
      </c>
      <c r="E120" s="3364">
        <f t="shared" si="36"/>
        <v>0.88629999999999998</v>
      </c>
      <c r="F120" s="3364">
        <f t="shared" si="36"/>
        <v>0.88629999999999998</v>
      </c>
      <c r="G120" s="3364">
        <f t="shared" si="36"/>
        <v>0.88629999999999998</v>
      </c>
      <c r="H120" s="3364">
        <f t="shared" si="36"/>
        <v>0.88629999999999998</v>
      </c>
      <c r="I120" s="3364">
        <f>ROUND(0.7965-0.0185*B116,4)</f>
        <v>0.73180000000000001</v>
      </c>
      <c r="J120" s="3364">
        <f t="shared" si="35"/>
        <v>0.73180000000000001</v>
      </c>
      <c r="K120" s="3364">
        <f t="shared" si="35"/>
        <v>0.73180000000000001</v>
      </c>
      <c r="L120" s="3364">
        <f t="shared" si="35"/>
        <v>0.73180000000000001</v>
      </c>
      <c r="M120" s="3387">
        <f t="shared" si="35"/>
        <v>0.73180000000000001</v>
      </c>
      <c r="N120" s="3374"/>
    </row>
    <row r="121" spans="1:14" ht="13.5" thickBot="1">
      <c r="A121" s="3388" t="s">
        <v>3312</v>
      </c>
      <c r="B121" s="3389">
        <f>ROUND(0.7836-0.012*B116,4)</f>
        <v>0.74160000000000004</v>
      </c>
      <c r="C121" s="3389">
        <f>B121</f>
        <v>0.74160000000000004</v>
      </c>
      <c r="D121" s="3389">
        <f>ROUND(0.753-0.015*B116,4)</f>
        <v>0.70050000000000001</v>
      </c>
      <c r="E121" s="3389">
        <f>D121</f>
        <v>0.70050000000000001</v>
      </c>
      <c r="F121" s="3389">
        <f>E121</f>
        <v>0.70050000000000001</v>
      </c>
      <c r="G121" s="3389">
        <f>ROUND(0.6612-0.018*B116,4)</f>
        <v>0.59819999999999995</v>
      </c>
      <c r="H121" s="3389">
        <f>G121</f>
        <v>0.59819999999999995</v>
      </c>
      <c r="I121" s="3389">
        <f>ROUND(0.5905-0.019*B116,4)</f>
        <v>0.52400000000000002</v>
      </c>
      <c r="J121" s="3389">
        <f t="shared" si="35"/>
        <v>0.52400000000000002</v>
      </c>
      <c r="K121" s="3389">
        <f t="shared" si="35"/>
        <v>0.52400000000000002</v>
      </c>
      <c r="L121" s="3389">
        <f t="shared" si="35"/>
        <v>0.52400000000000002</v>
      </c>
      <c r="M121" s="3390">
        <f t="shared" si="35"/>
        <v>0.52400000000000002</v>
      </c>
      <c r="N121" s="3374"/>
    </row>
    <row r="122" spans="1:14">
      <c r="A122" s="3391" t="s">
        <v>2593</v>
      </c>
      <c r="B122" s="3364">
        <f>ROUND(0.9404-0.0106*B116,4)</f>
        <v>0.90329999999999999</v>
      </c>
      <c r="C122" s="3364">
        <f>B122</f>
        <v>0.90329999999999999</v>
      </c>
      <c r="D122" s="3364">
        <f>ROUND(0.8955-0.0135*B116,4)</f>
        <v>0.84830000000000005</v>
      </c>
      <c r="E122" s="3364">
        <f t="shared" ref="E122:H122" si="37">D122</f>
        <v>0.84830000000000005</v>
      </c>
      <c r="F122" s="3364">
        <f t="shared" si="37"/>
        <v>0.84830000000000005</v>
      </c>
      <c r="G122" s="3364">
        <f t="shared" si="37"/>
        <v>0.84830000000000005</v>
      </c>
      <c r="H122" s="3364">
        <f t="shared" si="37"/>
        <v>0.84830000000000005</v>
      </c>
      <c r="I122" s="3364">
        <f>ROUND(0.7632-0.0166*B116,4)</f>
        <v>0.70509999999999995</v>
      </c>
      <c r="J122" s="3364">
        <f t="shared" si="35"/>
        <v>0.70509999999999995</v>
      </c>
      <c r="K122" s="3364">
        <f t="shared" si="35"/>
        <v>0.70509999999999995</v>
      </c>
      <c r="L122" s="3364">
        <f t="shared" si="35"/>
        <v>0.70509999999999995</v>
      </c>
      <c r="M122" s="3387">
        <f t="shared" si="35"/>
        <v>0.70509999999999995</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50:H58 H61:H69 H72:H80 H83:H91">
    <cfRule type="cellIs" dxfId="99" priority="2" operator="notEqual">
      <formula>"——"</formula>
    </cfRule>
  </conditionalFormatting>
  <conditionalFormatting sqref="H93:H101">
    <cfRule type="cellIs" dxfId="9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L24" sqref="L2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1640</v>
      </c>
      <c r="B1" s="1868"/>
      <c r="C1" s="1868"/>
      <c r="D1" s="1868"/>
      <c r="E1" s="1869"/>
      <c r="F1" s="2683"/>
      <c r="G1" s="1489"/>
      <c r="H1" s="1489"/>
      <c r="I1" s="1489"/>
      <c r="J1" s="1489"/>
      <c r="K1" s="1489"/>
      <c r="L1" s="1489"/>
      <c r="M1" s="1489"/>
      <c r="N1" s="1489"/>
      <c r="O1" s="1489"/>
      <c r="P1" s="1489"/>
      <c r="Q1" s="1489"/>
      <c r="R1" s="1489"/>
      <c r="S1" s="1489"/>
    </row>
    <row r="2" spans="1:22" ht="15.75">
      <c r="A2" s="1870" t="s">
        <v>1444</v>
      </c>
      <c r="B2" s="1871">
        <f ca="1">SUMIF(B6:B13,"&lt;&gt;#ref!",B6:B13)</f>
        <v>86200</v>
      </c>
      <c r="C2" s="1872" t="s">
        <v>1633</v>
      </c>
      <c r="D2" s="1873" t="s">
        <v>1634</v>
      </c>
      <c r="E2" s="2584">
        <f>SUM(E6:E13)</f>
        <v>32105.549999999996</v>
      </c>
      <c r="F2" s="2683"/>
      <c r="G2" s="1489"/>
      <c r="H2" s="1489"/>
      <c r="I2" s="1489"/>
      <c r="J2" s="1489"/>
      <c r="K2" s="1489"/>
      <c r="L2" s="1489"/>
      <c r="M2" s="1489"/>
      <c r="N2" s="1489"/>
      <c r="O2" s="1489"/>
      <c r="P2" s="1489"/>
      <c r="Q2" s="1489"/>
      <c r="R2" s="1489"/>
      <c r="S2" s="1489"/>
    </row>
    <row r="3" spans="1:22" ht="15.75">
      <c r="A3" s="1870" t="s">
        <v>686</v>
      </c>
      <c r="B3" s="2578">
        <f ca="1">ROUND(B2*10000/E2,0)</f>
        <v>26849</v>
      </c>
      <c r="C3" s="1872" t="s">
        <v>1641</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80" t="s">
        <v>1635</v>
      </c>
      <c r="B5" s="3873" t="s">
        <v>1636</v>
      </c>
      <c r="C5" s="3874"/>
      <c r="D5" s="2684"/>
      <c r="E5" s="1874" t="s">
        <v>1637</v>
      </c>
      <c r="F5" s="1875" t="s">
        <v>1638</v>
      </c>
      <c r="G5" s="1489"/>
      <c r="H5" s="1489"/>
      <c r="I5" s="1489"/>
      <c r="J5" s="1489"/>
      <c r="K5" s="1489"/>
      <c r="L5" s="1489"/>
      <c r="M5" s="1489"/>
      <c r="N5" s="1489"/>
      <c r="O5" s="1489"/>
      <c r="P5" s="1489"/>
      <c r="Q5" s="1489"/>
      <c r="R5" s="1489"/>
      <c r="S5" s="1489"/>
    </row>
    <row r="6" spans="1:22">
      <c r="A6" s="2581" t="str">
        <f>'数据-取费表'!AN6</f>
        <v>收益法-办公</v>
      </c>
      <c r="B6" s="2579">
        <f ca="1">IF(F6="是",'数据-取费表'!AO6,0)</f>
        <v>86200</v>
      </c>
      <c r="C6" s="1872" t="s">
        <v>1633</v>
      </c>
      <c r="D6" s="2685"/>
      <c r="E6" s="2583">
        <f>IF(OR(A6=0,F6="否"),0,'数据-取费表'!K6+'数据-取费表'!S6)</f>
        <v>32105.549999999996</v>
      </c>
      <c r="F6" s="1876" t="s">
        <v>1639</v>
      </c>
      <c r="G6" s="1489"/>
      <c r="H6" s="1489"/>
      <c r="I6" s="1489"/>
      <c r="J6" s="1489"/>
      <c r="K6" s="1489"/>
      <c r="L6" s="1489"/>
      <c r="M6" s="1489"/>
      <c r="N6" s="1489"/>
      <c r="O6" s="1489"/>
      <c r="P6" s="1489"/>
      <c r="Q6" s="1489"/>
      <c r="R6" s="1489"/>
      <c r="S6" s="1489"/>
    </row>
    <row r="7" spans="1:22">
      <c r="A7" s="2581">
        <f>'数据-取费表'!AN7</f>
        <v>0</v>
      </c>
      <c r="B7" s="2579" t="e">
        <f ca="1">IF(F7="是",'数据-取费表'!AO7,0)</f>
        <v>#REF!</v>
      </c>
      <c r="C7" s="1872" t="s">
        <v>1633</v>
      </c>
      <c r="D7" s="2685"/>
      <c r="E7" s="2583">
        <f>IF(OR(A7=0,F7="否"),0,'数据-取费表'!K7+'数据-取费表'!S7)</f>
        <v>0</v>
      </c>
      <c r="F7" s="1876" t="s">
        <v>1639</v>
      </c>
      <c r="G7" s="1489"/>
      <c r="H7" s="1489"/>
      <c r="I7" s="1489"/>
      <c r="J7" s="1489"/>
      <c r="K7" s="1489"/>
      <c r="L7" s="1489"/>
      <c r="M7" s="1489"/>
      <c r="N7" s="1489"/>
      <c r="O7" s="1489"/>
      <c r="P7" s="1489"/>
      <c r="Q7" s="1489"/>
      <c r="R7" s="1489"/>
      <c r="S7" s="1489"/>
    </row>
    <row r="8" spans="1:22">
      <c r="A8" s="2581">
        <f>'数据-取费表'!AN8</f>
        <v>0</v>
      </c>
      <c r="B8" s="2579">
        <f>IF(F8="是",'数据-取费表'!AO8,0)</f>
        <v>0</v>
      </c>
      <c r="C8" s="1872" t="s">
        <v>1633</v>
      </c>
      <c r="D8" s="2685"/>
      <c r="E8" s="2583">
        <f>IF(OR(A8=0,F8="否"),0,'数据-取费表'!K8+'数据-取费表'!S8)</f>
        <v>0</v>
      </c>
      <c r="F8" s="1876"/>
      <c r="G8" s="1489"/>
      <c r="H8" s="1489"/>
      <c r="I8" s="1489"/>
      <c r="J8" s="1489"/>
      <c r="K8" s="1489"/>
      <c r="L8" s="1489"/>
      <c r="M8" s="1489"/>
      <c r="N8" s="1489"/>
      <c r="O8" s="1489"/>
      <c r="P8" s="1489"/>
      <c r="Q8" s="1489"/>
      <c r="R8" s="1489"/>
      <c r="S8" s="1489"/>
    </row>
    <row r="9" spans="1:22">
      <c r="A9" s="2581">
        <f>'数据-取费表'!AN9</f>
        <v>0</v>
      </c>
      <c r="B9" s="2579">
        <f>IF(F9="是",'数据-取费表'!AO9,0)</f>
        <v>0</v>
      </c>
      <c r="C9" s="1872" t="s">
        <v>1633</v>
      </c>
      <c r="D9" s="2685"/>
      <c r="E9" s="2583">
        <f>IF(OR(A9=0,F9="否"),0,'数据-取费表'!K9+'数据-取费表'!S9)</f>
        <v>0</v>
      </c>
      <c r="F9" s="1876"/>
      <c r="G9" s="1489"/>
      <c r="H9" s="1489"/>
      <c r="I9" s="1489"/>
      <c r="J9" s="1489"/>
      <c r="K9" s="1489"/>
      <c r="L9" s="1489"/>
      <c r="M9" s="1489"/>
      <c r="N9" s="1489"/>
      <c r="O9" s="1489"/>
      <c r="P9" s="1489"/>
      <c r="Q9" s="1489"/>
      <c r="R9" s="1489"/>
      <c r="S9" s="1489"/>
    </row>
    <row r="10" spans="1:22">
      <c r="A10" s="2581">
        <f>'数据-取费表'!AN10</f>
        <v>0</v>
      </c>
      <c r="B10" s="2579">
        <f>IF(F10="是",'数据-取费表'!AO10,0)</f>
        <v>0</v>
      </c>
      <c r="C10" s="1872" t="s">
        <v>1633</v>
      </c>
      <c r="D10" s="2685"/>
      <c r="E10" s="2583">
        <f>IF(OR(A10=0,F10="否"),0,'数据-取费表'!K10+'数据-取费表'!S10)</f>
        <v>0</v>
      </c>
      <c r="F10" s="1876"/>
      <c r="G10" s="1489"/>
      <c r="H10" s="1489"/>
      <c r="I10" s="1489"/>
      <c r="J10" s="1489"/>
      <c r="K10" s="1489"/>
      <c r="L10" s="1489"/>
      <c r="M10" s="1489"/>
      <c r="N10" s="1489"/>
      <c r="O10" s="1489"/>
      <c r="P10" s="1489"/>
      <c r="Q10" s="1489"/>
      <c r="R10" s="1489"/>
      <c r="S10" s="1489"/>
    </row>
    <row r="11" spans="1:22">
      <c r="A11" s="2581">
        <f>'数据-取费表'!AN11</f>
        <v>0</v>
      </c>
      <c r="B11" s="2579">
        <f>IF(F11="是",'数据-取费表'!AO11,0)</f>
        <v>0</v>
      </c>
      <c r="C11" s="1872" t="s">
        <v>1633</v>
      </c>
      <c r="D11" s="2685"/>
      <c r="E11" s="2583">
        <f>IF(OR(A11=0,F11="否"),0,'数据-取费表'!K11+'数据-取费表'!S11)</f>
        <v>0</v>
      </c>
      <c r="F11" s="1876"/>
      <c r="G11" s="1489"/>
      <c r="H11" s="1489"/>
      <c r="I11" s="1489"/>
      <c r="J11" s="1489"/>
      <c r="K11" s="1489"/>
      <c r="L11" s="1489"/>
      <c r="M11" s="1489"/>
      <c r="N11" s="1489"/>
      <c r="O11" s="1489"/>
      <c r="P11" s="1489"/>
      <c r="Q11" s="1489"/>
      <c r="R11" s="1489"/>
      <c r="S11" s="1489"/>
    </row>
    <row r="12" spans="1:22">
      <c r="A12" s="2581">
        <f>'数据-取费表'!AN12</f>
        <v>0</v>
      </c>
      <c r="B12" s="2579">
        <f>IF(F12="是",'数据-取费表'!AO12,0)</f>
        <v>0</v>
      </c>
      <c r="C12" s="1872" t="s">
        <v>1633</v>
      </c>
      <c r="D12" s="2685"/>
      <c r="E12" s="2583">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582">
        <f>'数据-取费表'!AN13</f>
        <v>0</v>
      </c>
      <c r="B13" s="2579">
        <f>IF(F13="是",'数据-取费表'!AO13,0)</f>
        <v>0</v>
      </c>
      <c r="C13" s="1877" t="s">
        <v>1633</v>
      </c>
      <c r="D13" s="2686"/>
      <c r="E13" s="2583">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3389</v>
      </c>
      <c r="D1" s="1362" t="s">
        <v>43</v>
      </c>
      <c r="E1" s="1363" t="s">
        <v>678</v>
      </c>
      <c r="F1" s="1062" t="e">
        <f ca="1">J53</f>
        <v>#N/A</v>
      </c>
      <c r="G1" s="1378" t="e">
        <f>MATCH(C1,'数据-取费表'!A6:A16,0)+5</f>
        <v>#N/A</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819" t="s">
        <v>694</v>
      </c>
      <c r="C6" s="1074" t="e">
        <f ca="1">ROUND(F6*F8*F7*(1-F9)/10000,0)</f>
        <v>#N/A</v>
      </c>
      <c r="D6" s="155" t="s">
        <v>2091</v>
      </c>
      <c r="E6" s="302" t="s">
        <v>696</v>
      </c>
      <c r="F6" s="303" t="e">
        <f ca="1">INDIRECT("'数据-取费表'!u"&amp;$G$1)</f>
        <v>#N/A</v>
      </c>
      <c r="G6" s="1384"/>
      <c r="H6" s="1069" t="s">
        <v>398</v>
      </c>
      <c r="I6" s="3819" t="s">
        <v>694</v>
      </c>
      <c r="J6" s="301" t="e">
        <f ca="1">ROUND(M6*M8*M7*(1-M9)/10000,0)</f>
        <v>#N/A</v>
      </c>
      <c r="K6" s="155" t="s">
        <v>2090</v>
      </c>
      <c r="L6" s="302" t="s">
        <v>696</v>
      </c>
      <c r="M6" s="303" t="e">
        <f ca="1">INDIRECT("'数据-取费表'!z"&amp;$G$1)</f>
        <v>#N/A</v>
      </c>
    </row>
    <row r="7" spans="1:37" ht="18" customHeight="1">
      <c r="A7" s="1073"/>
      <c r="B7" s="3820"/>
      <c r="C7" s="1075"/>
      <c r="D7" s="307"/>
      <c r="E7" s="3428" t="s">
        <v>697</v>
      </c>
      <c r="F7" s="303" t="e">
        <f ca="1">IF(INDIRECT("'数据-取费表'!ah"&amp;$G$1)="",INDIRECT("'数据-取费表'!k"&amp;$G$1),INDIRECT("'数据-取费表'!ah"&amp;$G$1))</f>
        <v>#N/A</v>
      </c>
      <c r="G7" s="1384"/>
      <c r="H7" s="304"/>
      <c r="I7" s="3820"/>
      <c r="J7" s="306"/>
      <c r="K7" s="307"/>
      <c r="L7" s="302" t="s">
        <v>697</v>
      </c>
      <c r="M7" s="303" t="e">
        <f ca="1">F7</f>
        <v>#N/A</v>
      </c>
    </row>
    <row r="8" spans="1:37" ht="18" customHeight="1">
      <c r="A8" s="304"/>
      <c r="B8" s="3820"/>
      <c r="C8" s="306"/>
      <c r="D8" s="307"/>
      <c r="E8" s="302" t="s">
        <v>698</v>
      </c>
      <c r="F8" s="303" t="e">
        <f ca="1">INDIRECT("'数据-取费表'!ai"&amp;$G$1)</f>
        <v>#N/A</v>
      </c>
      <c r="G8" s="1384"/>
      <c r="H8" s="304"/>
      <c r="I8" s="3820"/>
      <c r="J8" s="306"/>
      <c r="K8" s="307"/>
      <c r="L8" s="302" t="s">
        <v>698</v>
      </c>
      <c r="M8" s="303" t="e">
        <f ca="1">INDIRECT("'数据-取费表'!ai"&amp;$G$1)</f>
        <v>#N/A</v>
      </c>
    </row>
    <row r="9" spans="1:37" ht="18" customHeight="1">
      <c r="A9" s="304"/>
      <c r="B9" s="3821"/>
      <c r="C9" s="306"/>
      <c r="D9" s="307"/>
      <c r="E9" s="302" t="s">
        <v>699</v>
      </c>
      <c r="F9" s="312" t="e">
        <f ca="1">INDIRECT("'数据-取费表'!w"&amp;$G$1)</f>
        <v>#N/A</v>
      </c>
      <c r="G9" s="1384"/>
      <c r="H9" s="304"/>
      <c r="I9" s="3821"/>
      <c r="J9" s="306"/>
      <c r="K9" s="307"/>
      <c r="L9" s="313" t="s">
        <v>699</v>
      </c>
      <c r="M9" s="314" t="e">
        <f ca="1">INDIRECT("'数据-取费表'!ab"&amp;$G$1)</f>
        <v>#N/A</v>
      </c>
    </row>
    <row r="10" spans="1:37" ht="18" customHeight="1">
      <c r="A10" s="1069" t="s">
        <v>402</v>
      </c>
      <c r="B10" s="1365" t="s">
        <v>700</v>
      </c>
      <c r="C10" s="316">
        <f ca="1">ROUND(IF(F10="押一",C6/12*F11,IF(F10="押二",C6/12*2*F11,IF(F10="押三",C6/12*3*F11,C11*F11))),0)</f>
        <v>0</v>
      </c>
      <c r="D10" s="1366" t="s">
        <v>2098</v>
      </c>
      <c r="E10" s="313" t="s">
        <v>701</v>
      </c>
      <c r="F10" s="1116" t="s">
        <v>3572</v>
      </c>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f>ROUND(67*800*12/10000,0)</f>
        <v>64</v>
      </c>
      <c r="D12" s="1085"/>
      <c r="E12" s="1090"/>
      <c r="F12" s="1086"/>
      <c r="G12" s="3532" t="s">
        <v>4630</v>
      </c>
      <c r="H12" s="1083" t="s">
        <v>437</v>
      </c>
      <c r="I12" s="1369" t="s">
        <v>703</v>
      </c>
      <c r="J12" s="1084"/>
      <c r="K12" s="1098"/>
      <c r="L12" s="1090"/>
      <c r="M12" s="1099"/>
    </row>
    <row r="13" spans="1:37" ht="18" customHeight="1" thickTop="1">
      <c r="A13" s="1079">
        <v>2</v>
      </c>
      <c r="B13" s="1080" t="s">
        <v>704</v>
      </c>
      <c r="C13" s="310" t="e">
        <f ca="1">ROUND(C29*F13,0)</f>
        <v>#N/A</v>
      </c>
      <c r="D13" s="3425" t="s">
        <v>705</v>
      </c>
      <c r="E13" s="3425"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31" t="s">
        <v>708</v>
      </c>
      <c r="E14" s="3430"/>
      <c r="F14" s="319"/>
      <c r="G14" s="1384"/>
      <c r="H14" s="982" t="s">
        <v>398</v>
      </c>
      <c r="I14" s="302" t="s">
        <v>709</v>
      </c>
      <c r="J14" s="21" t="e">
        <f ca="1">C29</f>
        <v>#N/A</v>
      </c>
      <c r="K14" s="3427"/>
      <c r="L14" s="807"/>
      <c r="M14" s="808"/>
    </row>
    <row r="15" spans="1:37" s="1397" customFormat="1" ht="18" customHeight="1" thickBot="1">
      <c r="A15" s="982" t="s">
        <v>399</v>
      </c>
      <c r="B15" s="302" t="s">
        <v>710</v>
      </c>
      <c r="C15" s="21" t="e">
        <f ca="1">ROUND(C14*F15,0)</f>
        <v>#N/A</v>
      </c>
      <c r="D15" s="3426" t="s">
        <v>711</v>
      </c>
      <c r="E15" s="3426"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33"/>
      <c r="M16" s="1072"/>
    </row>
    <row r="17" spans="1:37" s="1397" customFormat="1" ht="18" customHeight="1">
      <c r="A17" s="982" t="s">
        <v>681</v>
      </c>
      <c r="B17" s="302" t="s">
        <v>716</v>
      </c>
      <c r="C17" s="21" t="e">
        <f ca="1">ROUND(F17*(F43+INDIRECT("'数据-取费表'!S"&amp;$G$1))/10000,0)</f>
        <v>#N/A</v>
      </c>
      <c r="D17" s="302" t="s">
        <v>717</v>
      </c>
      <c r="E17" s="302" t="s">
        <v>718</v>
      </c>
      <c r="F17" s="23">
        <f>'数据-取费表'!B35</f>
        <v>180</v>
      </c>
      <c r="G17" s="1396"/>
      <c r="H17" s="982" t="s">
        <v>398</v>
      </c>
      <c r="I17" s="302" t="s">
        <v>719</v>
      </c>
      <c r="J17" s="2316" t="e">
        <f ca="1">ROUND(IF(AND(项目基本情况!B11="自然人",项目基本情况!B10="北京市"),J6*M17/(1+'数据-取费表'!C42),J18+J19+J20),2)</f>
        <v>#N/A</v>
      </c>
      <c r="K17" s="3431" t="s">
        <v>720</v>
      </c>
      <c r="L17" s="3432"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32"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35"/>
      <c r="F19" s="23"/>
      <c r="G19" s="1384"/>
      <c r="H19" s="982" t="s">
        <v>399</v>
      </c>
      <c r="I19" s="302" t="s">
        <v>727</v>
      </c>
      <c r="J19" s="21" t="e">
        <f ca="1">IF(K19="按租金收入计税",ROUND(J6*M19/(1+'数据-取费表'!C42),2),ROUND(C29*M19*0.7,2))</f>
        <v>#N/A</v>
      </c>
      <c r="K19" s="1370" t="s">
        <v>3317</v>
      </c>
      <c r="L19" s="302" t="s">
        <v>712</v>
      </c>
      <c r="M19" s="322">
        <f>IF(K19="按租金收入计税",'数据-取费表'!B51,'数据-取费表'!B50)</f>
        <v>0.12</v>
      </c>
    </row>
    <row r="20" spans="1:37" s="1397" customFormat="1" ht="18" customHeight="1">
      <c r="A20" s="982" t="s">
        <v>402</v>
      </c>
      <c r="B20" s="302" t="s">
        <v>728</v>
      </c>
      <c r="C20" s="21" t="e">
        <f ca="1">ROUND(C19*F20,0)</f>
        <v>#N/A</v>
      </c>
      <c r="D20" s="2426" t="s">
        <v>729</v>
      </c>
      <c r="E20" s="302" t="s">
        <v>712</v>
      </c>
      <c r="F20" s="322">
        <f>'数据-取费表'!B37</f>
        <v>0.02</v>
      </c>
      <c r="G20" s="1396"/>
      <c r="H20" s="982" t="s">
        <v>680</v>
      </c>
      <c r="I20" s="155" t="s">
        <v>730</v>
      </c>
      <c r="J20" s="22" t="e">
        <f ca="1">ROUND(M20*M21/10000,2)</f>
        <v>#N/A</v>
      </c>
      <c r="K20" s="324" t="s">
        <v>731</v>
      </c>
      <c r="L20" s="302" t="s">
        <v>732</v>
      </c>
      <c r="M20" s="325">
        <f>'数据-取费表'!B52</f>
        <v>18</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35"/>
      <c r="F22" s="23"/>
      <c r="G22" s="1384"/>
      <c r="H22" s="982" t="s">
        <v>402</v>
      </c>
      <c r="I22" s="302" t="s">
        <v>738</v>
      </c>
      <c r="J22" s="21" t="e">
        <f ca="1">ROUND(J14*M22,2)</f>
        <v>#N/A</v>
      </c>
      <c r="K22" s="3432"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32"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35"/>
      <c r="F25" s="23"/>
      <c r="G25" s="1384"/>
      <c r="H25" s="1079" t="s">
        <v>394</v>
      </c>
      <c r="I25" s="1094" t="s">
        <v>752</v>
      </c>
      <c r="J25" s="310" t="e">
        <f ca="1">J5-J16</f>
        <v>#N/A</v>
      </c>
      <c r="K25" s="1095" t="s">
        <v>753</v>
      </c>
      <c r="L25" s="1096"/>
      <c r="M25" s="1097"/>
    </row>
    <row r="26" spans="1:37">
      <c r="A26" s="982" t="s">
        <v>397</v>
      </c>
      <c r="B26" s="302" t="s">
        <v>754</v>
      </c>
      <c r="C26" s="21" t="e">
        <f ca="1">ROUND((C19+C20)*F26,0)</f>
        <v>#N/A</v>
      </c>
      <c r="D26" s="2426"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6" t="s">
        <v>761</v>
      </c>
      <c r="E27" s="3426"/>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6"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33"/>
      <c r="F30" s="1072"/>
      <c r="G30" s="1384"/>
      <c r="H30" s="2673"/>
      <c r="I30" s="1398"/>
      <c r="J30" s="1399"/>
      <c r="K30" s="2471"/>
      <c r="L30" s="2674"/>
      <c r="M30" s="2675"/>
    </row>
    <row r="31" spans="1:37" ht="18" customHeight="1">
      <c r="A31" s="982" t="s">
        <v>398</v>
      </c>
      <c r="B31" s="302" t="s">
        <v>719</v>
      </c>
      <c r="C31" s="2316" t="e">
        <f ca="1">ROUND(IF(AND(项目基本情况!B11="自然人",项目基本情况!B10="北京市"),C6*F31/(1+'数据-取费表'!C42),C32+C33+C34),2)</f>
        <v>#N/A</v>
      </c>
      <c r="D31" s="3431" t="s">
        <v>720</v>
      </c>
      <c r="E31" s="3432" t="s">
        <v>770</v>
      </c>
      <c r="F31" s="2315" t="str">
        <f>IF(项目基本情况!B11="企业","——",IF(M47="住宅",IF(F6*F7*F8/12/(1+'数据-取费表'!F30)&gt;100000,4%,2.5%),IF(F6*F7*F8/12/(1+'数据-取费表'!F30)&gt;100000,12%,7%)))</f>
        <v>——</v>
      </c>
      <c r="G31" s="1384"/>
      <c r="H31" s="2784" t="s">
        <v>2287</v>
      </c>
      <c r="I31" s="1398"/>
      <c r="J31" s="1399"/>
      <c r="K31" s="2471"/>
      <c r="L31" s="2674"/>
      <c r="M31" s="2675"/>
    </row>
    <row r="32" spans="1:37" ht="18" customHeight="1">
      <c r="A32" s="982" t="s">
        <v>397</v>
      </c>
      <c r="B32" s="302" t="s">
        <v>723</v>
      </c>
      <c r="C32" s="21" t="e">
        <f ca="1">IF(项目基本情况!B11="自然人","——",ROUND(C6*F32/(1+'数据-取费表'!C42),2))</f>
        <v>#N/A</v>
      </c>
      <c r="D32" s="3432" t="s">
        <v>724</v>
      </c>
      <c r="E32" s="302" t="s">
        <v>712</v>
      </c>
      <c r="F32" s="331">
        <f>'数据-取费表'!B41</f>
        <v>5.6000000000000001E-2</v>
      </c>
      <c r="G32" s="1384"/>
      <c r="H32" s="2673"/>
      <c r="I32" s="1398"/>
      <c r="J32" s="1399"/>
      <c r="K32" s="2471"/>
      <c r="L32" s="2674"/>
      <c r="M32" s="2675"/>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3317</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t="e">
        <f ca="1">IF(项目基本情况!B11="自然人","——",ROUND(F34*F35/10000,2))</f>
        <v>#N/A</v>
      </c>
      <c r="D34" s="324" t="s">
        <v>731</v>
      </c>
      <c r="E34" s="302" t="s">
        <v>732</v>
      </c>
      <c r="F34" s="325">
        <f>'数据-取费表'!B52</f>
        <v>18</v>
      </c>
      <c r="G34" s="1384"/>
      <c r="H34" s="2673"/>
      <c r="I34" s="1398"/>
      <c r="J34" s="1399"/>
      <c r="K34" s="2678"/>
      <c r="L34" s="2679"/>
      <c r="M34" s="2679"/>
    </row>
    <row r="35" spans="1:18" ht="18" customHeight="1">
      <c r="A35" s="1103"/>
      <c r="B35" s="1101"/>
      <c r="C35" s="26"/>
      <c r="D35" s="327"/>
      <c r="E35" s="302" t="s">
        <v>736</v>
      </c>
      <c r="F35" s="303" t="e">
        <f ca="1">INDIRECT("'数据-取费表'!r"&amp;$G$1)</f>
        <v>#N/A</v>
      </c>
      <c r="G35" s="1384"/>
      <c r="H35" s="2673"/>
      <c r="I35" s="1398"/>
      <c r="J35" s="1399"/>
      <c r="K35" s="2677"/>
      <c r="L35" s="2676"/>
      <c r="M35" s="2676"/>
    </row>
    <row r="36" spans="1:18" ht="18" customHeight="1">
      <c r="A36" s="1102" t="s">
        <v>402</v>
      </c>
      <c r="B36" s="302" t="s">
        <v>738</v>
      </c>
      <c r="C36" s="21" t="e">
        <f ca="1">ROUND(C29*F36,2)</f>
        <v>#N/A</v>
      </c>
      <c r="D36" s="3432" t="s">
        <v>771</v>
      </c>
      <c r="E36" s="302" t="s">
        <v>712</v>
      </c>
      <c r="F36" s="328" t="e">
        <f ca="1">INDIRECT("'数据-取费表'!Ak"&amp;$G$1)</f>
        <v>#N/A</v>
      </c>
      <c r="G36" s="1384"/>
      <c r="H36" s="2676"/>
      <c r="I36" s="1398"/>
      <c r="J36" s="1399"/>
      <c r="K36" s="2521"/>
      <c r="L36" s="2676"/>
      <c r="M36" s="2676"/>
    </row>
    <row r="37" spans="1:18" ht="18" customHeight="1">
      <c r="A37" s="982" t="s">
        <v>437</v>
      </c>
      <c r="B37" s="302" t="s">
        <v>742</v>
      </c>
      <c r="C37" s="21" t="e">
        <f ca="1">ROUND(C13*F37,2)</f>
        <v>#N/A</v>
      </c>
      <c r="D37" s="3432" t="s">
        <v>743</v>
      </c>
      <c r="E37" s="302" t="s">
        <v>744</v>
      </c>
      <c r="F37" s="330" t="e">
        <f ca="1">INDIRECT("'数据-取费表'!Al"&amp;$G$1)</f>
        <v>#N/A</v>
      </c>
      <c r="G37" s="1384"/>
      <c r="H37" s="2676"/>
      <c r="I37" s="1398"/>
      <c r="J37" s="1399"/>
      <c r="K37" s="2521"/>
      <c r="L37" s="2676"/>
      <c r="M37" s="2676"/>
    </row>
    <row r="38" spans="1:18" ht="18" customHeight="1" thickBot="1">
      <c r="A38" s="1089" t="s">
        <v>684</v>
      </c>
      <c r="B38" s="1090" t="s">
        <v>728</v>
      </c>
      <c r="C38" s="1091" t="e">
        <f ca="1">ROUND(C5*F38,2)</f>
        <v>#N/A</v>
      </c>
      <c r="D38" s="1092" t="s">
        <v>748</v>
      </c>
      <c r="E38" s="1090" t="s">
        <v>744</v>
      </c>
      <c r="F38" s="1086" t="e">
        <f ca="1">INDIRECT("'数据-取费表'!Am"&amp;$G$1)</f>
        <v>#N/A</v>
      </c>
      <c r="G38" s="1384"/>
      <c r="H38" s="2676"/>
      <c r="I38" s="1398"/>
      <c r="J38" s="1399"/>
      <c r="K38" s="2680"/>
      <c r="L38" s="2676"/>
      <c r="M38" s="2676"/>
    </row>
    <row r="39" spans="1:18" ht="24.6" customHeight="1" thickTop="1">
      <c r="A39" s="1079" t="s">
        <v>394</v>
      </c>
      <c r="B39" s="1094" t="s">
        <v>772</v>
      </c>
      <c r="C39" s="310" t="e">
        <f ca="1">C5-C30</f>
        <v>#N/A</v>
      </c>
      <c r="D39" s="1095" t="s">
        <v>773</v>
      </c>
      <c r="E39" s="1096"/>
      <c r="F39" s="1097"/>
      <c r="G39" s="1384"/>
      <c r="H39" s="2676" t="e">
        <f ca="1">C39/C5</f>
        <v>#N/A</v>
      </c>
      <c r="I39" s="1398"/>
      <c r="J39" s="1399"/>
      <c r="K39" s="2680"/>
      <c r="L39" s="2676"/>
      <c r="M39" s="2676"/>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80"/>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21"/>
      <c r="L41" s="1191"/>
      <c r="M41" s="1191"/>
    </row>
    <row r="42" spans="1:18" ht="18" customHeight="1">
      <c r="A42" s="308"/>
      <c r="B42" s="309"/>
      <c r="C42" s="310"/>
      <c r="D42" s="327"/>
      <c r="E42" s="302" t="s">
        <v>766</v>
      </c>
      <c r="F42" s="312" t="e">
        <f ca="1">INDIRECT("'数据-取费表'!v"&amp;$G$1)</f>
        <v>#N/A</v>
      </c>
      <c r="G42" s="1384"/>
      <c r="H42" s="1191"/>
      <c r="I42" s="1398"/>
      <c r="J42" s="1399"/>
      <c r="K42" s="2521"/>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2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34" t="e">
        <f ca="1">C49+C53+C55</f>
        <v>#N/A</v>
      </c>
      <c r="D48" s="1112"/>
      <c r="E48" s="1113"/>
      <c r="F48" s="962"/>
      <c r="G48" s="722"/>
      <c r="H48" s="723"/>
      <c r="I48" s="1421" t="s">
        <v>819</v>
      </c>
      <c r="J48" s="1422" t="s">
        <v>3388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2090</v>
      </c>
      <c r="E49" s="1372" t="s">
        <v>780</v>
      </c>
      <c r="F49" s="1060"/>
      <c r="G49" s="1425"/>
      <c r="H49" s="723"/>
      <c r="I49" s="1421" t="s">
        <v>823</v>
      </c>
      <c r="J49" s="1426">
        <f>'数据-取费表'!N18</f>
        <v>0</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-1964</v>
      </c>
      <c r="K51" s="1434" t="s">
        <v>830</v>
      </c>
      <c r="L51" s="1435" t="e">
        <f ca="1">ROUND(-PV(INDIRECT("'数据-取费表'!h"&amp;$G$1),J51,(C39-C13*C76),0),0)</f>
        <v>#N/A</v>
      </c>
      <c r="M51" s="1436"/>
      <c r="O51" s="1428" t="s">
        <v>407</v>
      </c>
      <c r="P51" s="1419" t="s">
        <v>831</v>
      </c>
      <c r="Q51" s="1431">
        <f>J52</f>
        <v>5.0000000000000001E-3</v>
      </c>
      <c r="R51" s="1420"/>
    </row>
    <row r="52" spans="1:18" s="1384" customFormat="1" ht="13.5" thickBot="1">
      <c r="A52" s="977"/>
      <c r="B52" s="979"/>
      <c r="C52" s="980"/>
      <c r="D52" s="953"/>
      <c r="E52" s="981" t="s">
        <v>699</v>
      </c>
      <c r="F52" s="1054"/>
      <c r="I52" s="1437" t="s">
        <v>832</v>
      </c>
      <c r="J52" s="1438">
        <f>'数据-取费表'!J7+0.005</f>
        <v>5.0000000000000001E-3</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8" t="e">
        <f ca="1">IF(M47="住宅",IF(D1="——",MAX(J51,L48),MAX(J51,L48-'数据-取费表'!B24)),IF(D1="——",MIN(J51,L48),MIN(J51,L48-'数据-取费表'!B24)))</f>
        <v>#N/A</v>
      </c>
      <c r="K53" s="3822" t="s">
        <v>837</v>
      </c>
      <c r="L53" s="3823"/>
      <c r="O53" s="1418" t="s">
        <v>409</v>
      </c>
      <c r="P53" s="1419" t="s">
        <v>838</v>
      </c>
      <c r="Q53" s="1420" t="e">
        <f ca="1">Q47+Q48</f>
        <v>#N/A</v>
      </c>
      <c r="R53" s="1420" t="s">
        <v>410</v>
      </c>
    </row>
    <row r="54" spans="1:18" s="1384" customFormat="1" ht="13.5" thickBot="1">
      <c r="A54" s="1153"/>
      <c r="B54" s="1367" t="s">
        <v>679</v>
      </c>
      <c r="C54" s="959"/>
      <c r="D54" s="1366"/>
      <c r="E54" s="3429"/>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29"/>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3370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3317</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18</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1642</v>
      </c>
      <c r="B1" s="1957" t="s">
        <v>1808</v>
      </c>
      <c r="C1" s="1224" t="s">
        <v>1644</v>
      </c>
      <c r="D1" s="1225"/>
      <c r="E1" s="3409"/>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32105.55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1751</v>
      </c>
      <c r="B4" s="356"/>
      <c r="C4" s="3786" t="s">
        <v>1752</v>
      </c>
      <c r="D4" s="3787"/>
      <c r="E4" s="3788" t="s">
        <v>1753</v>
      </c>
      <c r="F4" s="3789"/>
      <c r="G4" s="3786" t="s">
        <v>1754</v>
      </c>
      <c r="H4" s="3787"/>
      <c r="I4" s="3786" t="s">
        <v>1755</v>
      </c>
      <c r="J4" s="3787"/>
      <c r="K4" s="559" t="s">
        <v>1756</v>
      </c>
      <c r="L4" s="913"/>
      <c r="M4" s="914"/>
      <c r="N4" s="914"/>
      <c r="O4" s="914"/>
      <c r="P4" s="3847" t="s">
        <v>1757</v>
      </c>
      <c r="Q4" s="3848"/>
      <c r="R4" s="3844" t="s">
        <v>1753</v>
      </c>
      <c r="S4" s="3845"/>
      <c r="T4" s="3844" t="s">
        <v>1754</v>
      </c>
      <c r="U4" s="3845"/>
      <c r="V4" s="3799" t="s">
        <v>1755</v>
      </c>
      <c r="W4" s="3799"/>
      <c r="X4" s="1355"/>
      <c r="Y4" s="3844" t="s">
        <v>1757</v>
      </c>
      <c r="Z4" s="3845"/>
      <c r="AA4" s="3843" t="s">
        <v>1753</v>
      </c>
      <c r="AB4" s="3766" t="s">
        <v>1754</v>
      </c>
      <c r="AC4" s="3843" t="s">
        <v>1755</v>
      </c>
    </row>
    <row r="5" spans="1:29" ht="15">
      <c r="A5" s="358"/>
      <c r="B5" s="359"/>
      <c r="C5" s="3776" t="s">
        <v>1655</v>
      </c>
      <c r="D5" s="3777"/>
      <c r="E5" s="3846" t="s">
        <v>1656</v>
      </c>
      <c r="F5" s="3775"/>
      <c r="G5" s="3776" t="s">
        <v>1657</v>
      </c>
      <c r="H5" s="3777"/>
      <c r="I5" s="3776" t="s">
        <v>1658</v>
      </c>
      <c r="J5" s="3777"/>
      <c r="K5" s="559"/>
      <c r="L5" s="913"/>
      <c r="M5" s="914"/>
      <c r="N5" s="914"/>
      <c r="O5" s="914"/>
      <c r="P5" s="3849"/>
      <c r="Q5" s="3793"/>
      <c r="R5" s="3772"/>
      <c r="S5" s="3773"/>
      <c r="T5" s="3772"/>
      <c r="U5" s="3773"/>
      <c r="V5" s="3799"/>
      <c r="W5" s="3799"/>
      <c r="X5" s="1355"/>
      <c r="Y5" s="3772"/>
      <c r="Z5" s="3773"/>
      <c r="AA5" s="3766"/>
      <c r="AB5" s="3766"/>
      <c r="AC5" s="3766"/>
    </row>
    <row r="6" spans="1:29" ht="15.75" thickBot="1">
      <c r="A6" s="360"/>
      <c r="B6" s="361"/>
      <c r="C6" s="3778" t="s">
        <v>1659</v>
      </c>
      <c r="D6" s="3779"/>
      <c r="E6" s="3780" t="s">
        <v>1659</v>
      </c>
      <c r="F6" s="3781"/>
      <c r="G6" s="3778" t="s">
        <v>1659</v>
      </c>
      <c r="H6" s="3779"/>
      <c r="I6" s="3778" t="s">
        <v>1659</v>
      </c>
      <c r="J6" s="3779"/>
      <c r="K6" s="559" t="s">
        <v>1660</v>
      </c>
      <c r="L6" s="913"/>
      <c r="M6" s="914"/>
      <c r="N6" s="914"/>
      <c r="O6" s="914"/>
      <c r="P6" s="3850"/>
      <c r="Q6" s="3795"/>
      <c r="R6" s="3772"/>
      <c r="S6" s="3773"/>
      <c r="T6" s="3796"/>
      <c r="U6" s="3797"/>
      <c r="V6" s="3799"/>
      <c r="W6" s="3799"/>
      <c r="X6" s="1355"/>
      <c r="Y6" s="3796"/>
      <c r="Z6" s="3797"/>
      <c r="AA6" s="3767"/>
      <c r="AB6" s="3767"/>
      <c r="AC6" s="3767"/>
    </row>
    <row r="7" spans="1:29" s="108" customFormat="1" ht="15.75" thickBot="1">
      <c r="A7" s="362" t="s">
        <v>1661</v>
      </c>
      <c r="B7" s="363"/>
      <c r="C7" s="364">
        <f>'数据-取费表'!B2</f>
        <v>45406</v>
      </c>
      <c r="D7" s="365">
        <v>100</v>
      </c>
      <c r="E7" s="366"/>
      <c r="F7" s="367">
        <f>SUMIF(52:52,YEAR(E7)&amp;"-"&amp;MONTH(E7),53:53)</f>
        <v>0</v>
      </c>
      <c r="G7" s="366"/>
      <c r="H7" s="365">
        <f>SUMIF(52:52,YEAR(G7)&amp;"-"&amp;MONTH(G7),53:53)</f>
        <v>0</v>
      </c>
      <c r="I7" s="366"/>
      <c r="J7" s="365">
        <f>SUMIF(52:52,YEAR(I7)&amp;"-"&amp;MONTH(I7),53:53)</f>
        <v>0</v>
      </c>
      <c r="K7" s="560"/>
      <c r="L7" s="915"/>
      <c r="M7" s="916"/>
      <c r="N7" s="916"/>
      <c r="O7" s="916"/>
      <c r="P7" s="3768" t="s">
        <v>1662</v>
      </c>
      <c r="Q7" s="3801"/>
      <c r="R7" s="701" t="s">
        <v>14</v>
      </c>
      <c r="S7" s="702">
        <f t="shared" ref="S7:S15" si="0">F7</f>
        <v>0</v>
      </c>
      <c r="T7" s="701" t="s">
        <v>14</v>
      </c>
      <c r="U7" s="702">
        <f t="shared" ref="U7:U15" si="1">H7</f>
        <v>0</v>
      </c>
      <c r="V7" s="701" t="s">
        <v>14</v>
      </c>
      <c r="W7" s="702">
        <f t="shared" ref="W7:W15" si="2">J7</f>
        <v>0</v>
      </c>
      <c r="X7" s="703"/>
      <c r="Y7" s="3768" t="s">
        <v>1662</v>
      </c>
      <c r="Z7" s="3769"/>
      <c r="AA7" s="704" t="e">
        <f>D7/F7</f>
        <v>#DIV/0!</v>
      </c>
      <c r="AB7" s="704" t="e">
        <f>D7/H7</f>
        <v>#DIV/0!</v>
      </c>
      <c r="AC7" s="704" t="e">
        <f>D7/J7</f>
        <v>#DIV/0!</v>
      </c>
    </row>
    <row r="8" spans="1:29" s="108" customFormat="1" ht="15.7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8" t="s">
        <v>1665</v>
      </c>
      <c r="Q8" s="3769"/>
      <c r="R8" s="701" t="s">
        <v>14</v>
      </c>
      <c r="S8" s="702">
        <f t="shared" si="0"/>
        <v>100</v>
      </c>
      <c r="T8" s="701" t="s">
        <v>14</v>
      </c>
      <c r="U8" s="702">
        <f t="shared" si="1"/>
        <v>100</v>
      </c>
      <c r="V8" s="701" t="s">
        <v>14</v>
      </c>
      <c r="W8" s="702">
        <f t="shared" si="2"/>
        <v>100</v>
      </c>
      <c r="X8" s="703"/>
      <c r="Y8" s="3768" t="s">
        <v>1665</v>
      </c>
      <c r="Z8" s="3769"/>
      <c r="AA8" s="704">
        <f t="shared" ref="AA8:AA40" si="3">D8/F8</f>
        <v>1</v>
      </c>
      <c r="AB8" s="704">
        <f t="shared" ref="AB8:AB40" si="4">D8/H8</f>
        <v>1</v>
      </c>
      <c r="AC8" s="704">
        <f t="shared" ref="AC8:AC40" si="5">D8/J8</f>
        <v>1</v>
      </c>
    </row>
    <row r="9" spans="1:29" s="108" customFormat="1">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11" t="s">
        <v>1668</v>
      </c>
      <c r="Q9" s="1343" t="str">
        <f t="shared" ref="Q9:Q15" si="6">B9</f>
        <v>用途</v>
      </c>
      <c r="R9" s="701" t="s">
        <v>14</v>
      </c>
      <c r="S9" s="702">
        <f t="shared" si="0"/>
        <v>100</v>
      </c>
      <c r="T9" s="701" t="s">
        <v>14</v>
      </c>
      <c r="U9" s="702">
        <f t="shared" si="1"/>
        <v>100</v>
      </c>
      <c r="V9" s="701" t="s">
        <v>14</v>
      </c>
      <c r="W9" s="702">
        <f t="shared" si="2"/>
        <v>100</v>
      </c>
      <c r="X9" s="703"/>
      <c r="Y9" s="3741" t="s">
        <v>1669</v>
      </c>
      <c r="Z9" s="52" t="str">
        <f t="shared" ref="Z9:Z15" si="7">Q9</f>
        <v>用途</v>
      </c>
      <c r="AA9" s="704">
        <f t="shared" si="3"/>
        <v>1</v>
      </c>
      <c r="AB9" s="704">
        <f t="shared" si="4"/>
        <v>1</v>
      </c>
      <c r="AC9" s="704">
        <f t="shared" si="5"/>
        <v>1</v>
      </c>
    </row>
    <row r="10" spans="1:29" s="378" customFormat="1" ht="27">
      <c r="A10" s="374"/>
      <c r="B10" s="375" t="s">
        <v>1670</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811"/>
      <c r="Q10" s="1343"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11"/>
      <c r="Q11" s="1343" t="str">
        <f t="shared" si="6"/>
        <v>容积率</v>
      </c>
      <c r="R11" s="701" t="s">
        <v>14</v>
      </c>
      <c r="S11" s="702">
        <f t="shared" si="0"/>
        <v>100</v>
      </c>
      <c r="T11" s="701" t="s">
        <v>14</v>
      </c>
      <c r="U11" s="702">
        <f t="shared" si="1"/>
        <v>100</v>
      </c>
      <c r="V11" s="701" t="s">
        <v>14</v>
      </c>
      <c r="W11" s="702">
        <f t="shared" si="2"/>
        <v>100</v>
      </c>
      <c r="X11" s="703"/>
      <c r="Y11" s="37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11"/>
      <c r="Q12" s="1343">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11"/>
      <c r="Q13" s="1343">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11"/>
      <c r="Q14" s="1343">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704">
        <f t="shared" si="5"/>
        <v>1</v>
      </c>
    </row>
    <row r="15" spans="1:29" ht="57">
      <c r="A15" s="391" t="s">
        <v>1672</v>
      </c>
      <c r="B15" s="61" t="s">
        <v>1809</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04" t="s">
        <v>1673</v>
      </c>
      <c r="Q15" s="1352" t="str">
        <f t="shared" si="6"/>
        <v>产业集聚程度</v>
      </c>
      <c r="R15" s="705" t="s">
        <v>14</v>
      </c>
      <c r="S15" s="706">
        <f t="shared" si="0"/>
        <v>100</v>
      </c>
      <c r="T15" s="705" t="s">
        <v>14</v>
      </c>
      <c r="U15" s="706">
        <f t="shared" si="1"/>
        <v>100</v>
      </c>
      <c r="V15" s="705" t="s">
        <v>14</v>
      </c>
      <c r="W15" s="706">
        <f t="shared" si="2"/>
        <v>100</v>
      </c>
      <c r="X15" s="1355"/>
      <c r="Y15" s="3804" t="s">
        <v>1673</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05"/>
      <c r="Q16" s="1352"/>
      <c r="R16" s="705"/>
      <c r="S16" s="706"/>
      <c r="T16" s="705"/>
      <c r="U16" s="706"/>
      <c r="V16" s="705"/>
      <c r="W16" s="706"/>
      <c r="X16" s="1355"/>
      <c r="Y16" s="380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05"/>
      <c r="Q17" s="1352" t="str">
        <f>B17</f>
        <v>交通便捷度</v>
      </c>
      <c r="R17" s="705" t="s">
        <v>14</v>
      </c>
      <c r="S17" s="706">
        <f>F17</f>
        <v>100</v>
      </c>
      <c r="T17" s="705" t="s">
        <v>14</v>
      </c>
      <c r="U17" s="706">
        <f>H17</f>
        <v>100</v>
      </c>
      <c r="V17" s="705" t="s">
        <v>14</v>
      </c>
      <c r="W17" s="706">
        <f>J17</f>
        <v>100</v>
      </c>
      <c r="X17" s="1355"/>
      <c r="Y17" s="38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05"/>
      <c r="Q18" s="1352"/>
      <c r="R18" s="705"/>
      <c r="S18" s="706"/>
      <c r="T18" s="705"/>
      <c r="U18" s="706"/>
      <c r="V18" s="705"/>
      <c r="W18" s="706"/>
      <c r="X18" s="1355"/>
      <c r="Y18" s="3805"/>
      <c r="Z18" s="1356"/>
      <c r="AA18" s="1353">
        <v>1</v>
      </c>
      <c r="AB18" s="1353">
        <v>1</v>
      </c>
      <c r="AC18" s="1353">
        <v>1</v>
      </c>
    </row>
    <row r="19" spans="1:29" ht="42.75">
      <c r="A19" s="379"/>
      <c r="B19" s="402" t="s">
        <v>1794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05"/>
      <c r="Q19" s="1352" t="str">
        <f>B19</f>
        <v>公共配套设施</v>
      </c>
      <c r="R19" s="705" t="s">
        <v>14</v>
      </c>
      <c r="S19" s="706">
        <f>F19</f>
        <v>100</v>
      </c>
      <c r="T19" s="705" t="s">
        <v>14</v>
      </c>
      <c r="U19" s="706">
        <f>H19</f>
        <v>100</v>
      </c>
      <c r="V19" s="705" t="s">
        <v>14</v>
      </c>
      <c r="W19" s="706">
        <f>J19</f>
        <v>100</v>
      </c>
      <c r="X19" s="1355"/>
      <c r="Y19" s="38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05"/>
      <c r="Q20" s="1352"/>
      <c r="R20" s="705"/>
      <c r="S20" s="706"/>
      <c r="T20" s="705"/>
      <c r="U20" s="706"/>
      <c r="V20" s="705"/>
      <c r="W20" s="706"/>
      <c r="X20" s="1355"/>
      <c r="Y20" s="3805"/>
      <c r="Z20" s="1356"/>
      <c r="AA20" s="1353">
        <v>1</v>
      </c>
      <c r="AB20" s="1353">
        <v>1</v>
      </c>
      <c r="AC20" s="1353">
        <v>1</v>
      </c>
    </row>
    <row r="21" spans="1:29" ht="28.5">
      <c r="A21" s="379"/>
      <c r="B21" s="1131" t="s">
        <v>1795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05"/>
      <c r="Q21" s="1352" t="str">
        <f>B21</f>
        <v>基础设施水平</v>
      </c>
      <c r="R21" s="705" t="s">
        <v>14</v>
      </c>
      <c r="S21" s="706">
        <f>F21</f>
        <v>100</v>
      </c>
      <c r="T21" s="705" t="s">
        <v>14</v>
      </c>
      <c r="U21" s="706">
        <f>H21</f>
        <v>100</v>
      </c>
      <c r="V21" s="705" t="s">
        <v>14</v>
      </c>
      <c r="W21" s="706">
        <f>J21</f>
        <v>100</v>
      </c>
      <c r="X21" s="1355"/>
      <c r="Y21" s="38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05"/>
      <c r="Q22" s="1352"/>
      <c r="R22" s="705"/>
      <c r="S22" s="706"/>
      <c r="T22" s="705"/>
      <c r="U22" s="706"/>
      <c r="V22" s="705"/>
      <c r="W22" s="706"/>
      <c r="X22" s="1355"/>
      <c r="Y22" s="3805"/>
      <c r="Z22" s="1356"/>
      <c r="AA22" s="1353">
        <v>1</v>
      </c>
      <c r="AB22" s="1353">
        <v>1</v>
      </c>
      <c r="AC22" s="1353">
        <v>1</v>
      </c>
    </row>
    <row r="23" spans="1:29" ht="71.25">
      <c r="A23" s="379"/>
      <c r="B23" s="402" t="s">
        <v>1796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05"/>
      <c r="Q23" s="1352" t="str">
        <f>B23</f>
        <v>环境质量</v>
      </c>
      <c r="R23" s="705" t="s">
        <v>14</v>
      </c>
      <c r="S23" s="706">
        <f>F23</f>
        <v>100</v>
      </c>
      <c r="T23" s="705" t="s">
        <v>14</v>
      </c>
      <c r="U23" s="706">
        <f>H23</f>
        <v>100</v>
      </c>
      <c r="V23" s="705" t="s">
        <v>14</v>
      </c>
      <c r="W23" s="706">
        <f>J23</f>
        <v>100</v>
      </c>
      <c r="X23" s="1355"/>
      <c r="Y23" s="38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05"/>
      <c r="Q24" s="1352"/>
      <c r="R24" s="705"/>
      <c r="S24" s="706"/>
      <c r="T24" s="705"/>
      <c r="U24" s="706"/>
      <c r="V24" s="705"/>
      <c r="W24" s="706"/>
      <c r="X24" s="1355"/>
      <c r="Y24" s="38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05"/>
      <c r="Q25" s="1352">
        <f>B25</f>
        <v>111</v>
      </c>
      <c r="R25" s="705" t="s">
        <v>14</v>
      </c>
      <c r="S25" s="706">
        <f>F25</f>
        <v>100</v>
      </c>
      <c r="T25" s="705" t="s">
        <v>14</v>
      </c>
      <c r="U25" s="706">
        <f>H25</f>
        <v>100</v>
      </c>
      <c r="V25" s="705" t="s">
        <v>14</v>
      </c>
      <c r="W25" s="706">
        <f>J25</f>
        <v>100</v>
      </c>
      <c r="X25" s="1355"/>
      <c r="Y25" s="38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05"/>
      <c r="Q26" s="1352">
        <f t="shared" ref="Q26:Q40" si="11">B26</f>
        <v>111</v>
      </c>
      <c r="R26" s="705" t="s">
        <v>14</v>
      </c>
      <c r="S26" s="706">
        <f>F26</f>
        <v>100</v>
      </c>
      <c r="T26" s="705" t="s">
        <v>14</v>
      </c>
      <c r="U26" s="706">
        <f>H26</f>
        <v>100</v>
      </c>
      <c r="V26" s="705" t="s">
        <v>14</v>
      </c>
      <c r="W26" s="706">
        <f>J26</f>
        <v>100</v>
      </c>
      <c r="X26" s="1355"/>
      <c r="Y26" s="38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05"/>
      <c r="Q27" s="1343">
        <f t="shared" si="11"/>
        <v>111</v>
      </c>
      <c r="R27" s="701" t="s">
        <v>14</v>
      </c>
      <c r="S27" s="702">
        <f>F27</f>
        <v>100</v>
      </c>
      <c r="T27" s="701" t="s">
        <v>14</v>
      </c>
      <c r="U27" s="702">
        <f>H27</f>
        <v>100</v>
      </c>
      <c r="V27" s="701" t="s">
        <v>14</v>
      </c>
      <c r="W27" s="702">
        <f>J27</f>
        <v>100</v>
      </c>
      <c r="X27" s="703"/>
      <c r="Y27" s="38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05"/>
      <c r="Q28" s="1352">
        <f t="shared" si="11"/>
        <v>111</v>
      </c>
      <c r="R28" s="705" t="s">
        <v>14</v>
      </c>
      <c r="S28" s="706">
        <f t="shared" ref="S28:S40" si="12">F28</f>
        <v>100</v>
      </c>
      <c r="T28" s="705" t="s">
        <v>14</v>
      </c>
      <c r="U28" s="706">
        <f t="shared" ref="U28:U40" si="13">H28</f>
        <v>100</v>
      </c>
      <c r="V28" s="705" t="s">
        <v>14</v>
      </c>
      <c r="W28" s="706">
        <f t="shared" ref="W28:W40" si="14">J28</f>
        <v>100</v>
      </c>
      <c r="X28" s="1355"/>
      <c r="Y28" s="3805"/>
      <c r="Z28" s="1356">
        <f t="shared" ref="Z28:Z40" si="15">Q28</f>
        <v>111</v>
      </c>
      <c r="AA28" s="1353">
        <f t="shared" si="3"/>
        <v>1</v>
      </c>
      <c r="AB28" s="1353">
        <f t="shared" si="4"/>
        <v>1</v>
      </c>
      <c r="AC28" s="1353">
        <f t="shared" si="5"/>
        <v>1</v>
      </c>
    </row>
    <row r="29" spans="1:29" ht="28.5">
      <c r="A29" s="417" t="s">
        <v>1676</v>
      </c>
      <c r="B29" s="63" t="s">
        <v>1799</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75" t="s">
        <v>1678</v>
      </c>
      <c r="Q29" s="1352" t="str">
        <f t="shared" si="11"/>
        <v>建筑类型</v>
      </c>
      <c r="R29" s="705" t="s">
        <v>14</v>
      </c>
      <c r="S29" s="706">
        <f t="shared" si="12"/>
        <v>100</v>
      </c>
      <c r="T29" s="705" t="s">
        <v>14</v>
      </c>
      <c r="U29" s="706">
        <f t="shared" si="13"/>
        <v>100</v>
      </c>
      <c r="V29" s="705" t="s">
        <v>14</v>
      </c>
      <c r="W29" s="706">
        <f t="shared" si="14"/>
        <v>100</v>
      </c>
      <c r="X29" s="1355"/>
      <c r="Y29" s="3809" t="s">
        <v>1678</v>
      </c>
      <c r="Z29" s="1356" t="str">
        <f t="shared" si="15"/>
        <v>建筑类型</v>
      </c>
      <c r="AA29" s="1353">
        <f t="shared" si="3"/>
        <v>1</v>
      </c>
      <c r="AB29" s="1353">
        <f t="shared" si="4"/>
        <v>1</v>
      </c>
      <c r="AC29" s="1353">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09"/>
      <c r="Q30" s="707" t="str">
        <f t="shared" si="11"/>
        <v>项目建筑规模</v>
      </c>
      <c r="R30" s="708" t="s">
        <v>14</v>
      </c>
      <c r="S30" s="709" t="e">
        <f t="shared" si="12"/>
        <v>#N/A</v>
      </c>
      <c r="T30" s="708" t="s">
        <v>14</v>
      </c>
      <c r="U30" s="709" t="e">
        <f t="shared" si="13"/>
        <v>#N/A</v>
      </c>
      <c r="V30" s="708" t="s">
        <v>14</v>
      </c>
      <c r="W30" s="709" t="e">
        <f t="shared" si="14"/>
        <v>#N/A</v>
      </c>
      <c r="X30" s="710"/>
      <c r="Y30" s="3809"/>
      <c r="Z30" s="711" t="str">
        <f t="shared" si="15"/>
        <v>项目建筑规模</v>
      </c>
      <c r="AA30" s="1353" t="e">
        <f t="shared" si="3"/>
        <v>#N/A</v>
      </c>
      <c r="AB30" s="1353" t="e">
        <f t="shared" si="4"/>
        <v>#N/A</v>
      </c>
      <c r="AC30" s="1353"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09"/>
      <c r="Q31" s="1352" t="str">
        <f t="shared" si="11"/>
        <v>建筑结构</v>
      </c>
      <c r="R31" s="705" t="s">
        <v>14</v>
      </c>
      <c r="S31" s="706">
        <f t="shared" si="12"/>
        <v>100</v>
      </c>
      <c r="T31" s="705" t="s">
        <v>14</v>
      </c>
      <c r="U31" s="706">
        <f t="shared" si="13"/>
        <v>100</v>
      </c>
      <c r="V31" s="705" t="s">
        <v>14</v>
      </c>
      <c r="W31" s="706">
        <f t="shared" si="14"/>
        <v>100</v>
      </c>
      <c r="X31" s="1355"/>
      <c r="Y31" s="3809"/>
      <c r="Z31" s="1356" t="str">
        <f t="shared" si="15"/>
        <v>建筑结构</v>
      </c>
      <c r="AA31" s="1353">
        <f t="shared" si="3"/>
        <v>1</v>
      </c>
      <c r="AB31" s="1353">
        <f t="shared" si="4"/>
        <v>1</v>
      </c>
      <c r="AC31" s="1353">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09"/>
      <c r="Q32" s="1352" t="str">
        <f t="shared" si="11"/>
        <v>公共部分装修</v>
      </c>
      <c r="R32" s="705" t="s">
        <v>14</v>
      </c>
      <c r="S32" s="706">
        <f t="shared" si="12"/>
        <v>100</v>
      </c>
      <c r="T32" s="705" t="s">
        <v>14</v>
      </c>
      <c r="U32" s="706">
        <f t="shared" si="13"/>
        <v>100</v>
      </c>
      <c r="V32" s="705" t="s">
        <v>14</v>
      </c>
      <c r="W32" s="706">
        <f t="shared" si="14"/>
        <v>100</v>
      </c>
      <c r="X32" s="1355"/>
      <c r="Y32" s="3809"/>
      <c r="Z32" s="1356" t="str">
        <f t="shared" si="15"/>
        <v>公共部分装修</v>
      </c>
      <c r="AA32" s="1353">
        <f t="shared" si="3"/>
        <v>1</v>
      </c>
      <c r="AB32" s="1353">
        <f t="shared" si="4"/>
        <v>1</v>
      </c>
      <c r="AC32" s="1353">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09"/>
      <c r="Q33" s="1352" t="str">
        <f t="shared" si="11"/>
        <v>成新度</v>
      </c>
      <c r="R33" s="705" t="s">
        <v>14</v>
      </c>
      <c r="S33" s="706" t="e">
        <f t="shared" si="12"/>
        <v>#N/A</v>
      </c>
      <c r="T33" s="705" t="s">
        <v>14</v>
      </c>
      <c r="U33" s="706" t="e">
        <f t="shared" si="13"/>
        <v>#N/A</v>
      </c>
      <c r="V33" s="705" t="s">
        <v>14</v>
      </c>
      <c r="W33" s="706" t="e">
        <f t="shared" si="14"/>
        <v>#N/A</v>
      </c>
      <c r="X33" s="1355"/>
      <c r="Y33" s="3809"/>
      <c r="Z33" s="1356" t="str">
        <f t="shared" si="15"/>
        <v>成新度</v>
      </c>
      <c r="AA33" s="1353" t="e">
        <f t="shared" si="3"/>
        <v>#N/A</v>
      </c>
      <c r="AB33" s="1353" t="e">
        <f t="shared" si="4"/>
        <v>#N/A</v>
      </c>
      <c r="AC33" s="1353"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09"/>
      <c r="Q34" s="1343" t="str">
        <f t="shared" si="11"/>
        <v>物业管理</v>
      </c>
      <c r="R34" s="701" t="s">
        <v>14</v>
      </c>
      <c r="S34" s="702">
        <f t="shared" si="12"/>
        <v>100</v>
      </c>
      <c r="T34" s="701" t="s">
        <v>14</v>
      </c>
      <c r="U34" s="702">
        <f t="shared" si="13"/>
        <v>100</v>
      </c>
      <c r="V34" s="701" t="s">
        <v>14</v>
      </c>
      <c r="W34" s="702">
        <f t="shared" si="14"/>
        <v>100</v>
      </c>
      <c r="X34" s="703"/>
      <c r="Y34" s="3809"/>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09" t="s">
        <v>1678</v>
      </c>
      <c r="Q35" s="1352" t="str">
        <f t="shared" si="11"/>
        <v>市政基础设施</v>
      </c>
      <c r="R35" s="705" t="s">
        <v>14</v>
      </c>
      <c r="S35" s="706">
        <f t="shared" si="12"/>
        <v>100</v>
      </c>
      <c r="T35" s="705" t="s">
        <v>14</v>
      </c>
      <c r="U35" s="706">
        <f t="shared" si="13"/>
        <v>100</v>
      </c>
      <c r="V35" s="705" t="s">
        <v>14</v>
      </c>
      <c r="W35" s="706">
        <f t="shared" si="14"/>
        <v>100</v>
      </c>
      <c r="X35" s="1355"/>
      <c r="Y35" s="3809" t="s">
        <v>1678</v>
      </c>
      <c r="Z35" s="1356" t="str">
        <f t="shared" si="15"/>
        <v>市政基础设施</v>
      </c>
      <c r="AA35" s="1353">
        <f t="shared" si="3"/>
        <v>1</v>
      </c>
      <c r="AB35" s="1353">
        <f t="shared" si="4"/>
        <v>1</v>
      </c>
      <c r="AC35" s="1353">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09"/>
      <c r="Q36" s="1352" t="str">
        <f t="shared" si="11"/>
        <v>内部装修</v>
      </c>
      <c r="R36" s="705" t="s">
        <v>14</v>
      </c>
      <c r="S36" s="706">
        <f t="shared" si="12"/>
        <v>100</v>
      </c>
      <c r="T36" s="705" t="s">
        <v>14</v>
      </c>
      <c r="U36" s="706">
        <f t="shared" si="13"/>
        <v>100</v>
      </c>
      <c r="V36" s="705" t="s">
        <v>14</v>
      </c>
      <c r="W36" s="706">
        <f t="shared" si="14"/>
        <v>100</v>
      </c>
      <c r="X36" s="1355"/>
      <c r="Y36" s="3809"/>
      <c r="Z36" s="1356" t="str">
        <f t="shared" si="15"/>
        <v>内部装修</v>
      </c>
      <c r="AA36" s="1353">
        <f t="shared" si="3"/>
        <v>1</v>
      </c>
      <c r="AB36" s="1353">
        <f t="shared" si="4"/>
        <v>1</v>
      </c>
      <c r="AC36" s="1353">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09"/>
      <c r="Q37" s="1352" t="str">
        <f t="shared" si="11"/>
        <v>内部装修状况</v>
      </c>
      <c r="R37" s="705" t="s">
        <v>14</v>
      </c>
      <c r="S37" s="706">
        <f t="shared" si="12"/>
        <v>100</v>
      </c>
      <c r="T37" s="705" t="s">
        <v>14</v>
      </c>
      <c r="U37" s="706">
        <f t="shared" si="13"/>
        <v>100</v>
      </c>
      <c r="V37" s="705" t="s">
        <v>14</v>
      </c>
      <c r="W37" s="706">
        <f t="shared" si="14"/>
        <v>100</v>
      </c>
      <c r="X37" s="1355"/>
      <c r="Y37" s="38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09"/>
      <c r="Q38" s="707">
        <f t="shared" si="11"/>
        <v>111</v>
      </c>
      <c r="R38" s="708" t="s">
        <v>14</v>
      </c>
      <c r="S38" s="709">
        <f t="shared" si="12"/>
        <v>100</v>
      </c>
      <c r="T38" s="708" t="s">
        <v>14</v>
      </c>
      <c r="U38" s="709">
        <f t="shared" si="13"/>
        <v>100</v>
      </c>
      <c r="V38" s="708" t="s">
        <v>14</v>
      </c>
      <c r="W38" s="709">
        <f t="shared" si="14"/>
        <v>100</v>
      </c>
      <c r="X38" s="710"/>
      <c r="Y38" s="38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09"/>
      <c r="Q39" s="1352">
        <f t="shared" si="11"/>
        <v>111</v>
      </c>
      <c r="R39" s="705" t="s">
        <v>14</v>
      </c>
      <c r="S39" s="706">
        <f t="shared" si="12"/>
        <v>100</v>
      </c>
      <c r="T39" s="705" t="s">
        <v>14</v>
      </c>
      <c r="U39" s="706">
        <f t="shared" si="13"/>
        <v>100</v>
      </c>
      <c r="V39" s="705" t="s">
        <v>14</v>
      </c>
      <c r="W39" s="706">
        <f t="shared" si="14"/>
        <v>100</v>
      </c>
      <c r="X39" s="1355"/>
      <c r="Y39" s="38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10"/>
      <c r="Q40" s="1352">
        <f t="shared" si="11"/>
        <v>111</v>
      </c>
      <c r="R40" s="705" t="s">
        <v>14</v>
      </c>
      <c r="S40" s="706">
        <f t="shared" si="12"/>
        <v>100</v>
      </c>
      <c r="T40" s="705" t="s">
        <v>14</v>
      </c>
      <c r="U40" s="706">
        <f t="shared" si="13"/>
        <v>100</v>
      </c>
      <c r="V40" s="705" t="s">
        <v>14</v>
      </c>
      <c r="W40" s="706">
        <f t="shared" si="14"/>
        <v>100</v>
      </c>
      <c r="X40" s="1355"/>
      <c r="Y40" s="3810"/>
      <c r="Z40" s="1356">
        <f t="shared" si="15"/>
        <v>111</v>
      </c>
      <c r="AA40" s="1353">
        <f t="shared" si="3"/>
        <v>1</v>
      </c>
      <c r="AB40" s="1353">
        <f t="shared" si="4"/>
        <v>1</v>
      </c>
      <c r="AC40" s="1353">
        <f t="shared" si="5"/>
        <v>1</v>
      </c>
    </row>
    <row r="41" spans="1:29" ht="15">
      <c r="A41" s="430" t="s">
        <v>1690</v>
      </c>
      <c r="B41" s="431"/>
      <c r="C41" s="1154" t="s">
        <v>0</v>
      </c>
      <c r="D41" s="1155"/>
      <c r="E41" s="1156"/>
      <c r="F41" s="1157"/>
      <c r="G41" s="1158"/>
      <c r="H41" s="1159"/>
      <c r="I41" s="1156"/>
      <c r="J41" s="1159"/>
      <c r="K41" s="714"/>
      <c r="L41" s="926"/>
      <c r="M41" s="927"/>
      <c r="N41" s="914"/>
      <c r="O41" s="927"/>
      <c r="P41" s="3811" t="str">
        <f>A41</f>
        <v>成交单价（元/平方米）</v>
      </c>
      <c r="Q41" s="3811"/>
      <c r="R41" s="3812">
        <f>E41</f>
        <v>0</v>
      </c>
      <c r="S41" s="3812"/>
      <c r="T41" s="3812">
        <f>G41</f>
        <v>0</v>
      </c>
      <c r="U41" s="3812"/>
      <c r="V41" s="3812">
        <f>I41</f>
        <v>0</v>
      </c>
      <c r="W41" s="3812"/>
      <c r="X41" s="690"/>
      <c r="Y41" s="712"/>
      <c r="Z41" s="690"/>
      <c r="AA41" s="690"/>
      <c r="AB41" s="690"/>
      <c r="AC41" s="690"/>
    </row>
    <row r="42" spans="1:29" ht="15.75" thickBot="1">
      <c r="A42" s="437" t="s">
        <v>1775</v>
      </c>
      <c r="B42" s="438"/>
      <c r="C42" s="1160" t="e">
        <f>R43</f>
        <v>#DIV/0!</v>
      </c>
      <c r="D42" s="2317" t="s">
        <v>2120</v>
      </c>
      <c r="E42" s="1161" t="e">
        <f>R42</f>
        <v>#DIV/0!</v>
      </c>
      <c r="F42" s="2318"/>
      <c r="G42" s="1160" t="e">
        <f>T42</f>
        <v>#DIV/0!</v>
      </c>
      <c r="H42" s="2318"/>
      <c r="I42" s="1161" t="e">
        <f>V42</f>
        <v>#DIV/0!</v>
      </c>
      <c r="J42" s="2318"/>
      <c r="K42" s="2320">
        <f>F42+H42+J42</f>
        <v>0</v>
      </c>
      <c r="L42" s="926"/>
      <c r="M42" s="927"/>
      <c r="N42" s="914"/>
      <c r="O42" s="927"/>
      <c r="P42" s="3811" t="str">
        <f>A42</f>
        <v>比较价值（元/平方米）</v>
      </c>
      <c r="Q42" s="3811"/>
      <c r="R42" s="3812" t="e">
        <f>IF(F1="售价",ROUND(PRODUCT(R41,AA7:AA40),0),ROUND(PRODUCT(R41,AA7:AA40),1))</f>
        <v>#DIV/0!</v>
      </c>
      <c r="S42" s="3812"/>
      <c r="T42" s="3812" t="e">
        <f>IF(F1="售价",ROUND(PRODUCT(T41,AB7:AB40),0),ROUND(PRODUCT(T41,AB7:AB40),1))</f>
        <v>#DIV/0!</v>
      </c>
      <c r="U42" s="3812"/>
      <c r="V42" s="3812" t="e">
        <f>IF(F1="售价",ROUND(PRODUCT(V41,AC7:AC40),0),ROUND(PRODUCT(V41,AC7:AC40),1))</f>
        <v>#DIV/0!</v>
      </c>
      <c r="W42" s="3812"/>
      <c r="X42" s="690"/>
      <c r="Y42" s="690"/>
      <c r="Z42" s="690"/>
      <c r="AA42" s="690"/>
      <c r="AB42" s="690"/>
      <c r="AC42" s="690"/>
    </row>
    <row r="43" spans="1:29" ht="15.75" thickBot="1">
      <c r="A43" s="441" t="s">
        <v>1776</v>
      </c>
      <c r="B43" s="442"/>
      <c r="C43" s="1163" t="e">
        <f>R43</f>
        <v>#DIV/0!</v>
      </c>
      <c r="D43" s="1163"/>
      <c r="E43" s="1163"/>
      <c r="F43" s="1163"/>
      <c r="G43" s="1163"/>
      <c r="H43" s="1163"/>
      <c r="I43" s="1163"/>
      <c r="J43" s="1163"/>
      <c r="K43" s="715"/>
      <c r="L43" s="926"/>
      <c r="M43" s="927"/>
      <c r="N43" s="927"/>
      <c r="O43" s="927"/>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1780</v>
      </c>
      <c r="B51" s="690"/>
      <c r="C51" s="695"/>
      <c r="D51" s="695"/>
      <c r="E51" s="695"/>
      <c r="F51" s="696"/>
      <c r="G51" s="696"/>
      <c r="H51" s="695"/>
      <c r="I51" s="695"/>
      <c r="J51" s="695"/>
      <c r="K51" s="941"/>
      <c r="L51" s="942"/>
      <c r="M51" s="940"/>
      <c r="N51" s="940"/>
      <c r="O51" s="940"/>
      <c r="P51" s="452"/>
      <c r="Q51" s="453"/>
    </row>
    <row r="52" spans="1:17" s="457" customFormat="1" ht="15">
      <c r="A52" s="454" t="s">
        <v>1661</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1698</v>
      </c>
      <c r="B54" s="465"/>
      <c r="C54" s="466"/>
      <c r="D54" s="467"/>
      <c r="E54" s="467"/>
      <c r="F54" s="467"/>
      <c r="G54" s="467"/>
      <c r="H54" s="467"/>
      <c r="I54" s="467"/>
      <c r="J54" s="467"/>
      <c r="K54" s="467"/>
      <c r="L54" s="467"/>
      <c r="M54" s="468"/>
      <c r="N54" s="2746"/>
      <c r="O54" s="2747"/>
      <c r="P54" s="453"/>
      <c r="Q54" s="453"/>
    </row>
    <row r="55" spans="1:17" s="108" customFormat="1" ht="15">
      <c r="A55" s="470" t="s">
        <v>1663</v>
      </c>
      <c r="B55" s="459"/>
      <c r="C55" s="471" t="s">
        <v>1758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1701</v>
      </c>
      <c r="B57" s="477" t="s">
        <v>1667</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1670</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1672</v>
      </c>
      <c r="B70" s="477" t="s">
        <v>1811</v>
      </c>
      <c r="C70" s="522" t="s">
        <v>1703</v>
      </c>
      <c r="D70" s="522" t="s">
        <v>1704</v>
      </c>
      <c r="E70" s="522" t="s">
        <v>1705</v>
      </c>
      <c r="F70" s="522" t="s">
        <v>1706</v>
      </c>
      <c r="G70" s="522" t="s">
        <v>1707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1708</v>
      </c>
      <c r="C72" s="527" t="s">
        <v>1703</v>
      </c>
      <c r="D72" s="527" t="s">
        <v>1704</v>
      </c>
      <c r="E72" s="527" t="s">
        <v>1705</v>
      </c>
      <c r="F72" s="527" t="s">
        <v>1706</v>
      </c>
      <c r="G72" s="527" t="s">
        <v>1707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1709</v>
      </c>
      <c r="C74" s="527" t="s">
        <v>1703</v>
      </c>
      <c r="D74" s="527" t="s">
        <v>1704</v>
      </c>
      <c r="E74" s="527" t="s">
        <v>1705</v>
      </c>
      <c r="F74" s="527" t="s">
        <v>1706</v>
      </c>
      <c r="G74" s="527" t="s">
        <v>1707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1795</v>
      </c>
      <c r="C76" s="608" t="s">
        <v>1781</v>
      </c>
      <c r="D76" s="608" t="s">
        <v>1782</v>
      </c>
      <c r="E76" s="608" t="s">
        <v>1783</v>
      </c>
      <c r="F76" s="608" t="s">
        <v>1784</v>
      </c>
      <c r="G76" s="608" t="s">
        <v>1785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1804</v>
      </c>
      <c r="C78" s="527" t="s">
        <v>1703</v>
      </c>
      <c r="D78" s="527" t="s">
        <v>1704</v>
      </c>
      <c r="E78" s="527" t="s">
        <v>1705</v>
      </c>
      <c r="F78" s="527" t="s">
        <v>1706</v>
      </c>
      <c r="G78" s="527" t="s">
        <v>1707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1676</v>
      </c>
      <c r="B88" s="477" t="s">
        <v>1718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1812</v>
      </c>
      <c r="C106" s="527" t="s">
        <v>1703</v>
      </c>
      <c r="D106" s="527" t="s">
        <v>1704</v>
      </c>
      <c r="E106" s="527" t="s">
        <v>1705</v>
      </c>
      <c r="F106" s="527" t="s">
        <v>1706</v>
      </c>
      <c r="G106" s="527" t="s">
        <v>1707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3314</v>
      </c>
      <c r="C1" s="1224" t="s">
        <v>1644</v>
      </c>
      <c r="D1" s="1225"/>
      <c r="E1" s="3409"/>
      <c r="F1" s="1879"/>
      <c r="G1" s="1227" t="s">
        <v>1749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1751</v>
      </c>
      <c r="B4" s="356"/>
      <c r="C4" s="3786" t="s">
        <v>1752</v>
      </c>
      <c r="D4" s="3787"/>
      <c r="E4" s="3788" t="s">
        <v>1753</v>
      </c>
      <c r="F4" s="3789"/>
      <c r="G4" s="3786" t="s">
        <v>1754</v>
      </c>
      <c r="H4" s="3787"/>
      <c r="I4" s="3786" t="s">
        <v>1755</v>
      </c>
      <c r="J4" s="3787"/>
      <c r="K4" s="559" t="s">
        <v>1756</v>
      </c>
      <c r="L4" s="2691"/>
      <c r="M4" s="2692"/>
      <c r="N4" s="2692"/>
      <c r="O4" s="2692"/>
      <c r="P4" s="3847" t="s">
        <v>1757</v>
      </c>
      <c r="Q4" s="3848"/>
      <c r="R4" s="3844" t="s">
        <v>1753</v>
      </c>
      <c r="S4" s="3845"/>
      <c r="T4" s="3844" t="s">
        <v>1754</v>
      </c>
      <c r="U4" s="3845"/>
      <c r="V4" s="3799" t="s">
        <v>1755</v>
      </c>
      <c r="W4" s="3799"/>
      <c r="X4" s="1355"/>
      <c r="Y4" s="3844" t="s">
        <v>1757</v>
      </c>
      <c r="Z4" s="3845"/>
      <c r="AA4" s="3843" t="s">
        <v>1753</v>
      </c>
      <c r="AB4" s="3766" t="s">
        <v>1754</v>
      </c>
      <c r="AC4" s="3843" t="s">
        <v>1755</v>
      </c>
    </row>
    <row r="5" spans="1:29" ht="15">
      <c r="A5" s="358"/>
      <c r="B5" s="359"/>
      <c r="C5" s="3776" t="s">
        <v>1655</v>
      </c>
      <c r="D5" s="3777"/>
      <c r="E5" s="3846" t="s">
        <v>1656</v>
      </c>
      <c r="F5" s="3775"/>
      <c r="G5" s="3776" t="s">
        <v>1657</v>
      </c>
      <c r="H5" s="3777"/>
      <c r="I5" s="3776" t="s">
        <v>1658</v>
      </c>
      <c r="J5" s="3777"/>
      <c r="K5" s="559"/>
      <c r="L5" s="2691"/>
      <c r="M5" s="2692"/>
      <c r="N5" s="2692"/>
      <c r="O5" s="2692"/>
      <c r="P5" s="3849"/>
      <c r="Q5" s="3793"/>
      <c r="R5" s="3772"/>
      <c r="S5" s="3773"/>
      <c r="T5" s="3772"/>
      <c r="U5" s="3773"/>
      <c r="V5" s="3799"/>
      <c r="W5" s="3799"/>
      <c r="X5" s="1355"/>
      <c r="Y5" s="3772"/>
      <c r="Z5" s="3773"/>
      <c r="AA5" s="3766"/>
      <c r="AB5" s="3766"/>
      <c r="AC5" s="3766"/>
    </row>
    <row r="6" spans="1:29" ht="15.75" thickBot="1">
      <c r="A6" s="360"/>
      <c r="B6" s="361"/>
      <c r="C6" s="3778" t="s">
        <v>1659</v>
      </c>
      <c r="D6" s="3779"/>
      <c r="E6" s="3780" t="s">
        <v>1659</v>
      </c>
      <c r="F6" s="3781"/>
      <c r="G6" s="3778" t="s">
        <v>1659</v>
      </c>
      <c r="H6" s="3779"/>
      <c r="I6" s="3778" t="s">
        <v>1659</v>
      </c>
      <c r="J6" s="3779"/>
      <c r="K6" s="559" t="s">
        <v>1660</v>
      </c>
      <c r="L6" s="2691"/>
      <c r="M6" s="2692"/>
      <c r="N6" s="2692"/>
      <c r="O6" s="2692"/>
      <c r="P6" s="3850"/>
      <c r="Q6" s="3795"/>
      <c r="R6" s="3772"/>
      <c r="S6" s="3773"/>
      <c r="T6" s="3796"/>
      <c r="U6" s="3797"/>
      <c r="V6" s="3799"/>
      <c r="W6" s="3799"/>
      <c r="X6" s="1355"/>
      <c r="Y6" s="3796"/>
      <c r="Z6" s="3797"/>
      <c r="AA6" s="3767"/>
      <c r="AB6" s="3767"/>
      <c r="AC6" s="3767"/>
    </row>
    <row r="7" spans="1:29" s="108" customFormat="1" ht="15.75" thickBot="1">
      <c r="A7" s="362" t="s">
        <v>1661</v>
      </c>
      <c r="B7" s="363"/>
      <c r="C7" s="364">
        <f>'数据-取费表'!B2</f>
        <v>45406</v>
      </c>
      <c r="D7" s="365">
        <v>100</v>
      </c>
      <c r="E7" s="366"/>
      <c r="F7" s="367">
        <f>SUMIF(48:48,YEAR(E7)&amp;"-"&amp;MONTH(E7),49:49)</f>
        <v>0</v>
      </c>
      <c r="G7" s="366"/>
      <c r="H7" s="365">
        <f>SUMIF(48:48,YEAR(G7)&amp;"-"&amp;MONTH(G7),49:49)</f>
        <v>0</v>
      </c>
      <c r="I7" s="366"/>
      <c r="J7" s="365">
        <f>SUMIF(48:48,YEAR(I7)&amp;"-"&amp;MONTH(I7),49:49)</f>
        <v>0</v>
      </c>
      <c r="K7" s="560"/>
      <c r="L7" s="2693"/>
      <c r="M7" s="2694"/>
      <c r="N7" s="2694"/>
      <c r="O7" s="2694"/>
      <c r="P7" s="3768" t="s">
        <v>1662</v>
      </c>
      <c r="Q7" s="3801"/>
      <c r="R7" s="701" t="s">
        <v>14</v>
      </c>
      <c r="S7" s="702">
        <f t="shared" ref="S7:S14" si="0">F7</f>
        <v>0</v>
      </c>
      <c r="T7" s="701" t="s">
        <v>14</v>
      </c>
      <c r="U7" s="702">
        <f t="shared" ref="U7:U14" si="1">H7</f>
        <v>0</v>
      </c>
      <c r="V7" s="701" t="s">
        <v>14</v>
      </c>
      <c r="W7" s="702">
        <f t="shared" ref="W7:W14" si="2">J7</f>
        <v>0</v>
      </c>
      <c r="X7" s="703"/>
      <c r="Y7" s="3768" t="s">
        <v>1662</v>
      </c>
      <c r="Z7" s="3769"/>
      <c r="AA7" s="704" t="e">
        <f>D7/F7</f>
        <v>#DIV/0!</v>
      </c>
      <c r="AB7" s="704" t="e">
        <f>D7/H7</f>
        <v>#DIV/0!</v>
      </c>
      <c r="AC7" s="704" t="e">
        <f>D7/J7</f>
        <v>#DIV/0!</v>
      </c>
    </row>
    <row r="8" spans="1:29" s="108" customFormat="1" ht="15.7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768" t="s">
        <v>1665</v>
      </c>
      <c r="Q8" s="3769"/>
      <c r="R8" s="701" t="s">
        <v>14</v>
      </c>
      <c r="S8" s="702">
        <f t="shared" si="0"/>
        <v>100</v>
      </c>
      <c r="T8" s="701" t="s">
        <v>14</v>
      </c>
      <c r="U8" s="702">
        <f t="shared" si="1"/>
        <v>100</v>
      </c>
      <c r="V8" s="701" t="s">
        <v>14</v>
      </c>
      <c r="W8" s="702">
        <f t="shared" si="2"/>
        <v>100</v>
      </c>
      <c r="X8" s="703"/>
      <c r="Y8" s="3768" t="s">
        <v>1665</v>
      </c>
      <c r="Z8" s="3769"/>
      <c r="AA8" s="704">
        <f t="shared" ref="AA8:AA36" si="3">D8/F8</f>
        <v>1</v>
      </c>
      <c r="AB8" s="704">
        <f t="shared" ref="AB8:AB36" si="4">D8/H8</f>
        <v>1</v>
      </c>
      <c r="AC8" s="704">
        <f t="shared" ref="AC8:AC36" si="5">D8/J8</f>
        <v>1</v>
      </c>
    </row>
    <row r="9" spans="1:29" s="108" customFormat="1">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811" t="s">
        <v>1668</v>
      </c>
      <c r="Q9" s="1343" t="str">
        <f t="shared" ref="Q9:Q14" si="6">B9</f>
        <v>用途</v>
      </c>
      <c r="R9" s="701" t="s">
        <v>14</v>
      </c>
      <c r="S9" s="702">
        <f t="shared" si="0"/>
        <v>100</v>
      </c>
      <c r="T9" s="701" t="s">
        <v>14</v>
      </c>
      <c r="U9" s="702">
        <f t="shared" si="1"/>
        <v>100</v>
      </c>
      <c r="V9" s="701" t="s">
        <v>14</v>
      </c>
      <c r="W9" s="702">
        <f t="shared" si="2"/>
        <v>100</v>
      </c>
      <c r="X9" s="703"/>
      <c r="Y9" s="3741" t="s">
        <v>1669</v>
      </c>
      <c r="Z9" s="52" t="str">
        <f t="shared" ref="Z9:Z14" si="7">Q9</f>
        <v>用途</v>
      </c>
      <c r="AA9" s="704">
        <f t="shared" si="3"/>
        <v>1</v>
      </c>
      <c r="AB9" s="704">
        <f t="shared" si="4"/>
        <v>1</v>
      </c>
      <c r="AC9" s="704">
        <f t="shared" si="5"/>
        <v>1</v>
      </c>
    </row>
    <row r="10" spans="1:29" s="378" customFormat="1" ht="27">
      <c r="A10" s="589"/>
      <c r="B10" s="590" t="s">
        <v>1670</v>
      </c>
      <c r="C10" s="3410"/>
      <c r="D10" s="127">
        <v>100</v>
      </c>
      <c r="E10" s="3410"/>
      <c r="F10" s="127">
        <f>SUMIF(55:55,E10,56:56)-SUMIF(55:55,C10,56:56)+100</f>
        <v>100</v>
      </c>
      <c r="G10" s="3411"/>
      <c r="H10" s="127">
        <f>SUMIF(55:55,G10,56:56)-SUMIF(55:55,C10,56:56)+100</f>
        <v>100</v>
      </c>
      <c r="I10" s="3410"/>
      <c r="J10" s="127">
        <f>SUMIF(55:55,I10,56:56)-SUMIF(55:55,C10,56:56)+100</f>
        <v>100</v>
      </c>
      <c r="K10" s="560"/>
      <c r="L10" s="2695"/>
      <c r="M10" s="2696"/>
      <c r="N10" s="2696"/>
      <c r="O10" s="2696"/>
      <c r="P10" s="3811"/>
      <c r="Q10" s="1343"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811"/>
      <c r="Q11" s="1343">
        <f t="shared" si="6"/>
        <v>111</v>
      </c>
      <c r="R11" s="701" t="s">
        <v>14</v>
      </c>
      <c r="S11" s="702">
        <f t="shared" si="0"/>
        <v>100</v>
      </c>
      <c r="T11" s="701" t="s">
        <v>14</v>
      </c>
      <c r="U11" s="702">
        <f t="shared" si="1"/>
        <v>100</v>
      </c>
      <c r="V11" s="701" t="s">
        <v>14</v>
      </c>
      <c r="W11" s="702">
        <f t="shared" si="2"/>
        <v>100</v>
      </c>
      <c r="X11" s="703"/>
      <c r="Y11" s="37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811"/>
      <c r="Q12" s="1343">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811"/>
      <c r="Q13" s="1343">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
      <c r="A14" s="355" t="s">
        <v>1672</v>
      </c>
      <c r="B14" s="577" t="s">
        <v>1815</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804" t="s">
        <v>1673</v>
      </c>
      <c r="Q14" s="1352" t="str">
        <f t="shared" si="6"/>
        <v>交通便捷度</v>
      </c>
      <c r="R14" s="705" t="s">
        <v>14</v>
      </c>
      <c r="S14" s="706">
        <f t="shared" si="0"/>
        <v>100</v>
      </c>
      <c r="T14" s="705" t="s">
        <v>14</v>
      </c>
      <c r="U14" s="706">
        <f t="shared" si="1"/>
        <v>100</v>
      </c>
      <c r="V14" s="705" t="s">
        <v>14</v>
      </c>
      <c r="W14" s="706">
        <f t="shared" si="2"/>
        <v>100</v>
      </c>
      <c r="X14" s="1355"/>
      <c r="Y14" s="3804" t="s">
        <v>1673</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805"/>
      <c r="Q15" s="1352"/>
      <c r="R15" s="705"/>
      <c r="S15" s="706"/>
      <c r="T15" s="705"/>
      <c r="U15" s="706"/>
      <c r="V15" s="705"/>
      <c r="W15" s="706"/>
      <c r="X15" s="1355"/>
      <c r="Y15" s="3805"/>
      <c r="Z15" s="1356"/>
      <c r="AA15" s="1353">
        <v>1</v>
      </c>
      <c r="AB15" s="1353">
        <v>1</v>
      </c>
      <c r="AC15" s="1353">
        <v>1</v>
      </c>
    </row>
    <row r="16" spans="1:29" ht="15">
      <c r="A16" s="358"/>
      <c r="B16" s="579" t="s">
        <v>1794</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805"/>
      <c r="Q16" s="1352" t="str">
        <f>B16</f>
        <v>公共配套设施</v>
      </c>
      <c r="R16" s="705" t="s">
        <v>14</v>
      </c>
      <c r="S16" s="706">
        <f>F16</f>
        <v>100</v>
      </c>
      <c r="T16" s="705" t="s">
        <v>14</v>
      </c>
      <c r="U16" s="706">
        <f>H16</f>
        <v>100</v>
      </c>
      <c r="V16" s="705" t="s">
        <v>14</v>
      </c>
      <c r="W16" s="706">
        <f>J16</f>
        <v>100</v>
      </c>
      <c r="X16" s="1355"/>
      <c r="Y16" s="38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8"/>
      <c r="M17" s="2692"/>
      <c r="N17" s="2692"/>
      <c r="O17" s="2692"/>
      <c r="P17" s="3805"/>
      <c r="Q17" s="1352"/>
      <c r="R17" s="705"/>
      <c r="S17" s="706"/>
      <c r="T17" s="705"/>
      <c r="U17" s="706"/>
      <c r="V17" s="705"/>
      <c r="W17" s="706"/>
      <c r="X17" s="1355"/>
      <c r="Y17" s="3805"/>
      <c r="Z17" s="1356"/>
      <c r="AA17" s="1353">
        <v>1</v>
      </c>
      <c r="AB17" s="1353">
        <v>1</v>
      </c>
      <c r="AC17" s="1353">
        <v>1</v>
      </c>
    </row>
    <row r="18" spans="1:29" ht="15">
      <c r="A18" s="358"/>
      <c r="B18" s="581" t="s">
        <v>1795</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805"/>
      <c r="Q18" s="1352" t="str">
        <f>B18</f>
        <v>基础设施水平</v>
      </c>
      <c r="R18" s="705" t="s">
        <v>14</v>
      </c>
      <c r="S18" s="706">
        <f>F18</f>
        <v>100</v>
      </c>
      <c r="T18" s="705" t="s">
        <v>14</v>
      </c>
      <c r="U18" s="706">
        <f>H18</f>
        <v>100</v>
      </c>
      <c r="V18" s="705" t="s">
        <v>14</v>
      </c>
      <c r="W18" s="706">
        <f>J18</f>
        <v>100</v>
      </c>
      <c r="X18" s="1355"/>
      <c r="Y18" s="38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8"/>
      <c r="M19" s="2692"/>
      <c r="N19" s="2692"/>
      <c r="O19" s="2692"/>
      <c r="P19" s="3805"/>
      <c r="Q19" s="1352"/>
      <c r="R19" s="705"/>
      <c r="S19" s="706"/>
      <c r="T19" s="705"/>
      <c r="U19" s="706"/>
      <c r="V19" s="705"/>
      <c r="W19" s="706"/>
      <c r="X19" s="1355"/>
      <c r="Y19" s="3805"/>
      <c r="Z19" s="1356"/>
      <c r="AA19" s="1353">
        <v>1</v>
      </c>
      <c r="AB19" s="1353">
        <v>1</v>
      </c>
      <c r="AC19" s="1353">
        <v>1</v>
      </c>
    </row>
    <row r="20" spans="1:29" ht="15">
      <c r="A20" s="358"/>
      <c r="B20" s="579" t="s">
        <v>1816</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805"/>
      <c r="Q20" s="1352" t="str">
        <f>B20</f>
        <v>自然及人文环境</v>
      </c>
      <c r="R20" s="705" t="s">
        <v>14</v>
      </c>
      <c r="S20" s="706">
        <f>F20</f>
        <v>100</v>
      </c>
      <c r="T20" s="705" t="s">
        <v>14</v>
      </c>
      <c r="U20" s="706">
        <f>H20</f>
        <v>100</v>
      </c>
      <c r="V20" s="705" t="s">
        <v>14</v>
      </c>
      <c r="W20" s="706">
        <f>J20</f>
        <v>100</v>
      </c>
      <c r="X20" s="1355"/>
      <c r="Y20" s="38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805"/>
      <c r="Q21" s="1352"/>
      <c r="R21" s="705"/>
      <c r="S21" s="706"/>
      <c r="T21" s="705"/>
      <c r="U21" s="706"/>
      <c r="V21" s="705"/>
      <c r="W21" s="706"/>
      <c r="X21" s="1355"/>
      <c r="Y21" s="3805"/>
      <c r="Z21" s="1356"/>
      <c r="AA21" s="1353">
        <v>1</v>
      </c>
      <c r="AB21" s="1353">
        <v>1</v>
      </c>
      <c r="AC21" s="1353">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805"/>
      <c r="Q22" s="1352" t="str">
        <f>B22</f>
        <v>楼层</v>
      </c>
      <c r="R22" s="705" t="s">
        <v>14</v>
      </c>
      <c r="S22" s="706">
        <f>F22</f>
        <v>100</v>
      </c>
      <c r="T22" s="705" t="s">
        <v>14</v>
      </c>
      <c r="U22" s="706">
        <f>H22</f>
        <v>100</v>
      </c>
      <c r="V22" s="705" t="s">
        <v>14</v>
      </c>
      <c r="W22" s="706">
        <f>J22</f>
        <v>100</v>
      </c>
      <c r="X22" s="1355"/>
      <c r="Y22" s="38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805"/>
      <c r="Q23" s="1352">
        <f>B23</f>
        <v>111</v>
      </c>
      <c r="R23" s="705" t="s">
        <v>14</v>
      </c>
      <c r="S23" s="706">
        <f>F23</f>
        <v>100</v>
      </c>
      <c r="T23" s="705" t="s">
        <v>14</v>
      </c>
      <c r="U23" s="706">
        <f>H23</f>
        <v>100</v>
      </c>
      <c r="V23" s="705" t="s">
        <v>14</v>
      </c>
      <c r="W23" s="706">
        <f>J23</f>
        <v>100</v>
      </c>
      <c r="X23" s="1355"/>
      <c r="Y23" s="38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805"/>
      <c r="Q24" s="1352">
        <f t="shared" ref="Q24:Q36" si="11">B24</f>
        <v>111</v>
      </c>
      <c r="R24" s="705" t="s">
        <v>14</v>
      </c>
      <c r="S24" s="706">
        <f>F24</f>
        <v>100</v>
      </c>
      <c r="T24" s="705" t="s">
        <v>14</v>
      </c>
      <c r="U24" s="706">
        <f>H24</f>
        <v>100</v>
      </c>
      <c r="V24" s="705" t="s">
        <v>14</v>
      </c>
      <c r="W24" s="706">
        <f>J24</f>
        <v>100</v>
      </c>
      <c r="X24" s="1355"/>
      <c r="Y24" s="38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805"/>
      <c r="Q25" s="1343">
        <f t="shared" si="11"/>
        <v>111</v>
      </c>
      <c r="R25" s="701" t="s">
        <v>14</v>
      </c>
      <c r="S25" s="702">
        <f>F25</f>
        <v>100</v>
      </c>
      <c r="T25" s="701" t="s">
        <v>14</v>
      </c>
      <c r="U25" s="702">
        <f>H25</f>
        <v>100</v>
      </c>
      <c r="V25" s="701" t="s">
        <v>14</v>
      </c>
      <c r="W25" s="702">
        <f>J25</f>
        <v>100</v>
      </c>
      <c r="X25" s="703"/>
      <c r="Y25" s="3805"/>
      <c r="Z25" s="52">
        <f>Q25</f>
        <v>111</v>
      </c>
      <c r="AA25" s="1353">
        <f>D25/F25</f>
        <v>1</v>
      </c>
      <c r="AB25" s="1353">
        <f>D25/H25</f>
        <v>1</v>
      </c>
      <c r="AC25" s="1353">
        <f>D25/J25</f>
        <v>1</v>
      </c>
    </row>
    <row r="26" spans="1:29" ht="28.5">
      <c r="A26" s="600" t="s">
        <v>1676</v>
      </c>
      <c r="B26" s="62" t="s">
        <v>1818</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875" t="s">
        <v>1678</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09" t="s">
        <v>1678</v>
      </c>
      <c r="Z26" s="1356" t="str">
        <f t="shared" ref="Z26:Z36" si="15">Q26</f>
        <v>配套类型</v>
      </c>
      <c r="AA26" s="1353" t="e">
        <f t="shared" si="3"/>
        <v>#DIV/0!</v>
      </c>
      <c r="AB26" s="1353" t="e">
        <f t="shared" si="4"/>
        <v>#DIV/0!</v>
      </c>
      <c r="AC26" s="1353"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809"/>
      <c r="Q27" s="707" t="str">
        <f t="shared" si="11"/>
        <v>项目停车位配比</v>
      </c>
      <c r="R27" s="708" t="s">
        <v>14</v>
      </c>
      <c r="S27" s="709">
        <f t="shared" si="12"/>
        <v>100</v>
      </c>
      <c r="T27" s="708" t="s">
        <v>14</v>
      </c>
      <c r="U27" s="709">
        <f t="shared" si="13"/>
        <v>100</v>
      </c>
      <c r="V27" s="708" t="s">
        <v>14</v>
      </c>
      <c r="W27" s="709">
        <f t="shared" si="14"/>
        <v>100</v>
      </c>
      <c r="X27" s="710"/>
      <c r="Y27" s="3809"/>
      <c r="Z27" s="711" t="str">
        <f t="shared" si="15"/>
        <v>项目停车位配比</v>
      </c>
      <c r="AA27" s="1353">
        <f t="shared" si="3"/>
        <v>1</v>
      </c>
      <c r="AB27" s="1353">
        <f t="shared" si="4"/>
        <v>1</v>
      </c>
      <c r="AC27" s="1353">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809"/>
      <c r="Q28" s="1352" t="str">
        <f t="shared" si="11"/>
        <v>公共部分装修</v>
      </c>
      <c r="R28" s="705" t="s">
        <v>14</v>
      </c>
      <c r="S28" s="706">
        <f t="shared" si="12"/>
        <v>100</v>
      </c>
      <c r="T28" s="705" t="s">
        <v>14</v>
      </c>
      <c r="U28" s="706">
        <f t="shared" si="13"/>
        <v>100</v>
      </c>
      <c r="V28" s="705" t="s">
        <v>14</v>
      </c>
      <c r="W28" s="706">
        <f t="shared" si="14"/>
        <v>100</v>
      </c>
      <c r="X28" s="1355"/>
      <c r="Y28" s="3809"/>
      <c r="Z28" s="1356" t="str">
        <f t="shared" si="15"/>
        <v>公共部分装修</v>
      </c>
      <c r="AA28" s="1353">
        <f t="shared" si="3"/>
        <v>1</v>
      </c>
      <c r="AB28" s="1353">
        <f t="shared" si="4"/>
        <v>1</v>
      </c>
      <c r="AC28" s="1353">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809"/>
      <c r="Q29" s="1352" t="str">
        <f t="shared" si="11"/>
        <v>成新率</v>
      </c>
      <c r="R29" s="705" t="s">
        <v>14</v>
      </c>
      <c r="S29" s="706" t="e">
        <f t="shared" si="12"/>
        <v>#N/A</v>
      </c>
      <c r="T29" s="705" t="s">
        <v>14</v>
      </c>
      <c r="U29" s="706" t="e">
        <f t="shared" si="13"/>
        <v>#N/A</v>
      </c>
      <c r="V29" s="705" t="s">
        <v>14</v>
      </c>
      <c r="W29" s="706" t="e">
        <f t="shared" si="14"/>
        <v>#N/A</v>
      </c>
      <c r="X29" s="1355"/>
      <c r="Y29" s="3809"/>
      <c r="Z29" s="1356" t="str">
        <f t="shared" si="15"/>
        <v>成新率</v>
      </c>
      <c r="AA29" s="1353" t="e">
        <f t="shared" si="3"/>
        <v>#N/A</v>
      </c>
      <c r="AB29" s="1353" t="e">
        <f t="shared" si="4"/>
        <v>#N/A</v>
      </c>
      <c r="AC29" s="1353"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809"/>
      <c r="Q30" s="1352" t="str">
        <f t="shared" si="11"/>
        <v>物业等级</v>
      </c>
      <c r="R30" s="705" t="s">
        <v>14</v>
      </c>
      <c r="S30" s="706">
        <f t="shared" si="12"/>
        <v>100</v>
      </c>
      <c r="T30" s="705" t="s">
        <v>14</v>
      </c>
      <c r="U30" s="706">
        <f t="shared" si="13"/>
        <v>100</v>
      </c>
      <c r="V30" s="705" t="s">
        <v>14</v>
      </c>
      <c r="W30" s="706">
        <f t="shared" si="14"/>
        <v>100</v>
      </c>
      <c r="X30" s="1355"/>
      <c r="Y30" s="3809"/>
      <c r="Z30" s="1356" t="str">
        <f t="shared" si="15"/>
        <v>物业等级</v>
      </c>
      <c r="AA30" s="1353">
        <f t="shared" si="3"/>
        <v>1</v>
      </c>
      <c r="AB30" s="1353">
        <f t="shared" si="4"/>
        <v>1</v>
      </c>
      <c r="AC30" s="1353">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809"/>
      <c r="Q31" s="1343" t="str">
        <f t="shared" si="11"/>
        <v>停车位面积</v>
      </c>
      <c r="R31" s="701" t="s">
        <v>14</v>
      </c>
      <c r="S31" s="702" t="e">
        <f t="shared" si="12"/>
        <v>#N/A</v>
      </c>
      <c r="T31" s="701" t="s">
        <v>14</v>
      </c>
      <c r="U31" s="702" t="e">
        <f t="shared" si="13"/>
        <v>#N/A</v>
      </c>
      <c r="V31" s="701" t="s">
        <v>14</v>
      </c>
      <c r="W31" s="702" t="e">
        <f t="shared" si="14"/>
        <v>#N/A</v>
      </c>
      <c r="X31" s="703"/>
      <c r="Y31" s="3809"/>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809" t="s">
        <v>1678</v>
      </c>
      <c r="Q32" s="1352" t="str">
        <f t="shared" si="11"/>
        <v>车位类型</v>
      </c>
      <c r="R32" s="705" t="s">
        <v>14</v>
      </c>
      <c r="S32" s="706">
        <f t="shared" si="12"/>
        <v>100</v>
      </c>
      <c r="T32" s="705" t="s">
        <v>14</v>
      </c>
      <c r="U32" s="706">
        <f t="shared" si="13"/>
        <v>100</v>
      </c>
      <c r="V32" s="705" t="s">
        <v>14</v>
      </c>
      <c r="W32" s="706">
        <f t="shared" si="14"/>
        <v>100</v>
      </c>
      <c r="X32" s="1355"/>
      <c r="Y32" s="3809" t="s">
        <v>1678</v>
      </c>
      <c r="Z32" s="1356" t="str">
        <f t="shared" si="15"/>
        <v>车位类型</v>
      </c>
      <c r="AA32" s="1353">
        <f t="shared" si="3"/>
        <v>1</v>
      </c>
      <c r="AB32" s="1353">
        <f t="shared" si="4"/>
        <v>1</v>
      </c>
      <c r="AC32" s="1353">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809"/>
      <c r="Q33" s="1352" t="str">
        <f t="shared" si="11"/>
        <v>是否直接入户</v>
      </c>
      <c r="R33" s="705" t="s">
        <v>14</v>
      </c>
      <c r="S33" s="706">
        <f t="shared" si="12"/>
        <v>100</v>
      </c>
      <c r="T33" s="705" t="s">
        <v>14</v>
      </c>
      <c r="U33" s="706">
        <f t="shared" si="13"/>
        <v>100</v>
      </c>
      <c r="V33" s="705" t="s">
        <v>14</v>
      </c>
      <c r="W33" s="706">
        <f t="shared" si="14"/>
        <v>100</v>
      </c>
      <c r="X33" s="1355"/>
      <c r="Y33" s="38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809"/>
      <c r="Q34" s="1352">
        <f t="shared" si="11"/>
        <v>111</v>
      </c>
      <c r="R34" s="705" t="s">
        <v>14</v>
      </c>
      <c r="S34" s="706">
        <f t="shared" si="12"/>
        <v>100</v>
      </c>
      <c r="T34" s="705" t="s">
        <v>14</v>
      </c>
      <c r="U34" s="706">
        <f t="shared" si="13"/>
        <v>100</v>
      </c>
      <c r="V34" s="705" t="s">
        <v>14</v>
      </c>
      <c r="W34" s="706">
        <f t="shared" si="14"/>
        <v>100</v>
      </c>
      <c r="X34" s="1355"/>
      <c r="Y34" s="38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809"/>
      <c r="Q35" s="707">
        <f t="shared" si="11"/>
        <v>111</v>
      </c>
      <c r="R35" s="708" t="s">
        <v>14</v>
      </c>
      <c r="S35" s="709">
        <f t="shared" si="12"/>
        <v>100</v>
      </c>
      <c r="T35" s="708" t="s">
        <v>14</v>
      </c>
      <c r="U35" s="709">
        <f t="shared" si="13"/>
        <v>100</v>
      </c>
      <c r="V35" s="708" t="s">
        <v>14</v>
      </c>
      <c r="W35" s="709">
        <f t="shared" si="14"/>
        <v>100</v>
      </c>
      <c r="X35" s="710"/>
      <c r="Y35" s="38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809"/>
      <c r="Q36" s="1352">
        <f t="shared" si="11"/>
        <v>111</v>
      </c>
      <c r="R36" s="705" t="s">
        <v>14</v>
      </c>
      <c r="S36" s="706">
        <f t="shared" si="12"/>
        <v>100</v>
      </c>
      <c r="T36" s="705" t="s">
        <v>14</v>
      </c>
      <c r="U36" s="706">
        <f t="shared" si="13"/>
        <v>100</v>
      </c>
      <c r="V36" s="705" t="s">
        <v>14</v>
      </c>
      <c r="W36" s="706">
        <f t="shared" si="14"/>
        <v>100</v>
      </c>
      <c r="X36" s="1355"/>
      <c r="Y36" s="3809"/>
      <c r="Z36" s="1356">
        <f t="shared" si="15"/>
        <v>111</v>
      </c>
      <c r="AA36" s="1353">
        <f t="shared" si="3"/>
        <v>1</v>
      </c>
      <c r="AB36" s="1353">
        <f t="shared" si="4"/>
        <v>1</v>
      </c>
      <c r="AC36" s="1353">
        <f t="shared" si="5"/>
        <v>1</v>
      </c>
    </row>
    <row r="37" spans="1:29" ht="15">
      <c r="A37" s="430" t="s">
        <v>1826</v>
      </c>
      <c r="B37" s="1973" t="s">
        <v>3335</v>
      </c>
      <c r="C37" s="1154" t="s">
        <v>0</v>
      </c>
      <c r="D37" s="1155"/>
      <c r="E37" s="1156"/>
      <c r="F37" s="1157"/>
      <c r="G37" s="1158"/>
      <c r="H37" s="1159"/>
      <c r="I37" s="1156"/>
      <c r="J37" s="1159"/>
      <c r="K37" s="568"/>
      <c r="L37" s="2700"/>
      <c r="M37" s="2701"/>
      <c r="N37" s="2692"/>
      <c r="O37" s="2701"/>
      <c r="P37" s="3811" t="str">
        <f>A37</f>
        <v>成交单价</v>
      </c>
      <c r="Q37" s="3811"/>
      <c r="R37" s="3812">
        <f>E37</f>
        <v>0</v>
      </c>
      <c r="S37" s="3812"/>
      <c r="T37" s="3812">
        <f>G37</f>
        <v>0</v>
      </c>
      <c r="U37" s="3812"/>
      <c r="V37" s="3812">
        <f>I37</f>
        <v>0</v>
      </c>
      <c r="W37" s="3812"/>
      <c r="X37" s="690"/>
      <c r="Y37" s="712"/>
      <c r="Z37" s="690"/>
      <c r="AA37" s="690"/>
      <c r="AB37" s="690"/>
      <c r="AC37" s="690"/>
    </row>
    <row r="38" spans="1:29" ht="15.75" thickBot="1">
      <c r="A38" s="437" t="s">
        <v>1827</v>
      </c>
      <c r="B38" s="438" t="str">
        <f>B37</f>
        <v>元/平方米</v>
      </c>
      <c r="C38" s="1160" t="e">
        <f>R39</f>
        <v>#DIV/0!</v>
      </c>
      <c r="D38" s="2317" t="s">
        <v>2120</v>
      </c>
      <c r="E38" s="1161" t="e">
        <f>R38</f>
        <v>#DIV/0!</v>
      </c>
      <c r="F38" s="2318"/>
      <c r="G38" s="1160" t="e">
        <f>T38</f>
        <v>#DIV/0!</v>
      </c>
      <c r="H38" s="2318"/>
      <c r="I38" s="1161" t="e">
        <f>V38</f>
        <v>#DIV/0!</v>
      </c>
      <c r="J38" s="2318"/>
      <c r="K38" s="2320">
        <f>F38+H38+J38</f>
        <v>0</v>
      </c>
      <c r="L38" s="2700"/>
      <c r="M38" s="2701"/>
      <c r="N38" s="2701"/>
      <c r="O38" s="2701"/>
      <c r="P38" s="3811" t="str">
        <f>A38</f>
        <v>比较价值（元/平方米）</v>
      </c>
      <c r="Q38" s="3811"/>
      <c r="R38" s="3812" t="e">
        <f>IF(F1="售价",ROUND(PRODUCT(R37,AA7:AA36),0),ROUND(PRODUCT(R37,AA7:AA36),1))</f>
        <v>#DIV/0!</v>
      </c>
      <c r="S38" s="3812"/>
      <c r="T38" s="3812" t="e">
        <f>IF(F1="售价",ROUND(PRODUCT(T37,AB7:AB36),0),ROUND(PRODUCT(T37,AB7:AB36),1))</f>
        <v>#DIV/0!</v>
      </c>
      <c r="U38" s="3812"/>
      <c r="V38" s="3812" t="e">
        <f>IF(F1="售价",ROUND(PRODUCT(V37,AC7:AC36),0),ROUND(PRODUCT(V37,AC7:AC36),1))</f>
        <v>#DIV/0!</v>
      </c>
      <c r="W38" s="3812"/>
      <c r="X38" s="690"/>
      <c r="Y38" s="690"/>
      <c r="Z38" s="690"/>
      <c r="AA38" s="690"/>
      <c r="AB38" s="690"/>
      <c r="AC38" s="690"/>
    </row>
    <row r="39" spans="1:29" ht="15.75" thickBot="1">
      <c r="A39" s="441" t="s">
        <v>1828</v>
      </c>
      <c r="B39" s="442"/>
      <c r="C39" s="1163" t="e">
        <f>R39</f>
        <v>#DIV/0!</v>
      </c>
      <c r="D39" s="1163"/>
      <c r="E39" s="1163"/>
      <c r="F39" s="1163"/>
      <c r="G39" s="1163"/>
      <c r="H39" s="1163"/>
      <c r="I39" s="1163"/>
      <c r="J39" s="1163"/>
      <c r="K39" s="569"/>
      <c r="L39" s="2700"/>
      <c r="M39" s="2701"/>
      <c r="N39" s="2701"/>
      <c r="O39" s="2701"/>
      <c r="P39" s="3851" t="str">
        <f>A39</f>
        <v>估价对象XX用房的比较价值（楼面单价，元/平方米）</v>
      </c>
      <c r="Q39" s="3852"/>
      <c r="R39" s="3876" t="e">
        <f>IF(F1="售价",ROUND(IF(D38="简单平均",AVERAGE(R38:W38),R38*F38+T38*H38+V38*J38),0),ROUND(IF(D38="简单平均",AVERAGE(R38:V38),R38*F38+T38*H38+V38*J38),1))</f>
        <v>#DIV/0!</v>
      </c>
      <c r="S39" s="3876"/>
      <c r="T39" s="3876"/>
      <c r="U39" s="3876"/>
      <c r="V39" s="3876"/>
      <c r="W39" s="3876"/>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1832</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1833</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8"/>
      <c r="R49" s="2638"/>
      <c r="S49" s="2638"/>
      <c r="T49" s="2638"/>
      <c r="U49" s="2638"/>
      <c r="V49" s="2638"/>
      <c r="W49" s="2638"/>
      <c r="X49" s="2638"/>
      <c r="Y49" s="2638"/>
      <c r="Z49" s="2638"/>
      <c r="AA49" s="2638"/>
      <c r="AB49" s="2638"/>
      <c r="AC49" s="2638"/>
    </row>
    <row r="50" spans="1:29" s="108" customFormat="1" ht="15.75" thickBot="1">
      <c r="A50" s="464" t="s">
        <v>1698</v>
      </c>
      <c r="B50" s="465"/>
      <c r="C50" s="466"/>
      <c r="D50" s="467"/>
      <c r="E50" s="467"/>
      <c r="F50" s="467"/>
      <c r="G50" s="467"/>
      <c r="H50" s="467"/>
      <c r="I50" s="467"/>
      <c r="J50" s="467"/>
      <c r="K50" s="467"/>
      <c r="L50" s="467"/>
      <c r="M50" s="468"/>
      <c r="N50" s="467"/>
      <c r="O50" s="468"/>
      <c r="P50" s="2736"/>
      <c r="Q50" s="2715"/>
      <c r="R50" s="2638"/>
      <c r="S50" s="2638"/>
      <c r="T50" s="2638"/>
      <c r="U50" s="2638"/>
      <c r="V50" s="2638"/>
      <c r="W50" s="2638"/>
      <c r="X50" s="2638"/>
      <c r="Y50" s="2638"/>
      <c r="Z50" s="2638"/>
      <c r="AA50" s="2638"/>
      <c r="AB50" s="2638"/>
      <c r="AC50" s="2638"/>
    </row>
    <row r="51" spans="1:29" s="108" customFormat="1" ht="15">
      <c r="A51" s="470" t="s">
        <v>1663</v>
      </c>
      <c r="B51" s="459"/>
      <c r="C51" s="471" t="s">
        <v>1758</v>
      </c>
      <c r="D51" s="472"/>
      <c r="E51" s="472"/>
      <c r="F51" s="472"/>
      <c r="G51" s="472"/>
      <c r="H51" s="472"/>
      <c r="I51" s="472"/>
      <c r="J51" s="472"/>
      <c r="K51" s="472"/>
      <c r="L51" s="473"/>
      <c r="M51" s="474"/>
      <c r="N51" s="2728"/>
      <c r="O51" s="2728"/>
      <c r="P51" s="2737"/>
      <c r="Q51" s="2715"/>
      <c r="R51" s="2638"/>
      <c r="S51" s="2638"/>
      <c r="T51" s="2638"/>
      <c r="U51" s="2638"/>
      <c r="V51" s="2638"/>
      <c r="W51" s="2638"/>
      <c r="X51" s="2638"/>
      <c r="Y51" s="2638"/>
      <c r="Z51" s="2638"/>
      <c r="AA51" s="2638"/>
      <c r="AB51" s="2638"/>
      <c r="AC51" s="2638"/>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8"/>
      <c r="S52" s="2638"/>
      <c r="T52" s="2638"/>
      <c r="U52" s="2638"/>
      <c r="V52" s="2638"/>
      <c r="W52" s="2638"/>
      <c r="X52" s="2638"/>
      <c r="Y52" s="2638"/>
      <c r="Z52" s="2638"/>
      <c r="AA52" s="2638"/>
      <c r="AB52" s="2638"/>
      <c r="AC52" s="2638"/>
    </row>
    <row r="53" spans="1:29">
      <c r="A53" s="476" t="s">
        <v>1701</v>
      </c>
      <c r="B53" s="477" t="s">
        <v>1667</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1670</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1709</v>
      </c>
      <c r="C65" s="527" t="s">
        <v>1703</v>
      </c>
      <c r="D65" s="527" t="s">
        <v>1704</v>
      </c>
      <c r="E65" s="527" t="s">
        <v>1705</v>
      </c>
      <c r="F65" s="527" t="s">
        <v>1706</v>
      </c>
      <c r="G65" s="527" t="s">
        <v>1707</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1795</v>
      </c>
      <c r="C67" s="608" t="s">
        <v>1781</v>
      </c>
      <c r="D67" s="608" t="s">
        <v>1782</v>
      </c>
      <c r="E67" s="608" t="s">
        <v>1783</v>
      </c>
      <c r="F67" s="608" t="s">
        <v>1784</v>
      </c>
      <c r="G67" s="608" t="s">
        <v>1785</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1715</v>
      </c>
      <c r="C69" s="527" t="s">
        <v>1703</v>
      </c>
      <c r="D69" s="527" t="s">
        <v>1704</v>
      </c>
      <c r="E69" s="527" t="s">
        <v>1705</v>
      </c>
      <c r="F69" s="527" t="s">
        <v>1706</v>
      </c>
      <c r="G69" s="527" t="s">
        <v>1707</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1834</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8"/>
      <c r="S73" s="2638"/>
      <c r="T73" s="2638"/>
      <c r="U73" s="2638"/>
      <c r="V73" s="2638"/>
      <c r="W73" s="2638"/>
      <c r="X73" s="2638"/>
      <c r="Y73" s="2638"/>
      <c r="Z73" s="2638"/>
      <c r="AA73" s="2638"/>
      <c r="AB73" s="2638"/>
      <c r="AC73" s="2638"/>
    </row>
    <row r="74" spans="1:29" s="108" customFormat="1" ht="15.75" thickBot="1">
      <c r="A74" s="528"/>
      <c r="B74" s="492"/>
      <c r="C74" s="509"/>
      <c r="D74" s="485"/>
      <c r="E74" s="485"/>
      <c r="F74" s="485"/>
      <c r="G74" s="485"/>
      <c r="H74" s="485"/>
      <c r="I74" s="485"/>
      <c r="J74" s="485"/>
      <c r="K74" s="485"/>
      <c r="L74" s="485"/>
      <c r="M74" s="486"/>
      <c r="N74" s="2730"/>
      <c r="O74" s="2730"/>
      <c r="P74" s="2738"/>
      <c r="Q74" s="2715"/>
      <c r="R74" s="2638"/>
      <c r="S74" s="2638"/>
      <c r="T74" s="2638"/>
      <c r="U74" s="2638"/>
      <c r="V74" s="2638"/>
      <c r="W74" s="2638"/>
      <c r="X74" s="2638"/>
      <c r="Y74" s="2638"/>
      <c r="Z74" s="2638"/>
      <c r="AA74" s="2638"/>
      <c r="AB74" s="2638"/>
      <c r="AC74" s="2638"/>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8"/>
      <c r="S75" s="2638"/>
      <c r="T75" s="2638"/>
      <c r="U75" s="2638"/>
      <c r="V75" s="2638"/>
      <c r="W75" s="2638"/>
      <c r="X75" s="2638"/>
      <c r="Y75" s="2638"/>
      <c r="Z75" s="2638"/>
      <c r="AA75" s="2638"/>
      <c r="AB75" s="2638"/>
      <c r="AC75" s="2638"/>
    </row>
    <row r="76" spans="1:29" s="108" customFormat="1" ht="15.75" thickBot="1">
      <c r="A76" s="528"/>
      <c r="B76" s="492"/>
      <c r="C76" s="509"/>
      <c r="D76" s="485"/>
      <c r="E76" s="485"/>
      <c r="F76" s="485"/>
      <c r="G76" s="485"/>
      <c r="H76" s="485"/>
      <c r="I76" s="485"/>
      <c r="J76" s="485"/>
      <c r="K76" s="485"/>
      <c r="L76" s="485"/>
      <c r="M76" s="486"/>
      <c r="N76" s="2730"/>
      <c r="O76" s="2730"/>
      <c r="P76" s="2738"/>
      <c r="Q76" s="2715"/>
      <c r="R76" s="2638"/>
      <c r="S76" s="2638"/>
      <c r="T76" s="2638"/>
      <c r="U76" s="2638"/>
      <c r="V76" s="2638"/>
      <c r="W76" s="2638"/>
      <c r="X76" s="2638"/>
      <c r="Y76" s="2638"/>
      <c r="Z76" s="2638"/>
      <c r="AA76" s="2638"/>
      <c r="AB76" s="2638"/>
      <c r="AC76" s="2638"/>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1676</v>
      </c>
      <c r="B79" s="477" t="s">
        <v>1835</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1836</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1722</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1838</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1840</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1841</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1813</v>
      </c>
      <c r="B1" s="1223" t="s">
        <v>3315</v>
      </c>
      <c r="C1" s="1224" t="s">
        <v>1644</v>
      </c>
      <c r="D1" s="1225"/>
      <c r="E1" s="3409"/>
      <c r="F1" s="1879"/>
      <c r="G1" s="1235" t="s">
        <v>1749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1444</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1445</v>
      </c>
      <c r="F2" s="1883"/>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86" t="s">
        <v>1752</v>
      </c>
      <c r="D4" s="3787"/>
      <c r="E4" s="3788" t="s">
        <v>1753</v>
      </c>
      <c r="F4" s="3789"/>
      <c r="G4" s="3786" t="s">
        <v>1754</v>
      </c>
      <c r="H4" s="3787"/>
      <c r="I4" s="3786" t="s">
        <v>1755</v>
      </c>
      <c r="J4" s="3787"/>
      <c r="K4" s="559" t="s">
        <v>1756</v>
      </c>
      <c r="L4" s="2691"/>
      <c r="M4" s="2692"/>
      <c r="N4" s="2692"/>
      <c r="O4" s="2692"/>
      <c r="P4" s="3847" t="s">
        <v>1757</v>
      </c>
      <c r="Q4" s="3848"/>
      <c r="R4" s="3844" t="s">
        <v>1753</v>
      </c>
      <c r="S4" s="3845"/>
      <c r="T4" s="3844" t="s">
        <v>1754</v>
      </c>
      <c r="U4" s="3845"/>
      <c r="V4" s="3799" t="s">
        <v>1755</v>
      </c>
      <c r="W4" s="3799"/>
      <c r="X4" s="1355"/>
      <c r="Y4" s="3844" t="s">
        <v>1757</v>
      </c>
      <c r="Z4" s="3845"/>
      <c r="AA4" s="3843" t="s">
        <v>1753</v>
      </c>
      <c r="AB4" s="3766" t="s">
        <v>1754</v>
      </c>
      <c r="AC4" s="3843" t="s">
        <v>1755</v>
      </c>
    </row>
    <row r="5" spans="1:29" ht="15">
      <c r="A5" s="358"/>
      <c r="B5" s="359"/>
      <c r="C5" s="3776" t="s">
        <v>1655</v>
      </c>
      <c r="D5" s="3777"/>
      <c r="E5" s="3846" t="s">
        <v>1656</v>
      </c>
      <c r="F5" s="3775"/>
      <c r="G5" s="3776" t="s">
        <v>1657</v>
      </c>
      <c r="H5" s="3777"/>
      <c r="I5" s="3776" t="s">
        <v>1658</v>
      </c>
      <c r="J5" s="3777"/>
      <c r="K5" s="559"/>
      <c r="L5" s="2691"/>
      <c r="M5" s="2692"/>
      <c r="N5" s="2692"/>
      <c r="O5" s="2692"/>
      <c r="P5" s="3849"/>
      <c r="Q5" s="3793"/>
      <c r="R5" s="3772"/>
      <c r="S5" s="3773"/>
      <c r="T5" s="3772"/>
      <c r="U5" s="3773"/>
      <c r="V5" s="3799"/>
      <c r="W5" s="3799"/>
      <c r="X5" s="1355"/>
      <c r="Y5" s="3772"/>
      <c r="Z5" s="3773"/>
      <c r="AA5" s="3766"/>
      <c r="AB5" s="3766"/>
      <c r="AC5" s="3766"/>
    </row>
    <row r="6" spans="1:29" ht="15.75" thickBot="1">
      <c r="A6" s="360"/>
      <c r="B6" s="361"/>
      <c r="C6" s="3778" t="s">
        <v>1659</v>
      </c>
      <c r="D6" s="3779"/>
      <c r="E6" s="3780" t="s">
        <v>1659</v>
      </c>
      <c r="F6" s="3781"/>
      <c r="G6" s="3778" t="s">
        <v>1659</v>
      </c>
      <c r="H6" s="3779"/>
      <c r="I6" s="3778" t="s">
        <v>1659</v>
      </c>
      <c r="J6" s="3779"/>
      <c r="K6" s="559" t="s">
        <v>1660</v>
      </c>
      <c r="L6" s="2691"/>
      <c r="M6" s="2692"/>
      <c r="N6" s="2692"/>
      <c r="O6" s="2692"/>
      <c r="P6" s="3850"/>
      <c r="Q6" s="3795"/>
      <c r="R6" s="3772"/>
      <c r="S6" s="3773"/>
      <c r="T6" s="3796"/>
      <c r="U6" s="3797"/>
      <c r="V6" s="3799"/>
      <c r="W6" s="3799"/>
      <c r="X6" s="1355"/>
      <c r="Y6" s="3796"/>
      <c r="Z6" s="3797"/>
      <c r="AA6" s="3767"/>
      <c r="AB6" s="3767"/>
      <c r="AC6" s="3767"/>
    </row>
    <row r="7" spans="1:29" s="108" customFormat="1" ht="15.75" thickBot="1">
      <c r="A7" s="362" t="s">
        <v>1661</v>
      </c>
      <c r="B7" s="363"/>
      <c r="C7" s="364">
        <f>'数据-取费表'!B2</f>
        <v>45406</v>
      </c>
      <c r="D7" s="365">
        <v>100</v>
      </c>
      <c r="E7" s="366"/>
      <c r="F7" s="367">
        <f>SUMIF(46:46,YEAR(E7)&amp;"-"&amp;MONTH(E7),47:47)</f>
        <v>0</v>
      </c>
      <c r="G7" s="1974"/>
      <c r="H7" s="365">
        <f>SUMIF(46:46,YEAR(G7)&amp;"-"&amp;MONTH(G7),47:47)</f>
        <v>0</v>
      </c>
      <c r="I7" s="366"/>
      <c r="J7" s="365">
        <f>SUMIF(46:46,YEAR(I7)&amp;"-"&amp;MONTH(I7),47:47)</f>
        <v>0</v>
      </c>
      <c r="K7" s="560"/>
      <c r="L7" s="2693"/>
      <c r="M7" s="2694"/>
      <c r="N7" s="2694"/>
      <c r="O7" s="2694"/>
      <c r="P7" s="3768" t="s">
        <v>1662</v>
      </c>
      <c r="Q7" s="3801"/>
      <c r="R7" s="701" t="s">
        <v>14</v>
      </c>
      <c r="S7" s="702">
        <f t="shared" ref="S7:S14" si="0">F7</f>
        <v>0</v>
      </c>
      <c r="T7" s="701" t="s">
        <v>14</v>
      </c>
      <c r="U7" s="702">
        <f t="shared" ref="U7:U14" si="1">H7</f>
        <v>0</v>
      </c>
      <c r="V7" s="701" t="s">
        <v>14</v>
      </c>
      <c r="W7" s="702">
        <f t="shared" ref="W7:W14" si="2">J7</f>
        <v>0</v>
      </c>
      <c r="X7" s="703"/>
      <c r="Y7" s="3768" t="s">
        <v>1662</v>
      </c>
      <c r="Z7" s="3769"/>
      <c r="AA7" s="704" t="e">
        <f>D7/F7</f>
        <v>#DIV/0!</v>
      </c>
      <c r="AB7" s="704" t="e">
        <f>D7/H7</f>
        <v>#DIV/0!</v>
      </c>
      <c r="AC7" s="704" t="e">
        <f>D7/J7</f>
        <v>#DIV/0!</v>
      </c>
    </row>
    <row r="8" spans="1:29" s="108" customFormat="1" ht="15.7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768" t="s">
        <v>1665</v>
      </c>
      <c r="Q8" s="3769"/>
      <c r="R8" s="701" t="s">
        <v>14</v>
      </c>
      <c r="S8" s="702">
        <f t="shared" si="0"/>
        <v>100</v>
      </c>
      <c r="T8" s="701" t="s">
        <v>14</v>
      </c>
      <c r="U8" s="702">
        <f t="shared" si="1"/>
        <v>100</v>
      </c>
      <c r="V8" s="701" t="s">
        <v>14</v>
      </c>
      <c r="W8" s="702">
        <f t="shared" si="2"/>
        <v>100</v>
      </c>
      <c r="X8" s="703"/>
      <c r="Y8" s="3768" t="s">
        <v>1665</v>
      </c>
      <c r="Z8" s="3769"/>
      <c r="AA8" s="704">
        <f t="shared" ref="AA8:AA34" si="3">D8/F8</f>
        <v>1</v>
      </c>
      <c r="AB8" s="704">
        <f t="shared" ref="AB8:AB34" si="4">D8/H8</f>
        <v>1</v>
      </c>
      <c r="AC8" s="704">
        <f t="shared" ref="AC8:AC34" si="5">D8/J8</f>
        <v>1</v>
      </c>
    </row>
    <row r="9" spans="1:29" s="108" customFormat="1">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811" t="s">
        <v>1668</v>
      </c>
      <c r="Q9" s="1343" t="str">
        <f t="shared" ref="Q9:Q14" si="6">B9</f>
        <v>用途</v>
      </c>
      <c r="R9" s="701" t="s">
        <v>14</v>
      </c>
      <c r="S9" s="702">
        <f t="shared" si="0"/>
        <v>100</v>
      </c>
      <c r="T9" s="701" t="s">
        <v>14</v>
      </c>
      <c r="U9" s="702">
        <f t="shared" si="1"/>
        <v>100</v>
      </c>
      <c r="V9" s="701" t="s">
        <v>14</v>
      </c>
      <c r="W9" s="702">
        <f t="shared" si="2"/>
        <v>100</v>
      </c>
      <c r="X9" s="703"/>
      <c r="Y9" s="3741" t="s">
        <v>1669</v>
      </c>
      <c r="Z9" s="52" t="str">
        <f t="shared" ref="Z9:Z14" si="7">Q9</f>
        <v>用途</v>
      </c>
      <c r="AA9" s="704">
        <f t="shared" si="3"/>
        <v>1</v>
      </c>
      <c r="AB9" s="704">
        <f t="shared" si="4"/>
        <v>1</v>
      </c>
      <c r="AC9" s="704">
        <f t="shared" si="5"/>
        <v>1</v>
      </c>
    </row>
    <row r="10" spans="1:29" s="378" customFormat="1" ht="27">
      <c r="A10" s="374"/>
      <c r="B10" s="375" t="s">
        <v>1670</v>
      </c>
      <c r="C10" s="3410"/>
      <c r="D10" s="127">
        <v>100</v>
      </c>
      <c r="E10" s="3410"/>
      <c r="F10" s="376">
        <f>SUMIF(53:53,E10,54:54)-SUMIF(53:53,C10,54:54)+100</f>
        <v>100</v>
      </c>
      <c r="G10" s="3410"/>
      <c r="H10" s="127">
        <f>SUMIF(53:53,G10,54:54)-SUMIF(53:53,C10,54:54)+100</f>
        <v>100</v>
      </c>
      <c r="I10" s="3410"/>
      <c r="J10" s="127">
        <f>SUMIF(53:53,I10,54:54)-SUMIF(53:53,C10,54:54)+100</f>
        <v>100</v>
      </c>
      <c r="K10" s="560"/>
      <c r="L10" s="2695"/>
      <c r="M10" s="2696"/>
      <c r="N10" s="2696"/>
      <c r="O10" s="2749"/>
      <c r="P10" s="3811"/>
      <c r="Q10" s="1343" t="str">
        <f t="shared" si="6"/>
        <v>土地使用年限（年）</v>
      </c>
      <c r="R10" s="701" t="s">
        <v>14</v>
      </c>
      <c r="S10" s="702">
        <f t="shared" si="0"/>
        <v>100</v>
      </c>
      <c r="T10" s="701" t="s">
        <v>14</v>
      </c>
      <c r="U10" s="702">
        <f t="shared" si="1"/>
        <v>100</v>
      </c>
      <c r="V10" s="701" t="s">
        <v>14</v>
      </c>
      <c r="W10" s="702">
        <f t="shared" si="2"/>
        <v>100</v>
      </c>
      <c r="X10" s="703"/>
      <c r="Y10" s="37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811"/>
      <c r="Q11" s="1343">
        <f t="shared" si="6"/>
        <v>111</v>
      </c>
      <c r="R11" s="701" t="s">
        <v>14</v>
      </c>
      <c r="S11" s="702">
        <f t="shared" si="0"/>
        <v>100</v>
      </c>
      <c r="T11" s="701" t="s">
        <v>14</v>
      </c>
      <c r="U11" s="702">
        <f t="shared" si="1"/>
        <v>100</v>
      </c>
      <c r="V11" s="701" t="s">
        <v>14</v>
      </c>
      <c r="W11" s="702">
        <f t="shared" si="2"/>
        <v>100</v>
      </c>
      <c r="X11" s="703"/>
      <c r="Y11" s="37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811"/>
      <c r="Q12" s="1343">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8"/>
      <c r="M13" s="2692"/>
      <c r="N13" s="2692"/>
      <c r="O13" s="2750"/>
      <c r="P13" s="3811"/>
      <c r="Q13" s="1343">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
      <c r="A14" s="391" t="s">
        <v>1672</v>
      </c>
      <c r="B14" s="61" t="s">
        <v>1815</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804" t="s">
        <v>1673</v>
      </c>
      <c r="Q14" s="1352" t="str">
        <f t="shared" si="6"/>
        <v>交通便捷度</v>
      </c>
      <c r="R14" s="705" t="s">
        <v>14</v>
      </c>
      <c r="S14" s="706">
        <f t="shared" si="0"/>
        <v>100</v>
      </c>
      <c r="T14" s="705" t="s">
        <v>14</v>
      </c>
      <c r="U14" s="706">
        <f t="shared" si="1"/>
        <v>100</v>
      </c>
      <c r="V14" s="705" t="s">
        <v>14</v>
      </c>
      <c r="W14" s="706">
        <f t="shared" si="2"/>
        <v>100</v>
      </c>
      <c r="X14" s="1355"/>
      <c r="Y14" s="3804" t="s">
        <v>1673</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805"/>
      <c r="Q15" s="1352"/>
      <c r="R15" s="705"/>
      <c r="S15" s="706"/>
      <c r="T15" s="705"/>
      <c r="U15" s="706"/>
      <c r="V15" s="705"/>
      <c r="W15" s="706"/>
      <c r="X15" s="1355"/>
      <c r="Y15" s="3805"/>
      <c r="Z15" s="1356"/>
      <c r="AA15" s="1353">
        <v>1</v>
      </c>
      <c r="AB15" s="1353">
        <v>1</v>
      </c>
      <c r="AC15" s="1353">
        <v>1</v>
      </c>
    </row>
    <row r="16" spans="1:29" ht="15">
      <c r="A16" s="379"/>
      <c r="B16" s="402" t="s">
        <v>1794</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805"/>
      <c r="Q16" s="1352" t="str">
        <f>B16</f>
        <v>公共配套设施</v>
      </c>
      <c r="R16" s="705" t="s">
        <v>14</v>
      </c>
      <c r="S16" s="706">
        <f>F16</f>
        <v>100</v>
      </c>
      <c r="T16" s="705" t="s">
        <v>14</v>
      </c>
      <c r="U16" s="706">
        <f>H16</f>
        <v>100</v>
      </c>
      <c r="V16" s="705" t="s">
        <v>14</v>
      </c>
      <c r="W16" s="706">
        <f>J16</f>
        <v>100</v>
      </c>
      <c r="X16" s="1355"/>
      <c r="Y16" s="38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8"/>
      <c r="M17" s="2692"/>
      <c r="N17" s="2692"/>
      <c r="O17" s="2750"/>
      <c r="P17" s="3805"/>
      <c r="Q17" s="1352"/>
      <c r="R17" s="705"/>
      <c r="S17" s="706"/>
      <c r="T17" s="705"/>
      <c r="U17" s="706"/>
      <c r="V17" s="705"/>
      <c r="W17" s="706"/>
      <c r="X17" s="1355"/>
      <c r="Y17" s="3805"/>
      <c r="Z17" s="1356"/>
      <c r="AA17" s="1353">
        <v>1</v>
      </c>
      <c r="AB17" s="1353">
        <v>1</v>
      </c>
      <c r="AC17" s="1353">
        <v>1</v>
      </c>
    </row>
    <row r="18" spans="1:29" ht="15">
      <c r="A18" s="379"/>
      <c r="B18" s="1131" t="s">
        <v>1795</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805"/>
      <c r="Q18" s="1352" t="str">
        <f>B18</f>
        <v>基础设施水平</v>
      </c>
      <c r="R18" s="705" t="s">
        <v>14</v>
      </c>
      <c r="S18" s="706">
        <f>F18</f>
        <v>100</v>
      </c>
      <c r="T18" s="705" t="s">
        <v>14</v>
      </c>
      <c r="U18" s="706">
        <f>H18</f>
        <v>100</v>
      </c>
      <c r="V18" s="705" t="s">
        <v>14</v>
      </c>
      <c r="W18" s="706">
        <f>J18</f>
        <v>100</v>
      </c>
      <c r="X18" s="1355"/>
      <c r="Y18" s="38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8"/>
      <c r="M19" s="2692"/>
      <c r="N19" s="2692"/>
      <c r="O19" s="2750"/>
      <c r="P19" s="3805"/>
      <c r="Q19" s="1352"/>
      <c r="R19" s="705"/>
      <c r="S19" s="706"/>
      <c r="T19" s="705"/>
      <c r="U19" s="706"/>
      <c r="V19" s="705"/>
      <c r="W19" s="706"/>
      <c r="X19" s="1355"/>
      <c r="Y19" s="3805"/>
      <c r="Z19" s="1356"/>
      <c r="AA19" s="1353">
        <v>1</v>
      </c>
      <c r="AB19" s="1353">
        <v>1</v>
      </c>
      <c r="AC19" s="1353">
        <v>1</v>
      </c>
    </row>
    <row r="20" spans="1:29" ht="15">
      <c r="A20" s="379"/>
      <c r="B20" s="402" t="s">
        <v>1816</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805"/>
      <c r="Q20" s="1352" t="str">
        <f>B20</f>
        <v>自然及人文环境</v>
      </c>
      <c r="R20" s="705" t="s">
        <v>14</v>
      </c>
      <c r="S20" s="706">
        <f>F20</f>
        <v>100</v>
      </c>
      <c r="T20" s="705" t="s">
        <v>14</v>
      </c>
      <c r="U20" s="706">
        <f>H20</f>
        <v>100</v>
      </c>
      <c r="V20" s="705" t="s">
        <v>14</v>
      </c>
      <c r="W20" s="706">
        <f>J20</f>
        <v>100</v>
      </c>
      <c r="X20" s="1355"/>
      <c r="Y20" s="38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805"/>
      <c r="Q21" s="1352"/>
      <c r="R21" s="705"/>
      <c r="S21" s="706"/>
      <c r="T21" s="705"/>
      <c r="U21" s="706"/>
      <c r="V21" s="705"/>
      <c r="W21" s="706"/>
      <c r="X21" s="1355"/>
      <c r="Y21" s="3805"/>
      <c r="Z21" s="1356"/>
      <c r="AA21" s="1353">
        <v>1</v>
      </c>
      <c r="AB21" s="1353">
        <v>1</v>
      </c>
      <c r="AC21" s="1353">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805"/>
      <c r="Q22" s="1352" t="str">
        <f>B22</f>
        <v>楼层</v>
      </c>
      <c r="R22" s="705" t="s">
        <v>14</v>
      </c>
      <c r="S22" s="706">
        <f>F22</f>
        <v>100</v>
      </c>
      <c r="T22" s="705" t="s">
        <v>14</v>
      </c>
      <c r="U22" s="706">
        <f>H22</f>
        <v>100</v>
      </c>
      <c r="V22" s="705" t="s">
        <v>14</v>
      </c>
      <c r="W22" s="706">
        <f>J22</f>
        <v>100</v>
      </c>
      <c r="X22" s="1355"/>
      <c r="Y22" s="38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805"/>
      <c r="Q23" s="1352">
        <f>B23</f>
        <v>111</v>
      </c>
      <c r="R23" s="705" t="s">
        <v>14</v>
      </c>
      <c r="S23" s="706">
        <f>F23</f>
        <v>100</v>
      </c>
      <c r="T23" s="705" t="s">
        <v>14</v>
      </c>
      <c r="U23" s="706">
        <f>H23</f>
        <v>100</v>
      </c>
      <c r="V23" s="705" t="s">
        <v>14</v>
      </c>
      <c r="W23" s="706">
        <f>J23</f>
        <v>100</v>
      </c>
      <c r="X23" s="1355"/>
      <c r="Y23" s="38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805"/>
      <c r="Q24" s="1352">
        <f t="shared" ref="Q24:Q34" si="11">B24</f>
        <v>111</v>
      </c>
      <c r="R24" s="705" t="s">
        <v>14</v>
      </c>
      <c r="S24" s="706">
        <f>F24</f>
        <v>100</v>
      </c>
      <c r="T24" s="705" t="s">
        <v>14</v>
      </c>
      <c r="U24" s="706">
        <f>H24</f>
        <v>100</v>
      </c>
      <c r="V24" s="705" t="s">
        <v>14</v>
      </c>
      <c r="W24" s="706">
        <f>J24</f>
        <v>100</v>
      </c>
      <c r="X24" s="1355"/>
      <c r="Y24" s="38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3"/>
      <c r="M25" s="2694"/>
      <c r="N25" s="2694"/>
      <c r="O25" s="2748"/>
      <c r="P25" s="3805"/>
      <c r="Q25" s="1343">
        <f t="shared" si="11"/>
        <v>111</v>
      </c>
      <c r="R25" s="701" t="s">
        <v>14</v>
      </c>
      <c r="S25" s="702">
        <f>F25</f>
        <v>100</v>
      </c>
      <c r="T25" s="701" t="s">
        <v>14</v>
      </c>
      <c r="U25" s="702">
        <f>H25</f>
        <v>100</v>
      </c>
      <c r="V25" s="701" t="s">
        <v>14</v>
      </c>
      <c r="W25" s="702">
        <f>J25</f>
        <v>100</v>
      </c>
      <c r="X25" s="703"/>
      <c r="Y25" s="3805"/>
      <c r="Z25" s="52">
        <f>Q25</f>
        <v>111</v>
      </c>
      <c r="AA25" s="1353">
        <f>D25/F25</f>
        <v>1</v>
      </c>
      <c r="AB25" s="1353">
        <f>D25/H25</f>
        <v>1</v>
      </c>
      <c r="AC25" s="1353">
        <f>D25/J25</f>
        <v>1</v>
      </c>
    </row>
    <row r="26" spans="1:29" ht="28.5">
      <c r="A26" s="417" t="s">
        <v>1676</v>
      </c>
      <c r="B26" s="63" t="s">
        <v>1820</v>
      </c>
      <c r="C26" s="1967"/>
      <c r="D26" s="418">
        <v>100</v>
      </c>
      <c r="E26" s="1967"/>
      <c r="F26" s="615">
        <f>SUMIF(77:77,E26,78:78)-SUMIF(77:77,C26,78:78)+100</f>
        <v>100</v>
      </c>
      <c r="G26" s="1967"/>
      <c r="H26" s="418">
        <f>SUMIF(77:77,G26,78:78)-SUMIF(77:77,C26,78:78)+100</f>
        <v>100</v>
      </c>
      <c r="I26" s="1967"/>
      <c r="J26" s="418">
        <f>SUMIF(77:77,I26,78:78)-SUMIF(77:77,C26,78:78)+100</f>
        <v>100</v>
      </c>
      <c r="K26" s="561"/>
      <c r="L26" s="2698"/>
      <c r="M26" s="2692"/>
      <c r="N26" s="2692"/>
      <c r="O26" s="2750"/>
      <c r="P26" s="3875" t="s">
        <v>1678</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09" t="s">
        <v>1678</v>
      </c>
      <c r="Z26" s="1356" t="str">
        <f t="shared" ref="Z26:Z34" si="15">Q26</f>
        <v>公共部分装修</v>
      </c>
      <c r="AA26" s="1353">
        <f t="shared" si="3"/>
        <v>1</v>
      </c>
      <c r="AB26" s="1353">
        <f t="shared" si="4"/>
        <v>1</v>
      </c>
      <c r="AC26" s="1353">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809"/>
      <c r="Q27" s="707" t="str">
        <f t="shared" si="11"/>
        <v>成新率</v>
      </c>
      <c r="R27" s="708" t="s">
        <v>14</v>
      </c>
      <c r="S27" s="709" t="e">
        <f t="shared" si="12"/>
        <v>#N/A</v>
      </c>
      <c r="T27" s="708" t="s">
        <v>14</v>
      </c>
      <c r="U27" s="709" t="e">
        <f t="shared" si="13"/>
        <v>#N/A</v>
      </c>
      <c r="V27" s="708" t="s">
        <v>14</v>
      </c>
      <c r="W27" s="709" t="e">
        <f t="shared" si="14"/>
        <v>#N/A</v>
      </c>
      <c r="X27" s="710"/>
      <c r="Y27" s="3809"/>
      <c r="Z27" s="711" t="str">
        <f t="shared" si="15"/>
        <v>成新率</v>
      </c>
      <c r="AA27" s="1353" t="e">
        <f t="shared" si="3"/>
        <v>#N/A</v>
      </c>
      <c r="AB27" s="1353" t="e">
        <f t="shared" si="4"/>
        <v>#N/A</v>
      </c>
      <c r="AC27" s="1353"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809"/>
      <c r="Q28" s="1352" t="str">
        <f t="shared" si="11"/>
        <v>物业等级</v>
      </c>
      <c r="R28" s="705" t="s">
        <v>14</v>
      </c>
      <c r="S28" s="706">
        <f t="shared" si="12"/>
        <v>100</v>
      </c>
      <c r="T28" s="705" t="s">
        <v>14</v>
      </c>
      <c r="U28" s="706">
        <f t="shared" si="13"/>
        <v>100</v>
      </c>
      <c r="V28" s="705" t="s">
        <v>14</v>
      </c>
      <c r="W28" s="706">
        <f t="shared" si="14"/>
        <v>100</v>
      </c>
      <c r="X28" s="1355"/>
      <c r="Y28" s="3809"/>
      <c r="Z28" s="1356" t="str">
        <f t="shared" si="15"/>
        <v>物业等级</v>
      </c>
      <c r="AA28" s="1353">
        <f t="shared" si="3"/>
        <v>1</v>
      </c>
      <c r="AB28" s="1353">
        <f t="shared" si="4"/>
        <v>1</v>
      </c>
      <c r="AC28" s="1353">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809"/>
      <c r="Q29" s="1352" t="str">
        <f t="shared" si="11"/>
        <v>有无电梯</v>
      </c>
      <c r="R29" s="705" t="s">
        <v>14</v>
      </c>
      <c r="S29" s="706">
        <f t="shared" si="12"/>
        <v>100</v>
      </c>
      <c r="T29" s="705" t="s">
        <v>14</v>
      </c>
      <c r="U29" s="706">
        <f t="shared" si="13"/>
        <v>100</v>
      </c>
      <c r="V29" s="705" t="s">
        <v>14</v>
      </c>
      <c r="W29" s="706">
        <f t="shared" si="14"/>
        <v>100</v>
      </c>
      <c r="X29" s="1355"/>
      <c r="Y29" s="3809"/>
      <c r="Z29" s="1356" t="str">
        <f t="shared" si="15"/>
        <v>有无电梯</v>
      </c>
      <c r="AA29" s="1353">
        <f t="shared" si="3"/>
        <v>1</v>
      </c>
      <c r="AB29" s="1353">
        <f t="shared" si="4"/>
        <v>1</v>
      </c>
      <c r="AC29" s="1353">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809"/>
      <c r="Q30" s="1352" t="str">
        <f t="shared" si="11"/>
        <v>建筑面积</v>
      </c>
      <c r="R30" s="705" t="s">
        <v>14</v>
      </c>
      <c r="S30" s="706" t="e">
        <f t="shared" si="12"/>
        <v>#N/A</v>
      </c>
      <c r="T30" s="705" t="s">
        <v>14</v>
      </c>
      <c r="U30" s="706" t="e">
        <f t="shared" si="13"/>
        <v>#N/A</v>
      </c>
      <c r="V30" s="705" t="s">
        <v>14</v>
      </c>
      <c r="W30" s="706" t="e">
        <f t="shared" si="14"/>
        <v>#N/A</v>
      </c>
      <c r="X30" s="1355"/>
      <c r="Y30" s="3809"/>
      <c r="Z30" s="1356" t="str">
        <f t="shared" si="15"/>
        <v>建筑面积</v>
      </c>
      <c r="AA30" s="1353" t="e">
        <f t="shared" si="3"/>
        <v>#N/A</v>
      </c>
      <c r="AB30" s="1353" t="e">
        <f t="shared" si="4"/>
        <v>#N/A</v>
      </c>
      <c r="AC30" s="1353"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809"/>
      <c r="Q31" s="1343" t="str">
        <f t="shared" si="11"/>
        <v>是否封闭</v>
      </c>
      <c r="R31" s="701" t="s">
        <v>14</v>
      </c>
      <c r="S31" s="702">
        <f t="shared" si="12"/>
        <v>100</v>
      </c>
      <c r="T31" s="701" t="s">
        <v>14</v>
      </c>
      <c r="U31" s="702">
        <f t="shared" si="13"/>
        <v>100</v>
      </c>
      <c r="V31" s="701" t="s">
        <v>14</v>
      </c>
      <c r="W31" s="702">
        <f t="shared" si="14"/>
        <v>100</v>
      </c>
      <c r="X31" s="703"/>
      <c r="Y31" s="38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809" t="s">
        <v>1678</v>
      </c>
      <c r="Q32" s="1352">
        <f t="shared" si="11"/>
        <v>111</v>
      </c>
      <c r="R32" s="705" t="s">
        <v>14</v>
      </c>
      <c r="S32" s="706">
        <f t="shared" si="12"/>
        <v>100</v>
      </c>
      <c r="T32" s="705" t="s">
        <v>14</v>
      </c>
      <c r="U32" s="706">
        <f t="shared" si="13"/>
        <v>100</v>
      </c>
      <c r="V32" s="705" t="s">
        <v>14</v>
      </c>
      <c r="W32" s="706">
        <f t="shared" si="14"/>
        <v>100</v>
      </c>
      <c r="X32" s="1355"/>
      <c r="Y32" s="3809" t="s">
        <v>1678</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809"/>
      <c r="Q33" s="1352">
        <f t="shared" si="11"/>
        <v>111</v>
      </c>
      <c r="R33" s="705" t="s">
        <v>14</v>
      </c>
      <c r="S33" s="706">
        <f t="shared" si="12"/>
        <v>100</v>
      </c>
      <c r="T33" s="705" t="s">
        <v>14</v>
      </c>
      <c r="U33" s="706">
        <f t="shared" si="13"/>
        <v>100</v>
      </c>
      <c r="V33" s="705" t="s">
        <v>14</v>
      </c>
      <c r="W33" s="706">
        <f t="shared" si="14"/>
        <v>100</v>
      </c>
      <c r="X33" s="1355"/>
      <c r="Y33" s="38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8"/>
      <c r="M34" s="2692"/>
      <c r="N34" s="2692"/>
      <c r="O34" s="2750"/>
      <c r="P34" s="3809"/>
      <c r="Q34" s="1352">
        <f t="shared" si="11"/>
        <v>111</v>
      </c>
      <c r="R34" s="705" t="s">
        <v>14</v>
      </c>
      <c r="S34" s="706">
        <f t="shared" si="12"/>
        <v>100</v>
      </c>
      <c r="T34" s="705" t="s">
        <v>14</v>
      </c>
      <c r="U34" s="706">
        <f t="shared" si="13"/>
        <v>100</v>
      </c>
      <c r="V34" s="705" t="s">
        <v>14</v>
      </c>
      <c r="W34" s="706">
        <f t="shared" si="14"/>
        <v>100</v>
      </c>
      <c r="X34" s="1355"/>
      <c r="Y34" s="3809"/>
      <c r="Z34" s="1356">
        <f t="shared" si="15"/>
        <v>111</v>
      </c>
      <c r="AA34" s="1353">
        <f t="shared" si="3"/>
        <v>1</v>
      </c>
      <c r="AB34" s="1353">
        <f t="shared" si="4"/>
        <v>1</v>
      </c>
      <c r="AC34" s="1353">
        <f t="shared" si="5"/>
        <v>1</v>
      </c>
    </row>
    <row r="35" spans="1:30" ht="15">
      <c r="A35" s="430" t="s">
        <v>1690</v>
      </c>
      <c r="B35" s="431"/>
      <c r="C35" s="1154" t="s">
        <v>0</v>
      </c>
      <c r="D35" s="1155"/>
      <c r="E35" s="1156"/>
      <c r="F35" s="1157"/>
      <c r="G35" s="1158"/>
      <c r="H35" s="1159"/>
      <c r="I35" s="1156"/>
      <c r="J35" s="1159"/>
      <c r="K35" s="714"/>
      <c r="L35" s="2700"/>
      <c r="M35" s="2701"/>
      <c r="N35" s="2692"/>
      <c r="O35" s="2701"/>
      <c r="P35" s="3811" t="str">
        <f>A35</f>
        <v>成交单价（元/平方米）</v>
      </c>
      <c r="Q35" s="3811"/>
      <c r="R35" s="3812">
        <f>E35</f>
        <v>0</v>
      </c>
      <c r="S35" s="3812"/>
      <c r="T35" s="3812">
        <f>G35</f>
        <v>0</v>
      </c>
      <c r="U35" s="3812"/>
      <c r="V35" s="3812">
        <f>I35</f>
        <v>0</v>
      </c>
      <c r="W35" s="3812"/>
      <c r="X35" s="690"/>
      <c r="Y35" s="712"/>
      <c r="Z35" s="690"/>
      <c r="AA35" s="690"/>
      <c r="AB35" s="690"/>
      <c r="AC35" s="690"/>
    </row>
    <row r="36" spans="1:30" ht="15.75" thickBot="1">
      <c r="A36" s="437" t="s">
        <v>1775</v>
      </c>
      <c r="B36" s="438"/>
      <c r="C36" s="1160" t="e">
        <f>R37</f>
        <v>#DIV/0!</v>
      </c>
      <c r="D36" s="2317" t="s">
        <v>2120</v>
      </c>
      <c r="E36" s="1161" t="e">
        <f>R36</f>
        <v>#DIV/0!</v>
      </c>
      <c r="F36" s="2318"/>
      <c r="G36" s="1160" t="e">
        <f>T36</f>
        <v>#DIV/0!</v>
      </c>
      <c r="H36" s="2318"/>
      <c r="I36" s="1161" t="e">
        <f>V36</f>
        <v>#DIV/0!</v>
      </c>
      <c r="J36" s="2318"/>
      <c r="K36" s="2320">
        <f>F36+H36+J36</f>
        <v>0</v>
      </c>
      <c r="L36" s="2700"/>
      <c r="M36" s="2701"/>
      <c r="N36" s="2692"/>
      <c r="O36" s="2701"/>
      <c r="P36" s="3811" t="str">
        <f>A36</f>
        <v>比较价值（元/平方米）</v>
      </c>
      <c r="Q36" s="3811"/>
      <c r="R36" s="3812" t="e">
        <f>IF(F1="售价",ROUND(PRODUCT(R35,AA7:AA34),0),ROUND(PRODUCT(R35,AA7:AA34),1))</f>
        <v>#DIV/0!</v>
      </c>
      <c r="S36" s="3812"/>
      <c r="T36" s="3812" t="e">
        <f>IF(F1="售价",ROUND(PRODUCT(T35,AB7:AB34),0),ROUND(PRODUCT(T35,AB7:AB34),1))</f>
        <v>#DIV/0!</v>
      </c>
      <c r="U36" s="3812"/>
      <c r="V36" s="3812" t="e">
        <f>IF(F1="售价",ROUND(PRODUCT(V35,AC7:AC34),0),ROUND(PRODUCT(V35,AC7:AC34),1))</f>
        <v>#DIV/0!</v>
      </c>
      <c r="W36" s="3812"/>
      <c r="X36" s="690"/>
      <c r="Y36" s="690"/>
      <c r="Z36" s="690"/>
      <c r="AA36" s="690"/>
      <c r="AB36" s="690"/>
      <c r="AC36" s="690"/>
    </row>
    <row r="37" spans="1:30" ht="15.75" thickBot="1">
      <c r="A37" s="441" t="s">
        <v>1776</v>
      </c>
      <c r="B37" s="442"/>
      <c r="C37" s="1163" t="e">
        <f>R37</f>
        <v>#DIV/0!</v>
      </c>
      <c r="D37" s="1163"/>
      <c r="E37" s="1163"/>
      <c r="F37" s="1163"/>
      <c r="G37" s="1163"/>
      <c r="H37" s="1163"/>
      <c r="I37" s="1163"/>
      <c r="J37" s="1163"/>
      <c r="K37" s="715"/>
      <c r="L37" s="2700"/>
      <c r="M37" s="2701"/>
      <c r="N37" s="2701"/>
      <c r="O37" s="2701"/>
      <c r="P37" s="3851" t="str">
        <f>A37</f>
        <v>估价对象XX用房的比较价值（楼面单价，元/平方米）</v>
      </c>
      <c r="Q37" s="3852"/>
      <c r="R37" s="3876" t="e">
        <f>IF(F1="售价",ROUND(IF(D36="简单平均",AVERAGE(R36:W36),R36*F36+T36*H36+V36*J36),0),ROUND(IF(D36="简单平均",AVERAGE(R36:V36),R36*F36+T36*H36+V36*J36),1))</f>
        <v>#DIV/0!</v>
      </c>
      <c r="S37" s="3876"/>
      <c r="T37" s="3876"/>
      <c r="U37" s="3876"/>
      <c r="V37" s="3876"/>
      <c r="W37" s="3876"/>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1780</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1661</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8"/>
      <c r="R47" s="2638"/>
      <c r="S47" s="2638"/>
      <c r="T47" s="2638"/>
      <c r="U47" s="2638"/>
      <c r="V47" s="2638"/>
      <c r="W47" s="2638"/>
      <c r="X47" s="2638"/>
      <c r="Y47" s="2638"/>
      <c r="Z47" s="2638"/>
      <c r="AA47" s="2638"/>
      <c r="AB47" s="2638"/>
      <c r="AC47" s="2638"/>
      <c r="AD47" s="2638"/>
    </row>
    <row r="48" spans="1:30" s="108" customFormat="1" ht="15.75" thickBot="1">
      <c r="A48" s="464" t="s">
        <v>1698</v>
      </c>
      <c r="B48" s="465"/>
      <c r="C48" s="466"/>
      <c r="D48" s="467"/>
      <c r="E48" s="467"/>
      <c r="F48" s="467"/>
      <c r="G48" s="467"/>
      <c r="H48" s="467"/>
      <c r="I48" s="467"/>
      <c r="J48" s="467"/>
      <c r="K48" s="467"/>
      <c r="L48" s="467"/>
      <c r="M48" s="468"/>
      <c r="N48" s="467"/>
      <c r="O48" s="469"/>
      <c r="P48" s="2715"/>
      <c r="Q48" s="2715"/>
      <c r="R48" s="2638"/>
      <c r="S48" s="2638"/>
      <c r="T48" s="2638"/>
      <c r="U48" s="2638"/>
      <c r="V48" s="2638"/>
      <c r="W48" s="2638"/>
      <c r="X48" s="2638"/>
      <c r="Y48" s="2638"/>
      <c r="Z48" s="2638"/>
      <c r="AA48" s="2638"/>
      <c r="AB48" s="2638"/>
      <c r="AC48" s="2638"/>
      <c r="AD48" s="2638"/>
    </row>
    <row r="49" spans="1:30" s="108" customFormat="1" ht="15">
      <c r="A49" s="470" t="s">
        <v>1663</v>
      </c>
      <c r="B49" s="459"/>
      <c r="C49" s="471" t="s">
        <v>1758</v>
      </c>
      <c r="D49" s="472"/>
      <c r="E49" s="472"/>
      <c r="F49" s="472"/>
      <c r="G49" s="472"/>
      <c r="H49" s="472"/>
      <c r="I49" s="472"/>
      <c r="J49" s="472"/>
      <c r="K49" s="472"/>
      <c r="L49" s="473"/>
      <c r="M49" s="474"/>
      <c r="N49" s="2728"/>
      <c r="O49" s="2728"/>
      <c r="P49" s="2753"/>
      <c r="Q49" s="2715"/>
      <c r="R49" s="2638"/>
      <c r="S49" s="2638"/>
      <c r="T49" s="2638"/>
      <c r="U49" s="2638"/>
      <c r="V49" s="2638"/>
      <c r="W49" s="2638"/>
      <c r="X49" s="2638"/>
      <c r="Y49" s="2638"/>
      <c r="Z49" s="2638"/>
      <c r="AA49" s="2638"/>
      <c r="AB49" s="2638"/>
      <c r="AC49" s="2638"/>
      <c r="AD49" s="2638"/>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8"/>
      <c r="S50" s="2638"/>
      <c r="T50" s="2638"/>
      <c r="U50" s="2638"/>
      <c r="V50" s="2638"/>
      <c r="W50" s="2638"/>
      <c r="X50" s="2638"/>
      <c r="Y50" s="2638"/>
      <c r="Z50" s="2638"/>
      <c r="AA50" s="2638"/>
      <c r="AB50" s="2638"/>
      <c r="AC50" s="2638"/>
      <c r="AD50" s="2638"/>
    </row>
    <row r="51" spans="1:30">
      <c r="A51" s="476" t="s">
        <v>1701</v>
      </c>
      <c r="B51" s="477" t="s">
        <v>1667</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1670</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1845</v>
      </c>
      <c r="C63" s="527" t="s">
        <v>1703</v>
      </c>
      <c r="D63" s="527" t="s">
        <v>1704</v>
      </c>
      <c r="E63" s="527" t="s">
        <v>1705</v>
      </c>
      <c r="F63" s="527" t="s">
        <v>1706</v>
      </c>
      <c r="G63" s="527" t="s">
        <v>1707</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1795</v>
      </c>
      <c r="C65" s="608" t="s">
        <v>1781</v>
      </c>
      <c r="D65" s="608" t="s">
        <v>1782</v>
      </c>
      <c r="E65" s="608" t="s">
        <v>1783</v>
      </c>
      <c r="F65" s="608" t="s">
        <v>1784</v>
      </c>
      <c r="G65" s="608" t="s">
        <v>1785</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1715</v>
      </c>
      <c r="C67" s="527" t="s">
        <v>1703</v>
      </c>
      <c r="D67" s="527" t="s">
        <v>1704</v>
      </c>
      <c r="E67" s="527" t="s">
        <v>1705</v>
      </c>
      <c r="F67" s="527" t="s">
        <v>1706</v>
      </c>
      <c r="G67" s="527" t="s">
        <v>1707</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1834</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8"/>
      <c r="S71" s="2638"/>
      <c r="T71" s="2638"/>
      <c r="U71" s="2638"/>
      <c r="V71" s="2638"/>
      <c r="W71" s="2638"/>
      <c r="X71" s="2638"/>
      <c r="Y71" s="2638"/>
      <c r="Z71" s="2638"/>
      <c r="AA71" s="2638"/>
      <c r="AB71" s="2638"/>
      <c r="AC71" s="2638"/>
      <c r="AD71" s="2638"/>
    </row>
    <row r="72" spans="1:30" s="108" customFormat="1" ht="15.75" thickBot="1">
      <c r="A72" s="528"/>
      <c r="B72" s="492"/>
      <c r="C72" s="509"/>
      <c r="D72" s="485"/>
      <c r="E72" s="485"/>
      <c r="F72" s="485"/>
      <c r="G72" s="485"/>
      <c r="H72" s="485"/>
      <c r="I72" s="485"/>
      <c r="J72" s="485"/>
      <c r="K72" s="485"/>
      <c r="L72" s="485"/>
      <c r="M72" s="486"/>
      <c r="N72" s="2730"/>
      <c r="O72" s="2730"/>
      <c r="P72" s="2754"/>
      <c r="Q72" s="2715"/>
      <c r="R72" s="2638"/>
      <c r="S72" s="2638"/>
      <c r="T72" s="2638"/>
      <c r="U72" s="2638"/>
      <c r="V72" s="2638"/>
      <c r="W72" s="2638"/>
      <c r="X72" s="2638"/>
      <c r="Y72" s="2638"/>
      <c r="Z72" s="2638"/>
      <c r="AA72" s="2638"/>
      <c r="AB72" s="2638"/>
      <c r="AC72" s="2638"/>
      <c r="AD72" s="2638"/>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8"/>
      <c r="S73" s="2638"/>
      <c r="T73" s="2638"/>
      <c r="U73" s="2638"/>
      <c r="V73" s="2638"/>
      <c r="W73" s="2638"/>
      <c r="X73" s="2638"/>
      <c r="Y73" s="2638"/>
      <c r="Z73" s="2638"/>
      <c r="AA73" s="2638"/>
      <c r="AB73" s="2638"/>
      <c r="AC73" s="2638"/>
      <c r="AD73" s="2638"/>
    </row>
    <row r="74" spans="1:30" s="108" customFormat="1" ht="15.75" thickBot="1">
      <c r="A74" s="528"/>
      <c r="B74" s="492"/>
      <c r="C74" s="509"/>
      <c r="D74" s="485"/>
      <c r="E74" s="485"/>
      <c r="F74" s="485"/>
      <c r="G74" s="485"/>
      <c r="H74" s="485"/>
      <c r="I74" s="485"/>
      <c r="J74" s="485"/>
      <c r="K74" s="485"/>
      <c r="L74" s="485"/>
      <c r="M74" s="486"/>
      <c r="N74" s="2730"/>
      <c r="O74" s="2730"/>
      <c r="P74" s="2754"/>
      <c r="Q74" s="2715"/>
      <c r="R74" s="2638"/>
      <c r="S74" s="2638"/>
      <c r="T74" s="2638"/>
      <c r="U74" s="2638"/>
      <c r="V74" s="2638"/>
      <c r="W74" s="2638"/>
      <c r="X74" s="2638"/>
      <c r="Y74" s="2638"/>
      <c r="Z74" s="2638"/>
      <c r="AA74" s="2638"/>
      <c r="AB74" s="2638"/>
      <c r="AC74" s="2638"/>
      <c r="AD74" s="2638"/>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1676</v>
      </c>
      <c r="B77" s="477" t="s">
        <v>1722</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1838</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1846</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1848</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1751</v>
      </c>
      <c r="B4" s="356"/>
      <c r="C4" s="3786" t="s">
        <v>1752</v>
      </c>
      <c r="D4" s="3787"/>
      <c r="E4" s="3788" t="s">
        <v>1753</v>
      </c>
      <c r="F4" s="3789"/>
      <c r="G4" s="3786" t="s">
        <v>1754</v>
      </c>
      <c r="H4" s="3787"/>
      <c r="I4" s="3786" t="s">
        <v>1755</v>
      </c>
      <c r="J4" s="3787"/>
      <c r="K4" s="559" t="s">
        <v>1756</v>
      </c>
      <c r="L4" s="2691"/>
      <c r="M4" s="2692"/>
      <c r="N4" s="2692"/>
      <c r="O4" s="2692"/>
      <c r="P4" s="3847" t="s">
        <v>1757</v>
      </c>
      <c r="Q4" s="3848"/>
      <c r="R4" s="3844" t="s">
        <v>1753</v>
      </c>
      <c r="S4" s="3845"/>
      <c r="T4" s="3844" t="s">
        <v>1754</v>
      </c>
      <c r="U4" s="3845"/>
      <c r="V4" s="3799" t="s">
        <v>1755</v>
      </c>
      <c r="W4" s="3799"/>
      <c r="X4" s="1355"/>
      <c r="Y4" s="3844" t="s">
        <v>1757</v>
      </c>
      <c r="Z4" s="3845"/>
      <c r="AA4" s="3843" t="s">
        <v>1753</v>
      </c>
      <c r="AB4" s="3766" t="s">
        <v>1754</v>
      </c>
      <c r="AC4" s="3843" t="s">
        <v>1755</v>
      </c>
    </row>
    <row r="5" spans="1:30" ht="15">
      <c r="A5" s="358"/>
      <c r="B5" s="359"/>
      <c r="C5" s="3776" t="s">
        <v>1655</v>
      </c>
      <c r="D5" s="3777"/>
      <c r="E5" s="3846" t="s">
        <v>1656</v>
      </c>
      <c r="F5" s="3775"/>
      <c r="G5" s="3776" t="s">
        <v>1657</v>
      </c>
      <c r="H5" s="3777"/>
      <c r="I5" s="3776" t="s">
        <v>1658</v>
      </c>
      <c r="J5" s="3777"/>
      <c r="K5" s="559"/>
      <c r="L5" s="2691"/>
      <c r="M5" s="2692"/>
      <c r="N5" s="2692"/>
      <c r="O5" s="2692"/>
      <c r="P5" s="3849"/>
      <c r="Q5" s="3793"/>
      <c r="R5" s="3772"/>
      <c r="S5" s="3773"/>
      <c r="T5" s="3772"/>
      <c r="U5" s="3773"/>
      <c r="V5" s="3799"/>
      <c r="W5" s="3799"/>
      <c r="X5" s="1355"/>
      <c r="Y5" s="3772"/>
      <c r="Z5" s="3773"/>
      <c r="AA5" s="3766"/>
      <c r="AB5" s="3766"/>
      <c r="AC5" s="3766"/>
    </row>
    <row r="6" spans="1:30" ht="15.75" thickBot="1">
      <c r="A6" s="360"/>
      <c r="B6" s="361"/>
      <c r="C6" s="3778" t="s">
        <v>1659</v>
      </c>
      <c r="D6" s="3779"/>
      <c r="E6" s="3780" t="s">
        <v>1659</v>
      </c>
      <c r="F6" s="3781"/>
      <c r="G6" s="3778" t="s">
        <v>1659</v>
      </c>
      <c r="H6" s="3779"/>
      <c r="I6" s="3778" t="s">
        <v>1659</v>
      </c>
      <c r="J6" s="3779"/>
      <c r="K6" s="559" t="s">
        <v>1660</v>
      </c>
      <c r="L6" s="2691"/>
      <c r="M6" s="2692"/>
      <c r="N6" s="2692"/>
      <c r="O6" s="2692"/>
      <c r="P6" s="3850"/>
      <c r="Q6" s="3795"/>
      <c r="R6" s="3772"/>
      <c r="S6" s="3773"/>
      <c r="T6" s="3796"/>
      <c r="U6" s="3797"/>
      <c r="V6" s="3799"/>
      <c r="W6" s="3799"/>
      <c r="X6" s="1355"/>
      <c r="Y6" s="3796"/>
      <c r="Z6" s="3797"/>
      <c r="AA6" s="3767"/>
      <c r="AB6" s="3767"/>
      <c r="AC6" s="3767"/>
    </row>
    <row r="7" spans="1:30" s="108" customFormat="1" ht="15.75" thickBot="1">
      <c r="A7" s="362" t="s">
        <v>1661</v>
      </c>
      <c r="B7" s="363"/>
      <c r="C7" s="364">
        <f>'数据-取费表'!B2</f>
        <v>45406</v>
      </c>
      <c r="D7" s="365">
        <v>100</v>
      </c>
      <c r="E7" s="366"/>
      <c r="F7" s="367">
        <f>SUMIF(69:69,YEAR(E7)&amp;"-"&amp;INT((MONTH(E7)+2)/3),70:70)</f>
        <v>0</v>
      </c>
      <c r="G7" s="1974"/>
      <c r="H7" s="365">
        <f>SUMIF(69:69,YEAR(G7)&amp;"-"&amp;INT((MONTH(G7)+2)/3),70:70)</f>
        <v>0</v>
      </c>
      <c r="I7" s="1974"/>
      <c r="J7" s="365">
        <f>SUMIF(69:69,YEAR(I7)&amp;"-"&amp;INT((MONTH(I7)+2)/3),70:70)</f>
        <v>0</v>
      </c>
      <c r="K7" s="560"/>
      <c r="L7" s="2693"/>
      <c r="M7" s="2694"/>
      <c r="N7" s="2694"/>
      <c r="O7" s="2694"/>
      <c r="P7" s="3768" t="s">
        <v>1662</v>
      </c>
      <c r="Q7" s="3801"/>
      <c r="R7" s="701" t="s">
        <v>14</v>
      </c>
      <c r="S7" s="702">
        <f t="shared" ref="S7:S15" si="0">F7</f>
        <v>0</v>
      </c>
      <c r="T7" s="701" t="s">
        <v>14</v>
      </c>
      <c r="U7" s="702">
        <f t="shared" ref="U7:U15" si="1">H7</f>
        <v>0</v>
      </c>
      <c r="V7" s="701" t="s">
        <v>14</v>
      </c>
      <c r="W7" s="702">
        <f t="shared" ref="W7:W15" si="2">J7</f>
        <v>0</v>
      </c>
      <c r="X7" s="703"/>
      <c r="Y7" s="3768" t="s">
        <v>1662</v>
      </c>
      <c r="Z7" s="3769"/>
      <c r="AA7" s="704" t="e">
        <f>D7/F7</f>
        <v>#DIV/0!</v>
      </c>
      <c r="AB7" s="704" t="e">
        <f>D7/H7</f>
        <v>#DIV/0!</v>
      </c>
      <c r="AC7" s="704" t="e">
        <f>D7/J7</f>
        <v>#DIV/0!</v>
      </c>
    </row>
    <row r="8" spans="1:30" s="108" customFormat="1" ht="15.7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768" t="s">
        <v>1665</v>
      </c>
      <c r="Q8" s="3769"/>
      <c r="R8" s="701" t="s">
        <v>14</v>
      </c>
      <c r="S8" s="702">
        <f t="shared" si="0"/>
        <v>0</v>
      </c>
      <c r="T8" s="701" t="s">
        <v>14</v>
      </c>
      <c r="U8" s="702">
        <f t="shared" si="1"/>
        <v>0</v>
      </c>
      <c r="V8" s="701" t="s">
        <v>14</v>
      </c>
      <c r="W8" s="702">
        <f t="shared" si="2"/>
        <v>0</v>
      </c>
      <c r="X8" s="703"/>
      <c r="Y8" s="3768" t="s">
        <v>1665</v>
      </c>
      <c r="Z8" s="3769"/>
      <c r="AA8" s="704" t="e">
        <f t="shared" ref="AA8:AA45" si="3">D8/F8</f>
        <v>#DIV/0!</v>
      </c>
      <c r="AB8" s="704" t="e">
        <f t="shared" ref="AB8:AB45" si="4">D8/H8</f>
        <v>#DIV/0!</v>
      </c>
      <c r="AC8" s="704" t="e">
        <f t="shared" ref="AC8:AC45" si="5">D8/J8</f>
        <v>#DIV/0!</v>
      </c>
    </row>
    <row r="9" spans="1:30" s="108" customFormat="1">
      <c r="A9" s="369" t="s">
        <v>1666</v>
      </c>
      <c r="B9" s="63" t="s">
        <v>1667</v>
      </c>
      <c r="C9" s="1977"/>
      <c r="D9" s="126">
        <v>100</v>
      </c>
      <c r="E9" s="1977"/>
      <c r="F9" s="126">
        <f>SUMIF(74:74,E9,75:75)-SUMIF(74:74,C9,75:75)+100</f>
        <v>100</v>
      </c>
      <c r="G9" s="1977"/>
      <c r="H9" s="126">
        <f>SUMIF(74:74,G9,75:75)-SUMIF(74:74,C9,75:75)+100</f>
        <v>100</v>
      </c>
      <c r="I9" s="1977"/>
      <c r="J9" s="126">
        <f>SUMIF(74:74,I9,75:75)-SUMIF(74:74,C9,75:75)+100</f>
        <v>100</v>
      </c>
      <c r="K9" s="560"/>
      <c r="L9" s="2693"/>
      <c r="M9" s="2694"/>
      <c r="N9" s="2694"/>
      <c r="O9" s="2748"/>
      <c r="P9" s="3811" t="s">
        <v>1668</v>
      </c>
      <c r="Q9" s="1343" t="str">
        <f t="shared" ref="Q9:Q15" si="6">B9</f>
        <v>用途</v>
      </c>
      <c r="R9" s="701" t="s">
        <v>14</v>
      </c>
      <c r="S9" s="702">
        <f t="shared" si="0"/>
        <v>100</v>
      </c>
      <c r="T9" s="701" t="s">
        <v>14</v>
      </c>
      <c r="U9" s="702">
        <f t="shared" si="1"/>
        <v>100</v>
      </c>
      <c r="V9" s="701" t="s">
        <v>14</v>
      </c>
      <c r="W9" s="702">
        <f t="shared" si="2"/>
        <v>100</v>
      </c>
      <c r="X9" s="703"/>
      <c r="Y9" s="3741" t="s">
        <v>1669</v>
      </c>
      <c r="Z9" s="52" t="str">
        <f t="shared" ref="Z9:Z15" si="7">Q9</f>
        <v>用途</v>
      </c>
      <c r="AA9" s="704">
        <f t="shared" si="3"/>
        <v>1</v>
      </c>
      <c r="AB9" s="704">
        <f t="shared" si="4"/>
        <v>1</v>
      </c>
      <c r="AC9" s="704">
        <f t="shared" si="5"/>
        <v>1</v>
      </c>
    </row>
    <row r="10" spans="1:30" s="378" customFormat="1" ht="27">
      <c r="A10" s="374"/>
      <c r="B10" s="375" t="s">
        <v>1670</v>
      </c>
      <c r="C10" s="383"/>
      <c r="D10" s="127">
        <v>100</v>
      </c>
      <c r="E10" s="416"/>
      <c r="F10" s="127">
        <f>ROUND(100/'数据-取费表'!G16,0)</f>
        <v>143</v>
      </c>
      <c r="G10" s="414"/>
      <c r="H10" s="127">
        <f>ROUND(100/'数据-取费表'!G16,0)</f>
        <v>143</v>
      </c>
      <c r="I10" s="414"/>
      <c r="J10" s="127">
        <f>ROUND(100/'数据-取费表'!G16,0)</f>
        <v>143</v>
      </c>
      <c r="K10" s="620"/>
      <c r="L10" s="2695"/>
      <c r="M10" s="2696"/>
      <c r="N10" s="2696"/>
      <c r="O10" s="2749"/>
      <c r="P10" s="3811"/>
      <c r="Q10" s="1343" t="str">
        <f t="shared" si="6"/>
        <v>土地使用年限（年）</v>
      </c>
      <c r="R10" s="701" t="s">
        <v>14</v>
      </c>
      <c r="S10" s="702">
        <f t="shared" si="0"/>
        <v>143</v>
      </c>
      <c r="T10" s="701" t="s">
        <v>14</v>
      </c>
      <c r="U10" s="702">
        <f t="shared" si="1"/>
        <v>143</v>
      </c>
      <c r="V10" s="701" t="s">
        <v>14</v>
      </c>
      <c r="W10" s="702">
        <f t="shared" si="2"/>
        <v>143</v>
      </c>
      <c r="X10" s="703"/>
      <c r="Y10" s="3741"/>
      <c r="Z10" s="52" t="str">
        <f t="shared" si="7"/>
        <v>土地使用年限（年）</v>
      </c>
      <c r="AA10" s="704">
        <f t="shared" si="3"/>
        <v>0.69930069930069927</v>
      </c>
      <c r="AB10" s="704">
        <f t="shared" si="4"/>
        <v>0.69930069930069927</v>
      </c>
      <c r="AC10" s="704">
        <f t="shared" si="5"/>
        <v>0.69930069930069927</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811"/>
      <c r="Q11" s="1343" t="str">
        <f t="shared" si="6"/>
        <v>容积率</v>
      </c>
      <c r="R11" s="701" t="s">
        <v>14</v>
      </c>
      <c r="S11" s="702" t="e">
        <f t="shared" si="0"/>
        <v>#N/A</v>
      </c>
      <c r="T11" s="701" t="s">
        <v>14</v>
      </c>
      <c r="U11" s="702" t="e">
        <f t="shared" si="1"/>
        <v>#N/A</v>
      </c>
      <c r="V11" s="701" t="s">
        <v>14</v>
      </c>
      <c r="W11" s="702" t="e">
        <f t="shared" si="2"/>
        <v>#N/A</v>
      </c>
      <c r="X11" s="703"/>
      <c r="Y11" s="3741"/>
      <c r="Z11" s="52" t="str">
        <f t="shared" si="7"/>
        <v>容积率</v>
      </c>
      <c r="AA11" s="704" t="e">
        <f t="shared" si="3"/>
        <v>#N/A</v>
      </c>
      <c r="AB11" s="704" t="e">
        <f t="shared" si="4"/>
        <v>#N/A</v>
      </c>
      <c r="AC11" s="704" t="e">
        <f t="shared" si="5"/>
        <v>#N/A</v>
      </c>
    </row>
    <row r="12" spans="1:30" s="108" customFormat="1" ht="15">
      <c r="A12" s="382"/>
      <c r="B12" s="1893" t="s">
        <v>1852</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811"/>
      <c r="Q12" s="1343" t="str">
        <f t="shared" si="6"/>
        <v>配建</v>
      </c>
      <c r="R12" s="701" t="s">
        <v>14</v>
      </c>
      <c r="S12" s="702">
        <f t="shared" si="0"/>
        <v>100</v>
      </c>
      <c r="T12" s="701" t="s">
        <v>14</v>
      </c>
      <c r="U12" s="702">
        <f t="shared" si="1"/>
        <v>100</v>
      </c>
      <c r="V12" s="701" t="s">
        <v>14</v>
      </c>
      <c r="W12" s="702">
        <f t="shared" si="2"/>
        <v>100</v>
      </c>
      <c r="X12" s="703"/>
      <c r="Y12" s="37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811"/>
      <c r="Q13" s="1343">
        <f t="shared" si="6"/>
        <v>111</v>
      </c>
      <c r="R13" s="701" t="s">
        <v>14</v>
      </c>
      <c r="S13" s="702">
        <f t="shared" si="0"/>
        <v>100</v>
      </c>
      <c r="T13" s="701" t="s">
        <v>14</v>
      </c>
      <c r="U13" s="702">
        <f t="shared" si="1"/>
        <v>100</v>
      </c>
      <c r="V13" s="701" t="s">
        <v>14</v>
      </c>
      <c r="W13" s="702">
        <f t="shared" si="2"/>
        <v>100</v>
      </c>
      <c r="X13" s="703"/>
      <c r="Y13" s="37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811"/>
      <c r="Q14" s="1343">
        <f t="shared" si="6"/>
        <v>111</v>
      </c>
      <c r="R14" s="701" t="s">
        <v>14</v>
      </c>
      <c r="S14" s="702">
        <f t="shared" si="0"/>
        <v>100</v>
      </c>
      <c r="T14" s="701" t="s">
        <v>14</v>
      </c>
      <c r="U14" s="702">
        <f t="shared" si="1"/>
        <v>100</v>
      </c>
      <c r="V14" s="701" t="s">
        <v>14</v>
      </c>
      <c r="W14" s="702">
        <f t="shared" si="2"/>
        <v>100</v>
      </c>
      <c r="X14" s="703"/>
      <c r="Y14" s="3741"/>
      <c r="Z14" s="52">
        <f t="shared" si="7"/>
        <v>111</v>
      </c>
      <c r="AA14" s="704">
        <f>D14/F14</f>
        <v>1</v>
      </c>
      <c r="AB14" s="704">
        <f>D14/H14</f>
        <v>1</v>
      </c>
      <c r="AC14" s="704">
        <f>D14/J14</f>
        <v>1</v>
      </c>
    </row>
    <row r="15" spans="1:30" ht="15">
      <c r="A15" s="391" t="s">
        <v>1672</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804" t="s">
        <v>1673</v>
      </c>
      <c r="Q15" s="1352" t="str">
        <f t="shared" si="6"/>
        <v>居住社区成熟度</v>
      </c>
      <c r="R15" s="705" t="s">
        <v>14</v>
      </c>
      <c r="S15" s="706">
        <f t="shared" si="0"/>
        <v>100</v>
      </c>
      <c r="T15" s="705" t="s">
        <v>14</v>
      </c>
      <c r="U15" s="706">
        <f t="shared" si="1"/>
        <v>100</v>
      </c>
      <c r="V15" s="705" t="s">
        <v>14</v>
      </c>
      <c r="W15" s="706">
        <f t="shared" si="2"/>
        <v>100</v>
      </c>
      <c r="X15" s="1355"/>
      <c r="Y15" s="3804" t="s">
        <v>1673</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8"/>
      <c r="M16" s="2692"/>
      <c r="N16" s="2692"/>
      <c r="O16" s="2750"/>
      <c r="P16" s="3805"/>
      <c r="Q16" s="1352"/>
      <c r="R16" s="705"/>
      <c r="S16" s="706"/>
      <c r="T16" s="705"/>
      <c r="U16" s="706"/>
      <c r="V16" s="705"/>
      <c r="W16" s="706"/>
      <c r="X16" s="1355"/>
      <c r="Y16" s="3805"/>
      <c r="Z16" s="1356"/>
      <c r="AA16" s="1353">
        <v>1</v>
      </c>
      <c r="AB16" s="1353">
        <v>1</v>
      </c>
      <c r="AC16" s="1353">
        <v>1</v>
      </c>
    </row>
    <row r="17" spans="1:29" ht="15">
      <c r="A17" s="379"/>
      <c r="B17" s="402" t="s">
        <v>1759</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805"/>
      <c r="Q17" s="1352" t="str">
        <f>B17</f>
        <v>商业繁华度</v>
      </c>
      <c r="R17" s="705" t="s">
        <v>14</v>
      </c>
      <c r="S17" s="706">
        <f>F17</f>
        <v>100</v>
      </c>
      <c r="T17" s="705" t="s">
        <v>14</v>
      </c>
      <c r="U17" s="706">
        <f>H17</f>
        <v>100</v>
      </c>
      <c r="V17" s="705" t="s">
        <v>14</v>
      </c>
      <c r="W17" s="706">
        <f>J17</f>
        <v>100</v>
      </c>
      <c r="X17" s="1355"/>
      <c r="Y17" s="38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8"/>
      <c r="M18" s="2692"/>
      <c r="N18" s="2692"/>
      <c r="O18" s="2750"/>
      <c r="P18" s="3805"/>
      <c r="Q18" s="1352"/>
      <c r="R18" s="705"/>
      <c r="S18" s="706"/>
      <c r="T18" s="705"/>
      <c r="U18" s="706"/>
      <c r="V18" s="705"/>
      <c r="W18" s="706"/>
      <c r="X18" s="1355"/>
      <c r="Y18" s="3805"/>
      <c r="Z18" s="1356"/>
      <c r="AA18" s="1353">
        <v>1</v>
      </c>
      <c r="AB18" s="1353">
        <v>1</v>
      </c>
      <c r="AC18" s="1353">
        <v>1</v>
      </c>
    </row>
    <row r="19" spans="1:29" ht="15">
      <c r="A19" s="379"/>
      <c r="B19" s="402" t="s">
        <v>1793</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805"/>
      <c r="Q19" s="1352" t="str">
        <f>B19</f>
        <v>办公集聚程度</v>
      </c>
      <c r="R19" s="705" t="s">
        <v>14</v>
      </c>
      <c r="S19" s="706">
        <f>F19</f>
        <v>100</v>
      </c>
      <c r="T19" s="705" t="s">
        <v>14</v>
      </c>
      <c r="U19" s="706">
        <f>H19</f>
        <v>100</v>
      </c>
      <c r="V19" s="705" t="s">
        <v>14</v>
      </c>
      <c r="W19" s="706">
        <f>J19</f>
        <v>100</v>
      </c>
      <c r="X19" s="1355"/>
      <c r="Y19" s="38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8"/>
      <c r="M20" s="2692"/>
      <c r="N20" s="2692"/>
      <c r="O20" s="2750"/>
      <c r="P20" s="3805"/>
      <c r="Q20" s="1352"/>
      <c r="R20" s="705"/>
      <c r="S20" s="706"/>
      <c r="T20" s="705"/>
      <c r="U20" s="706"/>
      <c r="V20" s="705"/>
      <c r="W20" s="706"/>
      <c r="X20" s="1355"/>
      <c r="Y20" s="3805"/>
      <c r="Z20" s="1356"/>
      <c r="AA20" s="1353">
        <v>1</v>
      </c>
      <c r="AB20" s="1353">
        <v>1</v>
      </c>
      <c r="AC20" s="1353">
        <v>1</v>
      </c>
    </row>
    <row r="21" spans="1:29" ht="15">
      <c r="A21" s="379"/>
      <c r="B21" s="402" t="s">
        <v>1815</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805"/>
      <c r="Q21" s="1352" t="str">
        <f>B21</f>
        <v>交通便捷度</v>
      </c>
      <c r="R21" s="705" t="s">
        <v>14</v>
      </c>
      <c r="S21" s="706">
        <f>F21</f>
        <v>100</v>
      </c>
      <c r="T21" s="705" t="s">
        <v>14</v>
      </c>
      <c r="U21" s="706">
        <f>H21</f>
        <v>100</v>
      </c>
      <c r="V21" s="705" t="s">
        <v>14</v>
      </c>
      <c r="W21" s="706">
        <f>J21</f>
        <v>100</v>
      </c>
      <c r="X21" s="1355"/>
      <c r="Y21" s="38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8"/>
      <c r="M22" s="2692"/>
      <c r="N22" s="2692"/>
      <c r="O22" s="2750"/>
      <c r="P22" s="3805"/>
      <c r="Q22" s="1352"/>
      <c r="R22" s="705"/>
      <c r="S22" s="706"/>
      <c r="T22" s="705"/>
      <c r="U22" s="706"/>
      <c r="V22" s="705"/>
      <c r="W22" s="706"/>
      <c r="X22" s="1355"/>
      <c r="Y22" s="3805"/>
      <c r="Z22" s="1356"/>
      <c r="AA22" s="1353">
        <v>1</v>
      </c>
      <c r="AB22" s="1353">
        <v>1</v>
      </c>
      <c r="AC22" s="1353">
        <v>1</v>
      </c>
    </row>
    <row r="23" spans="1:29" ht="15">
      <c r="A23" s="358"/>
      <c r="B23" s="402" t="s">
        <v>1853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805"/>
      <c r="Q23" s="1352" t="str">
        <f t="shared" ref="Q23:Q37" si="8">B23</f>
        <v>区域土地利用方向</v>
      </c>
      <c r="R23" s="705" t="s">
        <v>14</v>
      </c>
      <c r="S23" s="706">
        <f>F23</f>
        <v>100</v>
      </c>
      <c r="T23" s="705" t="s">
        <v>14</v>
      </c>
      <c r="U23" s="706">
        <f>H23</f>
        <v>100</v>
      </c>
      <c r="V23" s="705" t="s">
        <v>14</v>
      </c>
      <c r="W23" s="706">
        <f>J23</f>
        <v>100</v>
      </c>
      <c r="X23" s="1355"/>
      <c r="Y23" s="38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8"/>
      <c r="M24" s="2692"/>
      <c r="N24" s="2692"/>
      <c r="O24" s="2750"/>
      <c r="P24" s="3805"/>
      <c r="Q24" s="1352"/>
      <c r="R24" s="705"/>
      <c r="S24" s="706"/>
      <c r="T24" s="705"/>
      <c r="U24" s="706"/>
      <c r="V24" s="705"/>
      <c r="W24" s="706"/>
      <c r="X24" s="1355"/>
      <c r="Y24" s="3805"/>
      <c r="Z24" s="1356"/>
      <c r="AA24" s="1353"/>
      <c r="AB24" s="1353"/>
      <c r="AC24" s="1353"/>
    </row>
    <row r="25" spans="1:29" ht="27">
      <c r="A25" s="358"/>
      <c r="B25" s="1131" t="s">
        <v>1854</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805"/>
      <c r="Q25" s="1352" t="str">
        <f t="shared" si="8"/>
        <v>自然及人文环境状况</v>
      </c>
      <c r="R25" s="705" t="s">
        <v>14</v>
      </c>
      <c r="S25" s="706">
        <f>F25</f>
        <v>100</v>
      </c>
      <c r="T25" s="705" t="s">
        <v>14</v>
      </c>
      <c r="U25" s="706">
        <f>H25</f>
        <v>100</v>
      </c>
      <c r="V25" s="705" t="s">
        <v>14</v>
      </c>
      <c r="W25" s="706">
        <f>J25</f>
        <v>100</v>
      </c>
      <c r="X25" s="1355"/>
      <c r="Y25" s="38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8"/>
      <c r="M26" s="2692"/>
      <c r="N26" s="2692"/>
      <c r="O26" s="2750"/>
      <c r="P26" s="3805"/>
      <c r="Q26" s="1352"/>
      <c r="R26" s="705"/>
      <c r="S26" s="706"/>
      <c r="T26" s="705"/>
      <c r="U26" s="706"/>
      <c r="V26" s="705"/>
      <c r="W26" s="706"/>
      <c r="X26" s="1355"/>
      <c r="Y26" s="3805"/>
      <c r="Z26" s="1356"/>
      <c r="AA26" s="1353">
        <v>1</v>
      </c>
      <c r="AB26" s="1353">
        <v>1</v>
      </c>
      <c r="AC26" s="1353">
        <v>1</v>
      </c>
    </row>
    <row r="27" spans="1:29" s="108" customFormat="1" ht="15">
      <c r="A27" s="597"/>
      <c r="B27" s="1131" t="s">
        <v>1760</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805"/>
      <c r="Q27" s="1343" t="str">
        <f t="shared" si="8"/>
        <v>公共配套设施</v>
      </c>
      <c r="R27" s="701" t="s">
        <v>14</v>
      </c>
      <c r="S27" s="702">
        <f>F27</f>
        <v>100</v>
      </c>
      <c r="T27" s="701" t="s">
        <v>14</v>
      </c>
      <c r="U27" s="702">
        <f>H27</f>
        <v>100</v>
      </c>
      <c r="V27" s="701" t="s">
        <v>14</v>
      </c>
      <c r="W27" s="702">
        <f>J27</f>
        <v>100</v>
      </c>
      <c r="X27" s="703"/>
      <c r="Y27" s="38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3"/>
      <c r="M28" s="2694"/>
      <c r="N28" s="2694"/>
      <c r="O28" s="2748"/>
      <c r="P28" s="3805"/>
      <c r="Q28" s="1343"/>
      <c r="R28" s="701"/>
      <c r="S28" s="702"/>
      <c r="T28" s="701"/>
      <c r="U28" s="702"/>
      <c r="V28" s="701"/>
      <c r="W28" s="702"/>
      <c r="X28" s="703"/>
      <c r="Y28" s="3805"/>
      <c r="Z28" s="52"/>
      <c r="AA28" s="1353">
        <v>1</v>
      </c>
      <c r="AB28" s="1353">
        <v>1</v>
      </c>
      <c r="AC28" s="1353">
        <v>1</v>
      </c>
    </row>
    <row r="29" spans="1:29" s="108" customFormat="1" ht="15">
      <c r="A29" s="597"/>
      <c r="B29" s="1131" t="s">
        <v>1761</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805"/>
      <c r="Q29" s="1343" t="str">
        <f t="shared" ref="Q29" si="9">B29</f>
        <v>基础设施水平</v>
      </c>
      <c r="R29" s="701" t="s">
        <v>14</v>
      </c>
      <c r="S29" s="702">
        <f>F29</f>
        <v>100</v>
      </c>
      <c r="T29" s="701" t="s">
        <v>14</v>
      </c>
      <c r="U29" s="702">
        <f>H29</f>
        <v>100</v>
      </c>
      <c r="V29" s="701" t="s">
        <v>14</v>
      </c>
      <c r="W29" s="702">
        <f>J29</f>
        <v>100</v>
      </c>
      <c r="X29" s="703"/>
      <c r="Y29" s="38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3"/>
      <c r="M30" s="2694"/>
      <c r="N30" s="2694"/>
      <c r="O30" s="2748"/>
      <c r="P30" s="3805"/>
      <c r="Q30" s="1343"/>
      <c r="R30" s="701"/>
      <c r="S30" s="702"/>
      <c r="T30" s="701"/>
      <c r="U30" s="702"/>
      <c r="V30" s="701"/>
      <c r="W30" s="702"/>
      <c r="X30" s="703"/>
      <c r="Y30" s="3805"/>
      <c r="Z30" s="52"/>
      <c r="AA30" s="1353">
        <v>1</v>
      </c>
      <c r="AB30" s="1353">
        <v>1</v>
      </c>
      <c r="AC30" s="1353">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8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05"/>
      <c r="Z31" s="1356" t="str">
        <f t="shared" ref="Z31:Z45" si="13">Q31</f>
        <v>临街状况</v>
      </c>
      <c r="AA31" s="1353">
        <f t="shared" si="3"/>
        <v>1</v>
      </c>
      <c r="AB31" s="1353">
        <f t="shared" si="4"/>
        <v>1</v>
      </c>
      <c r="AC31" s="1353">
        <f t="shared" si="5"/>
        <v>1</v>
      </c>
    </row>
    <row r="32" spans="1:29" ht="27">
      <c r="A32" s="379"/>
      <c r="B32" s="1131"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805"/>
      <c r="Q32" s="1352" t="str">
        <f t="shared" si="8"/>
        <v>毗邻道路的类型与等级</v>
      </c>
      <c r="R32" s="705" t="s">
        <v>14</v>
      </c>
      <c r="S32" s="706">
        <f t="shared" si="10"/>
        <v>100</v>
      </c>
      <c r="T32" s="705" t="s">
        <v>14</v>
      </c>
      <c r="U32" s="706">
        <f t="shared" si="11"/>
        <v>100</v>
      </c>
      <c r="V32" s="705" t="s">
        <v>14</v>
      </c>
      <c r="W32" s="706">
        <f t="shared" si="12"/>
        <v>100</v>
      </c>
      <c r="X32" s="1355"/>
      <c r="Y32" s="38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8"/>
      <c r="M33" s="2692"/>
      <c r="N33" s="2692"/>
      <c r="O33" s="2750"/>
      <c r="P33" s="3805"/>
      <c r="Q33" s="1352"/>
      <c r="R33" s="705"/>
      <c r="S33" s="706"/>
      <c r="T33" s="705"/>
      <c r="U33" s="706"/>
      <c r="V33" s="705"/>
      <c r="W33" s="706"/>
      <c r="X33" s="1355"/>
      <c r="Y33" s="3805"/>
      <c r="Z33" s="1356"/>
      <c r="AA33" s="1353">
        <v>1</v>
      </c>
      <c r="AB33" s="1353">
        <v>1</v>
      </c>
      <c r="AC33" s="1353">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805"/>
      <c r="Q34" s="1352" t="str">
        <f t="shared" si="8"/>
        <v>土地级别</v>
      </c>
      <c r="R34" s="705" t="s">
        <v>14</v>
      </c>
      <c r="S34" s="706">
        <f t="shared" si="10"/>
        <v>100</v>
      </c>
      <c r="T34" s="705" t="s">
        <v>14</v>
      </c>
      <c r="U34" s="706">
        <f t="shared" si="11"/>
        <v>100</v>
      </c>
      <c r="V34" s="705" t="s">
        <v>14</v>
      </c>
      <c r="W34" s="706">
        <f t="shared" si="12"/>
        <v>100</v>
      </c>
      <c r="X34" s="1355"/>
      <c r="Y34" s="38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805"/>
      <c r="Q35" s="1352">
        <f t="shared" si="8"/>
        <v>111</v>
      </c>
      <c r="R35" s="705" t="s">
        <v>14</v>
      </c>
      <c r="S35" s="706">
        <f t="shared" si="10"/>
        <v>100</v>
      </c>
      <c r="T35" s="705" t="s">
        <v>14</v>
      </c>
      <c r="U35" s="706">
        <f t="shared" si="11"/>
        <v>100</v>
      </c>
      <c r="V35" s="705" t="s">
        <v>14</v>
      </c>
      <c r="W35" s="706">
        <f t="shared" si="12"/>
        <v>100</v>
      </c>
      <c r="X35" s="1355"/>
      <c r="Y35" s="38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875" t="s">
        <v>1678</v>
      </c>
      <c r="Q36" s="1352">
        <f t="shared" si="8"/>
        <v>111</v>
      </c>
      <c r="R36" s="705" t="s">
        <v>14</v>
      </c>
      <c r="S36" s="706">
        <f t="shared" si="10"/>
        <v>100</v>
      </c>
      <c r="T36" s="705" t="s">
        <v>14</v>
      </c>
      <c r="U36" s="706">
        <f t="shared" si="11"/>
        <v>100</v>
      </c>
      <c r="V36" s="705" t="s">
        <v>14</v>
      </c>
      <c r="W36" s="706">
        <f t="shared" si="12"/>
        <v>100</v>
      </c>
      <c r="X36" s="1355"/>
      <c r="Y36" s="3809" t="s">
        <v>1678</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809"/>
      <c r="Q37" s="1352">
        <f t="shared" si="8"/>
        <v>111</v>
      </c>
      <c r="R37" s="708" t="s">
        <v>14</v>
      </c>
      <c r="S37" s="709">
        <f t="shared" si="10"/>
        <v>100</v>
      </c>
      <c r="T37" s="708" t="s">
        <v>14</v>
      </c>
      <c r="U37" s="709">
        <f t="shared" si="11"/>
        <v>100</v>
      </c>
      <c r="V37" s="708" t="s">
        <v>14</v>
      </c>
      <c r="W37" s="709">
        <f t="shared" si="12"/>
        <v>100</v>
      </c>
      <c r="X37" s="710"/>
      <c r="Y37" s="3809"/>
      <c r="Z37" s="711">
        <f t="shared" si="13"/>
        <v>111</v>
      </c>
      <c r="AA37" s="1353">
        <f t="shared" si="3"/>
        <v>1</v>
      </c>
      <c r="AB37" s="1353">
        <f t="shared" si="4"/>
        <v>1</v>
      </c>
      <c r="AC37" s="1353">
        <f t="shared" si="5"/>
        <v>1</v>
      </c>
    </row>
    <row r="38" spans="1:29" ht="15">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809"/>
      <c r="Q38" s="1352" t="str">
        <f>B38</f>
        <v>宗地面积</v>
      </c>
      <c r="R38" s="705" t="s">
        <v>14</v>
      </c>
      <c r="S38" s="706" t="e">
        <f t="shared" si="10"/>
        <v>#N/A</v>
      </c>
      <c r="T38" s="705" t="s">
        <v>14</v>
      </c>
      <c r="U38" s="706" t="e">
        <f t="shared" si="11"/>
        <v>#N/A</v>
      </c>
      <c r="V38" s="705" t="s">
        <v>14</v>
      </c>
      <c r="W38" s="706" t="e">
        <f t="shared" si="12"/>
        <v>#N/A</v>
      </c>
      <c r="X38" s="1355"/>
      <c r="Y38" s="3809"/>
      <c r="Z38" s="1356" t="str">
        <f t="shared" si="13"/>
        <v>宗地面积</v>
      </c>
      <c r="AA38" s="1353" t="e">
        <f t="shared" si="3"/>
        <v>#N/A</v>
      </c>
      <c r="AB38" s="1353" t="e">
        <f t="shared" si="4"/>
        <v>#N/A</v>
      </c>
      <c r="AC38" s="1353" t="e">
        <f t="shared" si="5"/>
        <v>#N/A</v>
      </c>
    </row>
    <row r="39" spans="1:29" ht="15">
      <c r="A39" s="423"/>
      <c r="B39" s="375" t="s">
        <v>1857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8"/>
      <c r="M39" s="2692"/>
      <c r="N39" s="2692"/>
      <c r="O39" s="2750"/>
      <c r="P39" s="3809"/>
      <c r="Q39" s="1352" t="str">
        <f t="shared" ref="Q39:Q45" si="14">B39</f>
        <v>宗地形状</v>
      </c>
      <c r="R39" s="705" t="s">
        <v>14</v>
      </c>
      <c r="S39" s="706">
        <f t="shared" si="10"/>
        <v>100</v>
      </c>
      <c r="T39" s="705" t="s">
        <v>14</v>
      </c>
      <c r="U39" s="706">
        <f t="shared" si="11"/>
        <v>100</v>
      </c>
      <c r="V39" s="705" t="s">
        <v>14</v>
      </c>
      <c r="W39" s="706">
        <f t="shared" si="12"/>
        <v>100</v>
      </c>
      <c r="X39" s="1355"/>
      <c r="Y39" s="3809"/>
      <c r="Z39" s="1356" t="str">
        <f t="shared" si="13"/>
        <v>宗地形状</v>
      </c>
      <c r="AA39" s="1353">
        <f t="shared" si="3"/>
        <v>1</v>
      </c>
      <c r="AB39" s="1353">
        <f t="shared" si="4"/>
        <v>1</v>
      </c>
      <c r="AC39" s="1353">
        <f t="shared" si="5"/>
        <v>1</v>
      </c>
    </row>
    <row r="40" spans="1:29" ht="15">
      <c r="A40" s="423"/>
      <c r="B40" s="375" t="s">
        <v>1858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8"/>
      <c r="M40" s="2692"/>
      <c r="N40" s="2692"/>
      <c r="O40" s="2750"/>
      <c r="P40" s="3809"/>
      <c r="Q40" s="1352" t="str">
        <f t="shared" si="14"/>
        <v>临街宽度及深度</v>
      </c>
      <c r="R40" s="705" t="s">
        <v>14</v>
      </c>
      <c r="S40" s="706">
        <f t="shared" si="10"/>
        <v>100</v>
      </c>
      <c r="T40" s="705" t="s">
        <v>14</v>
      </c>
      <c r="U40" s="706">
        <f t="shared" si="11"/>
        <v>100</v>
      </c>
      <c r="V40" s="705" t="s">
        <v>14</v>
      </c>
      <c r="W40" s="706">
        <f t="shared" si="12"/>
        <v>100</v>
      </c>
      <c r="X40" s="1355"/>
      <c r="Y40" s="3809"/>
      <c r="Z40" s="1356" t="str">
        <f t="shared" si="13"/>
        <v>临街宽度及深度</v>
      </c>
      <c r="AA40" s="1353">
        <f t="shared" si="3"/>
        <v>1</v>
      </c>
      <c r="AB40" s="1353">
        <f t="shared" si="4"/>
        <v>1</v>
      </c>
      <c r="AC40" s="1353">
        <f t="shared" si="5"/>
        <v>1</v>
      </c>
    </row>
    <row r="41" spans="1:29" s="108" customFormat="1" ht="15">
      <c r="A41" s="424"/>
      <c r="B41" s="375" t="s">
        <v>1859</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3"/>
      <c r="M41" s="2694"/>
      <c r="N41" s="2694"/>
      <c r="O41" s="2748"/>
      <c r="P41" s="3809"/>
      <c r="Q41" s="1352" t="str">
        <f t="shared" si="14"/>
        <v>宗地开发程度</v>
      </c>
      <c r="R41" s="701" t="s">
        <v>14</v>
      </c>
      <c r="S41" s="702">
        <f t="shared" si="10"/>
        <v>100</v>
      </c>
      <c r="T41" s="701" t="s">
        <v>14</v>
      </c>
      <c r="U41" s="702">
        <f t="shared" si="11"/>
        <v>100</v>
      </c>
      <c r="V41" s="701" t="s">
        <v>14</v>
      </c>
      <c r="W41" s="702">
        <f t="shared" si="12"/>
        <v>100</v>
      </c>
      <c r="X41" s="703"/>
      <c r="Y41" s="3809"/>
      <c r="Z41" s="52" t="str">
        <f t="shared" si="13"/>
        <v>宗地开发程度</v>
      </c>
      <c r="AA41" s="704">
        <f t="shared" si="3"/>
        <v>1</v>
      </c>
      <c r="AB41" s="704">
        <f t="shared" si="4"/>
        <v>1</v>
      </c>
      <c r="AC41" s="704">
        <f t="shared" si="5"/>
        <v>1</v>
      </c>
    </row>
    <row r="42" spans="1:29" ht="15">
      <c r="A42" s="423"/>
      <c r="B42" s="375" t="s">
        <v>1860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8"/>
      <c r="M42" s="2692"/>
      <c r="N42" s="2692"/>
      <c r="O42" s="2750"/>
      <c r="P42" s="3809" t="s">
        <v>1678</v>
      </c>
      <c r="Q42" s="1352" t="str">
        <f t="shared" si="14"/>
        <v>工程地质条件</v>
      </c>
      <c r="R42" s="705" t="s">
        <v>14</v>
      </c>
      <c r="S42" s="706">
        <f t="shared" si="10"/>
        <v>100</v>
      </c>
      <c r="T42" s="705" t="s">
        <v>14</v>
      </c>
      <c r="U42" s="706">
        <f t="shared" si="11"/>
        <v>100</v>
      </c>
      <c r="V42" s="705" t="s">
        <v>14</v>
      </c>
      <c r="W42" s="706">
        <f t="shared" si="12"/>
        <v>100</v>
      </c>
      <c r="X42" s="1355"/>
      <c r="Y42" s="3809" t="s">
        <v>1678</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809"/>
      <c r="Q43" s="1352">
        <f t="shared" si="14"/>
        <v>111</v>
      </c>
      <c r="R43" s="705" t="s">
        <v>14</v>
      </c>
      <c r="S43" s="706">
        <f t="shared" si="10"/>
        <v>100</v>
      </c>
      <c r="T43" s="705" t="s">
        <v>14</v>
      </c>
      <c r="U43" s="706">
        <f t="shared" si="11"/>
        <v>100</v>
      </c>
      <c r="V43" s="705" t="s">
        <v>14</v>
      </c>
      <c r="W43" s="706">
        <f t="shared" si="12"/>
        <v>100</v>
      </c>
      <c r="X43" s="1355"/>
      <c r="Y43" s="38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809"/>
      <c r="Q44" s="1352">
        <f t="shared" si="14"/>
        <v>111</v>
      </c>
      <c r="R44" s="705" t="s">
        <v>14</v>
      </c>
      <c r="S44" s="706">
        <f t="shared" si="10"/>
        <v>100</v>
      </c>
      <c r="T44" s="705" t="s">
        <v>14</v>
      </c>
      <c r="U44" s="706">
        <f t="shared" si="11"/>
        <v>100</v>
      </c>
      <c r="V44" s="705" t="s">
        <v>14</v>
      </c>
      <c r="W44" s="706">
        <f t="shared" si="12"/>
        <v>100</v>
      </c>
      <c r="X44" s="1355"/>
      <c r="Y44" s="38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809"/>
      <c r="Q45" s="1352">
        <f t="shared" si="14"/>
        <v>111</v>
      </c>
      <c r="R45" s="708" t="s">
        <v>14</v>
      </c>
      <c r="S45" s="709">
        <f t="shared" si="10"/>
        <v>100</v>
      </c>
      <c r="T45" s="708" t="s">
        <v>14</v>
      </c>
      <c r="U45" s="709">
        <f t="shared" si="11"/>
        <v>100</v>
      </c>
      <c r="V45" s="708" t="s">
        <v>14</v>
      </c>
      <c r="W45" s="709">
        <f t="shared" si="12"/>
        <v>100</v>
      </c>
      <c r="X45" s="710"/>
      <c r="Y45" s="3809"/>
      <c r="Z45" s="711">
        <f t="shared" si="13"/>
        <v>111</v>
      </c>
      <c r="AA45" s="1353">
        <f t="shared" si="3"/>
        <v>1</v>
      </c>
      <c r="AB45" s="1353">
        <f t="shared" si="4"/>
        <v>1</v>
      </c>
      <c r="AC45" s="1353">
        <f t="shared" si="5"/>
        <v>1</v>
      </c>
    </row>
    <row r="46" spans="1:29" ht="15">
      <c r="A46" s="430" t="s">
        <v>1826</v>
      </c>
      <c r="B46" s="1982" t="s">
        <v>1861</v>
      </c>
      <c r="C46" s="630" t="s">
        <v>0</v>
      </c>
      <c r="D46" s="432"/>
      <c r="E46" s="433"/>
      <c r="F46" s="434"/>
      <c r="G46" s="435"/>
      <c r="H46" s="436"/>
      <c r="I46" s="433"/>
      <c r="J46" s="436"/>
      <c r="K46" s="714"/>
      <c r="L46" s="2700"/>
      <c r="M46" s="2701"/>
      <c r="N46" s="2692"/>
      <c r="O46" s="2701"/>
      <c r="P46" s="3811" t="str">
        <f>A46</f>
        <v>成交单价</v>
      </c>
      <c r="Q46" s="3811"/>
      <c r="R46" s="3799">
        <f>E46</f>
        <v>0</v>
      </c>
      <c r="S46" s="3799"/>
      <c r="T46" s="3799">
        <f>G46</f>
        <v>0</v>
      </c>
      <c r="U46" s="3799"/>
      <c r="V46" s="3799">
        <f>I46</f>
        <v>0</v>
      </c>
      <c r="W46" s="3799"/>
      <c r="X46" s="690"/>
      <c r="Y46" s="712"/>
      <c r="Z46" s="690"/>
      <c r="AA46" s="690"/>
      <c r="AB46" s="690"/>
      <c r="AC46" s="690"/>
    </row>
    <row r="47" spans="1:29" ht="15.75" thickBot="1">
      <c r="A47" s="437" t="s">
        <v>1775</v>
      </c>
      <c r="B47" s="631"/>
      <c r="C47" s="440" t="e">
        <f>R48</f>
        <v>#DIV/0!</v>
      </c>
      <c r="D47" s="2317" t="s">
        <v>2120</v>
      </c>
      <c r="E47" s="440" t="e">
        <f>R47</f>
        <v>#DIV/0!</v>
      </c>
      <c r="F47" s="2318"/>
      <c r="G47" s="439" t="e">
        <f>T47</f>
        <v>#DIV/0!</v>
      </c>
      <c r="H47" s="2318"/>
      <c r="I47" s="440" t="e">
        <f>V47</f>
        <v>#DIV/0!</v>
      </c>
      <c r="J47" s="2318"/>
      <c r="K47" s="2320">
        <f>F47+H47+J47</f>
        <v>0</v>
      </c>
      <c r="L47" s="2700"/>
      <c r="M47" s="2701"/>
      <c r="N47" s="2701"/>
      <c r="O47" s="2701"/>
      <c r="P47" s="3811" t="str">
        <f>A47</f>
        <v>比较价值（元/平方米）</v>
      </c>
      <c r="Q47" s="3811"/>
      <c r="R47" s="3877" t="e">
        <f>ROUND(PRODUCT(R46,AA7:AA45),0)</f>
        <v>#DIV/0!</v>
      </c>
      <c r="S47" s="3877"/>
      <c r="T47" s="3877" t="e">
        <f>ROUND(PRODUCT(T46,AB7:AB45),0)</f>
        <v>#DIV/0!</v>
      </c>
      <c r="U47" s="3877"/>
      <c r="V47" s="3877" t="e">
        <f>ROUND(PRODUCT(V46,AC7:AC45),0)</f>
        <v>#DIV/0!</v>
      </c>
      <c r="W47" s="3877"/>
      <c r="X47" s="690"/>
      <c r="Y47" s="690"/>
      <c r="Z47" s="690"/>
      <c r="AA47" s="690"/>
      <c r="AB47" s="690"/>
      <c r="AC47" s="690"/>
    </row>
    <row r="48" spans="1:29" ht="15.75" thickBot="1">
      <c r="A48" s="441" t="s">
        <v>1862</v>
      </c>
      <c r="B48" s="442"/>
      <c r="C48" s="443" t="e">
        <f>R48</f>
        <v>#DIV/0!</v>
      </c>
      <c r="D48" s="443"/>
      <c r="E48" s="443"/>
      <c r="F48" s="443"/>
      <c r="G48" s="443"/>
      <c r="H48" s="443"/>
      <c r="I48" s="443"/>
      <c r="J48" s="443"/>
      <c r="K48" s="715"/>
      <c r="L48" s="2700"/>
      <c r="M48" s="2701"/>
      <c r="N48" s="2701"/>
      <c r="O48" s="2701"/>
      <c r="P48" s="3851" t="str">
        <f>A48</f>
        <v>估价对象XX用房的比较价值（楼面单价，元/平方米）</v>
      </c>
      <c r="Q48" s="3852"/>
      <c r="R48" s="3878" t="e">
        <f>ROUND(IF(D47="简单平均",AVERAGE(R47:W47),R47*F47+T47*H47+V47*J47),0)</f>
        <v>#DIV/0!</v>
      </c>
      <c r="S48" s="3878"/>
      <c r="T48" s="3878"/>
      <c r="U48" s="3878"/>
      <c r="V48" s="3878"/>
      <c r="W48" s="3878"/>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1863</v>
      </c>
      <c r="B55" s="633" t="s">
        <v>1864</v>
      </c>
      <c r="C55" s="1983" t="s">
        <v>1865</v>
      </c>
      <c r="D55" s="1984" t="s">
        <v>1866</v>
      </c>
      <c r="E55" s="634" t="s">
        <v>1867</v>
      </c>
      <c r="F55" s="890" t="s">
        <v>1868</v>
      </c>
      <c r="G55" s="3786" t="s">
        <v>1869</v>
      </c>
      <c r="H55" s="3879"/>
      <c r="I55" s="135" t="s">
        <v>1870</v>
      </c>
      <c r="J55" s="1985">
        <f>项目基本情况!F35</f>
        <v>0</v>
      </c>
      <c r="K55" s="1986" t="s">
        <v>1871</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1872</v>
      </c>
      <c r="B56" s="637" t="e">
        <f>C48</f>
        <v>#DIV/0!</v>
      </c>
      <c r="C56" s="638">
        <v>1</v>
      </c>
      <c r="D56" s="944">
        <v>1</v>
      </c>
      <c r="E56" s="638">
        <f>'数据-汇总表'!E8+'数据-汇总表'!E9</f>
        <v>25613.089999999997</v>
      </c>
      <c r="F56" s="886" t="e">
        <f t="shared" ref="F56:F64" si="15">ROUND(B56*E56/10000,0)</f>
        <v>#DIV/0!</v>
      </c>
      <c r="G56" s="3782"/>
      <c r="H56" s="3811"/>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1873</v>
      </c>
      <c r="B57" s="218" t="e">
        <f>ROUND($C$48*C57*D57,0)</f>
        <v>#DIV/0!</v>
      </c>
      <c r="C57" s="171">
        <f t="shared" ref="C57:C64" si="16">IF($C$55="北京市系数",I57,J57)</f>
        <v>0.7</v>
      </c>
      <c r="D57" s="945">
        <v>0.25</v>
      </c>
      <c r="E57" s="642"/>
      <c r="F57" s="886" t="e">
        <f t="shared" si="15"/>
        <v>#DIV/0!</v>
      </c>
      <c r="G57" s="2982" t="s">
        <v>1874</v>
      </c>
      <c r="H57" s="887" t="str">
        <f>项目基本情况!B37</f>
        <v>二级</v>
      </c>
      <c r="I57" s="891">
        <f>SUMIF(修正!A57:A68,H57,修正!B57:B68)</f>
        <v>0.7</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1875</v>
      </c>
      <c r="B58" s="218" t="e">
        <f t="shared" ref="B58:B64" si="17">ROUND($C$48*C58*D58,0)</f>
        <v>#DIV/0!</v>
      </c>
      <c r="C58" s="171">
        <f t="shared" si="16"/>
        <v>0.4</v>
      </c>
      <c r="D58" s="945">
        <v>0.25</v>
      </c>
      <c r="E58" s="642"/>
      <c r="F58" s="886" t="e">
        <f t="shared" si="15"/>
        <v>#DIV/0!</v>
      </c>
      <c r="G58" s="2983"/>
      <c r="H58" s="887" t="str">
        <f>项目基本情况!B37</f>
        <v>二级</v>
      </c>
      <c r="I58" s="891">
        <f>SUMIF(修正!A57:A68,H58,修正!C57:C68)</f>
        <v>0.4</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1876</v>
      </c>
      <c r="B59" s="218" t="e">
        <f t="shared" si="17"/>
        <v>#DIV/0!</v>
      </c>
      <c r="C59" s="171">
        <f t="shared" si="16"/>
        <v>0.3</v>
      </c>
      <c r="D59" s="945">
        <v>0.25</v>
      </c>
      <c r="E59" s="642"/>
      <c r="F59" s="886" t="e">
        <f t="shared" si="15"/>
        <v>#DIV/0!</v>
      </c>
      <c r="G59" s="2983"/>
      <c r="H59" s="887" t="str">
        <f>项目基本情况!B37</f>
        <v>二级</v>
      </c>
      <c r="I59" s="891">
        <f>SUMIF(修正!A57:A68,H59,修正!D57:D68)</f>
        <v>0.3</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1877</v>
      </c>
      <c r="B60" s="218" t="e">
        <f t="shared" si="17"/>
        <v>#DIV/0!</v>
      </c>
      <c r="C60" s="171">
        <f t="shared" si="16"/>
        <v>0.3</v>
      </c>
      <c r="D60" s="945">
        <v>0.25</v>
      </c>
      <c r="E60" s="217">
        <f>'数据-汇总表'!E11</f>
        <v>0</v>
      </c>
      <c r="F60" s="886" t="e">
        <f t="shared" si="15"/>
        <v>#DIV/0!</v>
      </c>
      <c r="G60" s="1987" t="s">
        <v>1878</v>
      </c>
      <c r="H60" s="887" t="str">
        <f>项目基本情况!C37</f>
        <v>二级</v>
      </c>
      <c r="I60" s="891">
        <f>SUMIF(修正!A57:A68,H60,修正!E57:E68)</f>
        <v>0.3</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1879</v>
      </c>
      <c r="B61" s="218" t="e">
        <f t="shared" si="17"/>
        <v>#DIV/0!</v>
      </c>
      <c r="C61" s="171">
        <f t="shared" si="16"/>
        <v>0.3</v>
      </c>
      <c r="D61" s="945">
        <v>0.25</v>
      </c>
      <c r="E61" s="217">
        <f>'数据-汇总表'!E12</f>
        <v>0</v>
      </c>
      <c r="F61" s="886" t="e">
        <f t="shared" si="15"/>
        <v>#DIV/0!</v>
      </c>
      <c r="G61" s="892" t="s">
        <v>1880</v>
      </c>
      <c r="H61" s="887" t="str">
        <f>IF(G61="商业",项目基本情况!B37,IF(G61="办公",项目基本情况!C37,IF(G61="住宅",项目基本情况!D37,项目基本情况!E37)))</f>
        <v>二级</v>
      </c>
      <c r="I61" s="891">
        <f>SUMIF(修正!A57:A68,H61,修正!F57:F68)</f>
        <v>0.3</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1881</v>
      </c>
      <c r="B62" s="218" t="e">
        <f t="shared" si="17"/>
        <v>#DIV/0!</v>
      </c>
      <c r="C62" s="171">
        <f t="shared" si="16"/>
        <v>0</v>
      </c>
      <c r="D62" s="945">
        <v>0.25</v>
      </c>
      <c r="E62" s="217">
        <f>'数据-汇总表'!E13</f>
        <v>3229.7400000000016</v>
      </c>
      <c r="F62" s="886" t="e">
        <f t="shared" si="15"/>
        <v>#DIV/0!</v>
      </c>
      <c r="G62" s="892" t="s">
        <v>1882</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1883</v>
      </c>
      <c r="B63" s="218" t="e">
        <f t="shared" si="17"/>
        <v>#DIV/0!</v>
      </c>
      <c r="C63" s="171">
        <f t="shared" si="16"/>
        <v>0.2</v>
      </c>
      <c r="D63" s="945">
        <v>0.25</v>
      </c>
      <c r="E63" s="217">
        <f>'数据-汇总表'!E14</f>
        <v>0</v>
      </c>
      <c r="F63" s="886" t="e">
        <f t="shared" si="15"/>
        <v>#DIV/0!</v>
      </c>
      <c r="G63" s="1987" t="s">
        <v>1874</v>
      </c>
      <c r="H63" s="887" t="str">
        <f>项目基本情况!B37</f>
        <v>二级</v>
      </c>
      <c r="I63" s="891">
        <f>SUMIF(修正!A57:A68,H63,修正!G57:G68)</f>
        <v>0.2</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1884</v>
      </c>
      <c r="B64" s="218" t="e">
        <f t="shared" si="17"/>
        <v>#DIV/0!</v>
      </c>
      <c r="C64" s="171">
        <f t="shared" si="16"/>
        <v>0.2</v>
      </c>
      <c r="D64" s="945">
        <v>0.25</v>
      </c>
      <c r="E64" s="217">
        <f>'数据-汇总表'!E15</f>
        <v>0</v>
      </c>
      <c r="F64" s="886" t="e">
        <f t="shared" si="15"/>
        <v>#DIV/0!</v>
      </c>
      <c r="G64" s="1988" t="s">
        <v>1878</v>
      </c>
      <c r="H64" s="897" t="str">
        <f>项目基本情况!C37</f>
        <v>二级</v>
      </c>
      <c r="I64" s="893">
        <f>SUMIF(修正!A57:A68,H64,修正!G57:G68)</f>
        <v>0.2</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1885</v>
      </c>
      <c r="B65" s="644" t="s">
        <v>22</v>
      </c>
      <c r="C65" s="644" t="s">
        <v>23</v>
      </c>
      <c r="D65" s="644" t="s">
        <v>392</v>
      </c>
      <c r="E65" s="644">
        <f>IF(B46="楼面地价",SUM(E56:E64),'数据-汇总表'!D3)</f>
        <v>28842.829999999998</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01"/>
      <c r="Q67" s="2701"/>
      <c r="R67" s="2701"/>
      <c r="S67" s="2701"/>
      <c r="T67" s="2701"/>
      <c r="U67" s="2701"/>
      <c r="V67" s="2701"/>
      <c r="W67" s="2701"/>
      <c r="X67" s="2701"/>
      <c r="Y67" s="2701"/>
      <c r="Z67" s="2701"/>
      <c r="AA67" s="2701"/>
      <c r="AB67" s="2701"/>
      <c r="AC67" s="2701"/>
    </row>
    <row r="68" spans="1:29" ht="21.75" thickBot="1">
      <c r="A68" s="694" t="s">
        <v>1780</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9" t="s">
        <v>1886</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52"/>
      <c r="Q69" s="2717"/>
      <c r="R69" s="2717"/>
      <c r="S69" s="2717"/>
      <c r="T69" s="2717"/>
      <c r="U69" s="2717"/>
      <c r="V69" s="2717"/>
      <c r="W69" s="2717"/>
      <c r="X69" s="2717"/>
      <c r="Y69" s="2717"/>
      <c r="Z69" s="2717"/>
      <c r="AA69" s="2717"/>
      <c r="AB69" s="2717"/>
      <c r="AC69" s="2717"/>
    </row>
    <row r="70" spans="1:29" s="108" customFormat="1" ht="30" customHeight="1">
      <c r="A70" s="1990"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8"/>
      <c r="R70" s="2638"/>
      <c r="S70" s="2638"/>
      <c r="T70" s="2638"/>
      <c r="U70" s="2638"/>
      <c r="V70" s="2638"/>
      <c r="W70" s="2638"/>
      <c r="X70" s="2638"/>
      <c r="Y70" s="2638"/>
      <c r="Z70" s="2638"/>
      <c r="AA70" s="2638"/>
      <c r="AB70" s="2638"/>
      <c r="AC70" s="2638"/>
    </row>
    <row r="71" spans="1:29" s="108" customFormat="1" ht="15.75" thickBot="1">
      <c r="A71" s="464" t="s">
        <v>1698</v>
      </c>
      <c r="B71" s="465"/>
      <c r="C71" s="466"/>
      <c r="D71" s="467"/>
      <c r="E71" s="467"/>
      <c r="F71" s="467"/>
      <c r="G71" s="467"/>
      <c r="H71" s="467"/>
      <c r="I71" s="467"/>
      <c r="J71" s="467"/>
      <c r="K71" s="467"/>
      <c r="L71" s="467"/>
      <c r="M71" s="468"/>
      <c r="N71" s="467"/>
      <c r="O71" s="943"/>
      <c r="P71" s="2715"/>
      <c r="Q71" s="2715"/>
      <c r="R71" s="2638"/>
      <c r="S71" s="2638"/>
      <c r="T71" s="2638"/>
      <c r="U71" s="2638"/>
      <c r="V71" s="2638"/>
      <c r="W71" s="2638"/>
      <c r="X71" s="2638"/>
      <c r="Y71" s="2638"/>
      <c r="Z71" s="2638"/>
      <c r="AA71" s="2638"/>
      <c r="AB71" s="2638"/>
      <c r="AC71" s="2638"/>
    </row>
    <row r="72" spans="1:29" s="108" customFormat="1" ht="15">
      <c r="A72" s="470" t="s">
        <v>1663</v>
      </c>
      <c r="B72" s="459"/>
      <c r="C72" s="471" t="s">
        <v>1758</v>
      </c>
      <c r="D72" s="472"/>
      <c r="E72" s="472"/>
      <c r="F72" s="472"/>
      <c r="G72" s="472"/>
      <c r="H72" s="472"/>
      <c r="I72" s="472"/>
      <c r="J72" s="472"/>
      <c r="K72" s="472"/>
      <c r="L72" s="473"/>
      <c r="M72" s="474"/>
      <c r="N72" s="2728"/>
      <c r="O72" s="2728"/>
      <c r="P72" s="2753"/>
      <c r="Q72" s="2715"/>
      <c r="R72" s="2638"/>
      <c r="S72" s="2638"/>
      <c r="T72" s="2638"/>
      <c r="U72" s="2638"/>
      <c r="V72" s="2638"/>
      <c r="W72" s="2638"/>
      <c r="X72" s="2638"/>
      <c r="Y72" s="2638"/>
      <c r="Z72" s="2638"/>
      <c r="AA72" s="2638"/>
      <c r="AB72" s="2638"/>
      <c r="AC72" s="2638"/>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8"/>
      <c r="S73" s="2638"/>
      <c r="T73" s="2638"/>
      <c r="U73" s="2638"/>
      <c r="V73" s="2638"/>
      <c r="W73" s="2638"/>
      <c r="X73" s="2638"/>
      <c r="Y73" s="2638"/>
      <c r="Z73" s="2638"/>
      <c r="AA73" s="2638"/>
      <c r="AB73" s="2638"/>
      <c r="AC73" s="2638"/>
    </row>
    <row r="74" spans="1:29">
      <c r="A74" s="476" t="s">
        <v>1701</v>
      </c>
      <c r="B74" s="477" t="s">
        <v>1667</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1670</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1672</v>
      </c>
      <c r="B87" s="477" t="s">
        <v>1702</v>
      </c>
      <c r="C87" s="522" t="s">
        <v>1703</v>
      </c>
      <c r="D87" s="522" t="s">
        <v>1704</v>
      </c>
      <c r="E87" s="522" t="s">
        <v>1705</v>
      </c>
      <c r="F87" s="522" t="s">
        <v>1706</v>
      </c>
      <c r="G87" s="522" t="s">
        <v>1707</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1888</v>
      </c>
      <c r="C89" s="527" t="s">
        <v>1703</v>
      </c>
      <c r="D89" s="527" t="s">
        <v>1704</v>
      </c>
      <c r="E89" s="527" t="s">
        <v>1705</v>
      </c>
      <c r="F89" s="527" t="s">
        <v>1706</v>
      </c>
      <c r="G89" s="527" t="s">
        <v>1707</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1803</v>
      </c>
      <c r="C91" s="527" t="s">
        <v>1703</v>
      </c>
      <c r="D91" s="527" t="s">
        <v>1704</v>
      </c>
      <c r="E91" s="527" t="s">
        <v>1705</v>
      </c>
      <c r="F91" s="527" t="s">
        <v>1706</v>
      </c>
      <c r="G91" s="527" t="s">
        <v>1707</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1708</v>
      </c>
      <c r="C93" s="527" t="s">
        <v>1703</v>
      </c>
      <c r="D93" s="527" t="s">
        <v>1704</v>
      </c>
      <c r="E93" s="527" t="s">
        <v>1705</v>
      </c>
      <c r="F93" s="527" t="s">
        <v>1706</v>
      </c>
      <c r="G93" s="527" t="s">
        <v>1707</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1889</v>
      </c>
      <c r="C95" s="527" t="s">
        <v>1703</v>
      </c>
      <c r="D95" s="527" t="s">
        <v>1704</v>
      </c>
      <c r="E95" s="527" t="s">
        <v>1705</v>
      </c>
      <c r="F95" s="527" t="s">
        <v>1706</v>
      </c>
      <c r="G95" s="527" t="s">
        <v>1707</v>
      </c>
      <c r="H95" s="527"/>
      <c r="I95" s="527"/>
      <c r="J95" s="527"/>
      <c r="K95" s="527"/>
      <c r="L95" s="646"/>
      <c r="M95" s="570"/>
      <c r="N95" s="2728"/>
      <c r="O95" s="2728"/>
      <c r="P95" s="2754"/>
      <c r="Q95" s="2715"/>
      <c r="R95" s="2638"/>
      <c r="S95" s="2638"/>
      <c r="T95" s="2638"/>
      <c r="U95" s="2638"/>
      <c r="V95" s="2638"/>
      <c r="W95" s="2638"/>
      <c r="X95" s="2638"/>
      <c r="Y95" s="2638"/>
      <c r="Z95" s="2638"/>
      <c r="AA95" s="2638"/>
      <c r="AB95" s="2638"/>
      <c r="AC95" s="263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8"/>
      <c r="S96" s="2638"/>
      <c r="T96" s="2638"/>
      <c r="U96" s="2638"/>
      <c r="V96" s="2638"/>
      <c r="W96" s="2638"/>
      <c r="X96" s="2638"/>
      <c r="Y96" s="2638"/>
      <c r="Z96" s="2638"/>
      <c r="AA96" s="2638"/>
      <c r="AB96" s="2638"/>
      <c r="AC96" s="2638"/>
    </row>
    <row r="97" spans="1:29" s="108" customFormat="1" ht="27.75" thickTop="1">
      <c r="A97" s="528"/>
      <c r="B97" s="487" t="s">
        <v>1890</v>
      </c>
      <c r="C97" s="522" t="s">
        <v>1703</v>
      </c>
      <c r="D97" s="522" t="s">
        <v>1704</v>
      </c>
      <c r="E97" s="522" t="s">
        <v>1705</v>
      </c>
      <c r="F97" s="522" t="s">
        <v>1706</v>
      </c>
      <c r="G97" s="522" t="s">
        <v>1707</v>
      </c>
      <c r="H97" s="527"/>
      <c r="I97" s="527"/>
      <c r="J97" s="527"/>
      <c r="K97" s="527"/>
      <c r="L97" s="527"/>
      <c r="M97" s="570"/>
      <c r="N97" s="2728"/>
      <c r="O97" s="2728"/>
      <c r="P97" s="2754"/>
      <c r="Q97" s="2715"/>
      <c r="R97" s="2638"/>
      <c r="S97" s="2638"/>
      <c r="T97" s="2638"/>
      <c r="U97" s="2638"/>
      <c r="V97" s="2638"/>
      <c r="W97" s="2638"/>
      <c r="X97" s="2638"/>
      <c r="Y97" s="2638"/>
      <c r="Z97" s="2638"/>
      <c r="AA97" s="2638"/>
      <c r="AB97" s="2638"/>
      <c r="AC97" s="263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8"/>
      <c r="S98" s="2638"/>
      <c r="T98" s="2638"/>
      <c r="U98" s="2638"/>
      <c r="V98" s="2638"/>
      <c r="W98" s="2638"/>
      <c r="X98" s="2638"/>
      <c r="Y98" s="2638"/>
      <c r="Z98" s="2638"/>
      <c r="AA98" s="2638"/>
      <c r="AB98" s="2638"/>
      <c r="AC98" s="2638"/>
    </row>
    <row r="99" spans="1:29" s="422" customFormat="1" ht="15.75" thickTop="1">
      <c r="A99" s="502"/>
      <c r="B99" s="487" t="s">
        <v>1760</v>
      </c>
      <c r="C99" s="522" t="s">
        <v>1703</v>
      </c>
      <c r="D99" s="522" t="s">
        <v>1704</v>
      </c>
      <c r="E99" s="522" t="s">
        <v>1705</v>
      </c>
      <c r="F99" s="522" t="s">
        <v>1706</v>
      </c>
      <c r="G99" s="522" t="s">
        <v>1707</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1761</v>
      </c>
      <c r="C101" s="608" t="s">
        <v>1781</v>
      </c>
      <c r="D101" s="608" t="s">
        <v>1782</v>
      </c>
      <c r="E101" s="608" t="s">
        <v>1783</v>
      </c>
      <c r="F101" s="608" t="s">
        <v>1784</v>
      </c>
      <c r="G101" s="608" t="s">
        <v>1785</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1891</v>
      </c>
      <c r="D103" s="488" t="s">
        <v>1892</v>
      </c>
      <c r="E103" s="488" t="s">
        <v>1893</v>
      </c>
      <c r="F103" s="488" t="s">
        <v>1894</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1797</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1855</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1896</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1897</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1898</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1899</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1751</v>
      </c>
      <c r="B4" s="356"/>
      <c r="C4" s="3786" t="s">
        <v>1752</v>
      </c>
      <c r="D4" s="3787"/>
      <c r="E4" s="3788" t="s">
        <v>1753</v>
      </c>
      <c r="F4" s="3789"/>
      <c r="G4" s="3786" t="s">
        <v>1754</v>
      </c>
      <c r="H4" s="3787"/>
      <c r="I4" s="3786" t="s">
        <v>1755</v>
      </c>
      <c r="J4" s="3787"/>
      <c r="K4" s="559" t="s">
        <v>1756</v>
      </c>
      <c r="L4" s="2691"/>
      <c r="M4" s="2692"/>
      <c r="N4" s="2692"/>
      <c r="O4" s="2692"/>
      <c r="P4" s="3847" t="s">
        <v>1757</v>
      </c>
      <c r="Q4" s="3848"/>
      <c r="R4" s="3844" t="s">
        <v>1753</v>
      </c>
      <c r="S4" s="3845"/>
      <c r="T4" s="3844" t="s">
        <v>1754</v>
      </c>
      <c r="U4" s="3845"/>
      <c r="V4" s="3799" t="s">
        <v>1755</v>
      </c>
      <c r="W4" s="3799"/>
      <c r="X4" s="1355"/>
      <c r="Y4" s="3844" t="s">
        <v>1757</v>
      </c>
      <c r="Z4" s="3845"/>
      <c r="AA4" s="3843" t="s">
        <v>1753</v>
      </c>
      <c r="AB4" s="3766" t="s">
        <v>1754</v>
      </c>
      <c r="AC4" s="3843" t="s">
        <v>1755</v>
      </c>
    </row>
    <row r="5" spans="1:29" ht="15">
      <c r="A5" s="358"/>
      <c r="B5" s="359"/>
      <c r="C5" s="3776" t="s">
        <v>1655</v>
      </c>
      <c r="D5" s="3777"/>
      <c r="E5" s="3846" t="s">
        <v>1656</v>
      </c>
      <c r="F5" s="3775"/>
      <c r="G5" s="3776" t="s">
        <v>1657</v>
      </c>
      <c r="H5" s="3777"/>
      <c r="I5" s="3776" t="s">
        <v>1658</v>
      </c>
      <c r="J5" s="3777"/>
      <c r="K5" s="559"/>
      <c r="L5" s="2691"/>
      <c r="M5" s="2692"/>
      <c r="N5" s="2692"/>
      <c r="O5" s="2692"/>
      <c r="P5" s="3849"/>
      <c r="Q5" s="3793"/>
      <c r="R5" s="3772"/>
      <c r="S5" s="3773"/>
      <c r="T5" s="3772"/>
      <c r="U5" s="3773"/>
      <c r="V5" s="3799"/>
      <c r="W5" s="3799"/>
      <c r="X5" s="1355"/>
      <c r="Y5" s="3772"/>
      <c r="Z5" s="3773"/>
      <c r="AA5" s="3766"/>
      <c r="AB5" s="3766"/>
      <c r="AC5" s="3766"/>
    </row>
    <row r="6" spans="1:29" ht="15.75" thickBot="1">
      <c r="A6" s="360"/>
      <c r="B6" s="361"/>
      <c r="C6" s="3880" t="s">
        <v>1901</v>
      </c>
      <c r="D6" s="3881"/>
      <c r="E6" s="3882" t="s">
        <v>1901</v>
      </c>
      <c r="F6" s="3883"/>
      <c r="G6" s="3880" t="s">
        <v>1901</v>
      </c>
      <c r="H6" s="3881"/>
      <c r="I6" s="3880" t="s">
        <v>1901</v>
      </c>
      <c r="J6" s="3881"/>
      <c r="K6" s="559" t="s">
        <v>1660</v>
      </c>
      <c r="L6" s="2691"/>
      <c r="M6" s="2692"/>
      <c r="N6" s="2692"/>
      <c r="O6" s="2692"/>
      <c r="P6" s="3850"/>
      <c r="Q6" s="3795"/>
      <c r="R6" s="3772"/>
      <c r="S6" s="3773"/>
      <c r="T6" s="3796"/>
      <c r="U6" s="3797"/>
      <c r="V6" s="3799"/>
      <c r="W6" s="3799"/>
      <c r="X6" s="1355"/>
      <c r="Y6" s="3796"/>
      <c r="Z6" s="3797"/>
      <c r="AA6" s="3767"/>
      <c r="AB6" s="3767"/>
      <c r="AC6" s="3767"/>
    </row>
    <row r="7" spans="1:29" s="108" customFormat="1" ht="15.75" thickBot="1">
      <c r="A7" s="362" t="s">
        <v>1661</v>
      </c>
      <c r="B7" s="363"/>
      <c r="C7" s="364">
        <f>'数据-取费表'!B2</f>
        <v>45406</v>
      </c>
      <c r="D7" s="365">
        <v>100</v>
      </c>
      <c r="E7" s="366"/>
      <c r="F7" s="367">
        <f>SUMIF(65:65,YEAR(E7)&amp;"-"&amp;INT((MONTH(E7)+2)/3),66:66)</f>
        <v>0</v>
      </c>
      <c r="G7" s="1974"/>
      <c r="H7" s="365">
        <f>SUMIF(65:65,YEAR(G7)&amp;"-"&amp;INT((MONTH(G7)+2)/3),66:66)</f>
        <v>0</v>
      </c>
      <c r="I7" s="1974"/>
      <c r="J7" s="365">
        <f>SUMIF(65:65,YEAR(I7)&amp;"-"&amp;INT((MONTH(I7)+2)/3),66:66)</f>
        <v>0</v>
      </c>
      <c r="K7" s="560"/>
      <c r="L7" s="2693"/>
      <c r="M7" s="2694"/>
      <c r="N7" s="2694"/>
      <c r="O7" s="2694"/>
      <c r="P7" s="3768" t="s">
        <v>1662</v>
      </c>
      <c r="Q7" s="3801"/>
      <c r="R7" s="701" t="s">
        <v>14</v>
      </c>
      <c r="S7" s="702">
        <f t="shared" ref="S7:S15" si="0">F7</f>
        <v>0</v>
      </c>
      <c r="T7" s="701" t="s">
        <v>14</v>
      </c>
      <c r="U7" s="702">
        <f t="shared" ref="U7:U15" si="1">H7</f>
        <v>0</v>
      </c>
      <c r="V7" s="701" t="s">
        <v>14</v>
      </c>
      <c r="W7" s="702">
        <f t="shared" ref="W7:W15" si="2">J7</f>
        <v>0</v>
      </c>
      <c r="X7" s="703"/>
      <c r="Y7" s="3768" t="s">
        <v>1662</v>
      </c>
      <c r="Z7" s="3769"/>
      <c r="AA7" s="704" t="e">
        <f>D7/F7</f>
        <v>#DIV/0!</v>
      </c>
      <c r="AB7" s="704" t="e">
        <f>D7/H7</f>
        <v>#DIV/0!</v>
      </c>
      <c r="AC7" s="704" t="e">
        <f>D7/J7</f>
        <v>#DIV/0!</v>
      </c>
    </row>
    <row r="8" spans="1:29" s="108" customFormat="1" ht="15.7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768" t="s">
        <v>1665</v>
      </c>
      <c r="Q8" s="3769"/>
      <c r="R8" s="701" t="s">
        <v>14</v>
      </c>
      <c r="S8" s="702">
        <f t="shared" si="0"/>
        <v>0</v>
      </c>
      <c r="T8" s="701" t="s">
        <v>14</v>
      </c>
      <c r="U8" s="702">
        <f t="shared" si="1"/>
        <v>0</v>
      </c>
      <c r="V8" s="701" t="s">
        <v>14</v>
      </c>
      <c r="W8" s="702">
        <f t="shared" si="2"/>
        <v>0</v>
      </c>
      <c r="X8" s="703"/>
      <c r="Y8" s="3768" t="s">
        <v>1665</v>
      </c>
      <c r="Z8" s="3769"/>
      <c r="AA8" s="704" t="e">
        <f t="shared" ref="AA8:AA40" si="3">D8/F8</f>
        <v>#DIV/0!</v>
      </c>
      <c r="AB8" s="704" t="e">
        <f t="shared" ref="AB8:AB40" si="4">D8/H8</f>
        <v>#DIV/0!</v>
      </c>
      <c r="AC8" s="704" t="e">
        <f t="shared" ref="AC8:AC40" si="5">D8/J8</f>
        <v>#DIV/0!</v>
      </c>
    </row>
    <row r="9" spans="1:29" s="108" customFormat="1">
      <c r="A9" s="369" t="s">
        <v>1666</v>
      </c>
      <c r="B9" s="63" t="s">
        <v>1667</v>
      </c>
      <c r="C9" s="1977"/>
      <c r="D9" s="126">
        <v>100</v>
      </c>
      <c r="E9" s="1977"/>
      <c r="F9" s="126">
        <f>SUMIF(70:70,E9,71:71)-SUMIF(70:70,C9,71:71)+100</f>
        <v>100</v>
      </c>
      <c r="G9" s="1977"/>
      <c r="H9" s="126">
        <f>SUMIF(70:70,G9,71:71)-SUMIF(70:70,C9,71:71)+100</f>
        <v>100</v>
      </c>
      <c r="I9" s="1977"/>
      <c r="J9" s="126">
        <f>SUMIF(70:70,I9,71:71)-SUMIF(70:70,C9,71:71)+100</f>
        <v>100</v>
      </c>
      <c r="K9" s="560"/>
      <c r="L9" s="2693"/>
      <c r="M9" s="2694"/>
      <c r="N9" s="2694"/>
      <c r="O9" s="2748"/>
      <c r="P9" s="3811" t="s">
        <v>1668</v>
      </c>
      <c r="Q9" s="1343" t="str">
        <f t="shared" ref="Q9:Q15" si="6">B9</f>
        <v>用途</v>
      </c>
      <c r="R9" s="701" t="s">
        <v>14</v>
      </c>
      <c r="S9" s="702">
        <f t="shared" si="0"/>
        <v>100</v>
      </c>
      <c r="T9" s="701" t="s">
        <v>14</v>
      </c>
      <c r="U9" s="702">
        <f t="shared" si="1"/>
        <v>100</v>
      </c>
      <c r="V9" s="701" t="s">
        <v>14</v>
      </c>
      <c r="W9" s="702">
        <f t="shared" si="2"/>
        <v>100</v>
      </c>
      <c r="X9" s="703"/>
      <c r="Y9" s="3741" t="s">
        <v>1669</v>
      </c>
      <c r="Z9" s="52" t="str">
        <f t="shared" ref="Z9:Z15" si="7">Q9</f>
        <v>用途</v>
      </c>
      <c r="AA9" s="704">
        <f t="shared" si="3"/>
        <v>1</v>
      </c>
      <c r="AB9" s="704">
        <f t="shared" si="4"/>
        <v>1</v>
      </c>
      <c r="AC9" s="704">
        <f t="shared" si="5"/>
        <v>1</v>
      </c>
    </row>
    <row r="10" spans="1:29" s="378" customFormat="1" ht="27">
      <c r="A10" s="374"/>
      <c r="B10" s="375" t="s">
        <v>1670</v>
      </c>
      <c r="C10" s="383"/>
      <c r="D10" s="127">
        <v>100</v>
      </c>
      <c r="E10" s="383"/>
      <c r="F10" s="127">
        <f>ROUND(100/'数据-取费表'!G16,0)</f>
        <v>143</v>
      </c>
      <c r="G10" s="383"/>
      <c r="H10" s="127">
        <f>ROUND(100/'数据-取费表'!G16,0)</f>
        <v>143</v>
      </c>
      <c r="I10" s="383"/>
      <c r="J10" s="127">
        <f>ROUND(100/'数据-取费表'!G16,0)</f>
        <v>143</v>
      </c>
      <c r="K10" s="620"/>
      <c r="L10" s="2695"/>
      <c r="M10" s="2696"/>
      <c r="N10" s="2696"/>
      <c r="O10" s="2749"/>
      <c r="P10" s="3811"/>
      <c r="Q10" s="1343" t="str">
        <f t="shared" si="6"/>
        <v>土地使用年限（年）</v>
      </c>
      <c r="R10" s="701" t="s">
        <v>14</v>
      </c>
      <c r="S10" s="702">
        <f t="shared" si="0"/>
        <v>143</v>
      </c>
      <c r="T10" s="701" t="s">
        <v>14</v>
      </c>
      <c r="U10" s="702">
        <f t="shared" si="1"/>
        <v>143</v>
      </c>
      <c r="V10" s="701" t="s">
        <v>14</v>
      </c>
      <c r="W10" s="702">
        <f t="shared" si="2"/>
        <v>143</v>
      </c>
      <c r="X10" s="703"/>
      <c r="Y10" s="3741"/>
      <c r="Z10" s="52" t="str">
        <f t="shared" si="7"/>
        <v>土地使用年限（年）</v>
      </c>
      <c r="AA10" s="704">
        <f t="shared" si="3"/>
        <v>0.69930069930069927</v>
      </c>
      <c r="AB10" s="704">
        <f t="shared" si="4"/>
        <v>0.69930069930069927</v>
      </c>
      <c r="AC10" s="704">
        <f t="shared" si="5"/>
        <v>0.69930069930069927</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811"/>
      <c r="Q11" s="1343" t="str">
        <f t="shared" si="6"/>
        <v>容积率</v>
      </c>
      <c r="R11" s="701" t="s">
        <v>14</v>
      </c>
      <c r="S11" s="702" t="e">
        <f t="shared" si="0"/>
        <v>#N/A</v>
      </c>
      <c r="T11" s="701" t="s">
        <v>14</v>
      </c>
      <c r="U11" s="702" t="e">
        <f t="shared" si="1"/>
        <v>#N/A</v>
      </c>
      <c r="V11" s="701" t="s">
        <v>14</v>
      </c>
      <c r="W11" s="702" t="e">
        <f t="shared" si="2"/>
        <v>#N/A</v>
      </c>
      <c r="X11" s="703"/>
      <c r="Y11" s="37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811"/>
      <c r="Q12" s="1343">
        <f t="shared" si="6"/>
        <v>111</v>
      </c>
      <c r="R12" s="701" t="s">
        <v>14</v>
      </c>
      <c r="S12" s="702">
        <f t="shared" si="0"/>
        <v>100</v>
      </c>
      <c r="T12" s="701" t="s">
        <v>14</v>
      </c>
      <c r="U12" s="702">
        <f t="shared" si="1"/>
        <v>100</v>
      </c>
      <c r="V12" s="701" t="s">
        <v>14</v>
      </c>
      <c r="W12" s="702">
        <f t="shared" si="2"/>
        <v>100</v>
      </c>
      <c r="X12" s="703"/>
      <c r="Y12" s="37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811"/>
      <c r="Q13" s="1343">
        <f t="shared" si="6"/>
        <v>111</v>
      </c>
      <c r="R13" s="701" t="s">
        <v>14</v>
      </c>
      <c r="S13" s="702">
        <f t="shared" si="0"/>
        <v>100</v>
      </c>
      <c r="T13" s="701" t="s">
        <v>14</v>
      </c>
      <c r="U13" s="702">
        <f t="shared" si="1"/>
        <v>100</v>
      </c>
      <c r="V13" s="701" t="s">
        <v>14</v>
      </c>
      <c r="W13" s="702">
        <f t="shared" si="2"/>
        <v>100</v>
      </c>
      <c r="X13" s="703"/>
      <c r="Y13" s="37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811"/>
      <c r="Q14" s="1343">
        <f t="shared" si="6"/>
        <v>111</v>
      </c>
      <c r="R14" s="701" t="s">
        <v>14</v>
      </c>
      <c r="S14" s="702">
        <f t="shared" si="0"/>
        <v>100</v>
      </c>
      <c r="T14" s="701" t="s">
        <v>14</v>
      </c>
      <c r="U14" s="702">
        <f t="shared" si="1"/>
        <v>100</v>
      </c>
      <c r="V14" s="701" t="s">
        <v>14</v>
      </c>
      <c r="W14" s="702">
        <f t="shared" si="2"/>
        <v>100</v>
      </c>
      <c r="X14" s="703"/>
      <c r="Y14" s="3741"/>
      <c r="Z14" s="52">
        <f t="shared" si="7"/>
        <v>111</v>
      </c>
      <c r="AA14" s="704">
        <f t="shared" si="3"/>
        <v>1</v>
      </c>
      <c r="AB14" s="704">
        <f t="shared" si="4"/>
        <v>1</v>
      </c>
      <c r="AC14" s="704">
        <f t="shared" si="5"/>
        <v>1</v>
      </c>
    </row>
    <row r="15" spans="1:29" ht="57">
      <c r="A15" s="391" t="s">
        <v>1672</v>
      </c>
      <c r="B15" s="577" t="s">
        <v>1902</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804" t="s">
        <v>1673</v>
      </c>
      <c r="Q15" s="1352" t="str">
        <f t="shared" si="6"/>
        <v>产业集聚程度</v>
      </c>
      <c r="R15" s="705" t="s">
        <v>14</v>
      </c>
      <c r="S15" s="706">
        <f t="shared" si="0"/>
        <v>100</v>
      </c>
      <c r="T15" s="705" t="s">
        <v>14</v>
      </c>
      <c r="U15" s="706">
        <f t="shared" si="1"/>
        <v>100</v>
      </c>
      <c r="V15" s="705" t="s">
        <v>14</v>
      </c>
      <c r="W15" s="706">
        <f t="shared" si="2"/>
        <v>100</v>
      </c>
      <c r="X15" s="1355"/>
      <c r="Y15" s="3804" t="s">
        <v>1673</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8"/>
      <c r="M16" s="2692"/>
      <c r="N16" s="2692"/>
      <c r="O16" s="2750"/>
      <c r="P16" s="3805"/>
      <c r="Q16" s="1352"/>
      <c r="R16" s="705"/>
      <c r="S16" s="706"/>
      <c r="T16" s="705"/>
      <c r="U16" s="706"/>
      <c r="V16" s="705"/>
      <c r="W16" s="706"/>
      <c r="X16" s="1355"/>
      <c r="Y16" s="3805"/>
      <c r="Z16" s="1356"/>
      <c r="AA16" s="1353">
        <v>1</v>
      </c>
      <c r="AB16" s="1353">
        <v>1</v>
      </c>
      <c r="AC16" s="1353">
        <v>1</v>
      </c>
    </row>
    <row r="17" spans="1:29" ht="85.5">
      <c r="A17" s="379"/>
      <c r="B17" s="579" t="s">
        <v>1815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805"/>
      <c r="Q17" s="1352" t="str">
        <f>B17</f>
        <v>交通便捷度</v>
      </c>
      <c r="R17" s="705" t="s">
        <v>14</v>
      </c>
      <c r="S17" s="706">
        <f>F17</f>
        <v>100</v>
      </c>
      <c r="T17" s="705" t="s">
        <v>14</v>
      </c>
      <c r="U17" s="706">
        <f>H17</f>
        <v>100</v>
      </c>
      <c r="V17" s="705" t="s">
        <v>14</v>
      </c>
      <c r="W17" s="706">
        <f>J17</f>
        <v>100</v>
      </c>
      <c r="X17" s="1355"/>
      <c r="Y17" s="38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8"/>
      <c r="M18" s="2692"/>
      <c r="N18" s="2692"/>
      <c r="O18" s="2750"/>
      <c r="P18" s="3805"/>
      <c r="Q18" s="1352"/>
      <c r="R18" s="705"/>
      <c r="S18" s="706"/>
      <c r="T18" s="705"/>
      <c r="U18" s="706"/>
      <c r="V18" s="705"/>
      <c r="W18" s="706"/>
      <c r="X18" s="1355"/>
      <c r="Y18" s="3805"/>
      <c r="Z18" s="1356"/>
      <c r="AA18" s="1353">
        <v>1</v>
      </c>
      <c r="AB18" s="1353">
        <v>1</v>
      </c>
      <c r="AC18" s="1353">
        <v>1</v>
      </c>
    </row>
    <row r="19" spans="1:29" ht="15">
      <c r="A19" s="379"/>
      <c r="B19" s="579" t="s">
        <v>1853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805"/>
      <c r="Q19" s="1352" t="str">
        <f t="shared" ref="Q19:Q33" si="8">B19</f>
        <v>区域土地利用方向</v>
      </c>
      <c r="R19" s="705" t="s">
        <v>14</v>
      </c>
      <c r="S19" s="706">
        <f>F19</f>
        <v>100</v>
      </c>
      <c r="T19" s="705" t="s">
        <v>14</v>
      </c>
      <c r="U19" s="706">
        <f>H19</f>
        <v>100</v>
      </c>
      <c r="V19" s="705" t="s">
        <v>14</v>
      </c>
      <c r="W19" s="706">
        <f>J19</f>
        <v>100</v>
      </c>
      <c r="X19" s="1355"/>
      <c r="Y19" s="38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8"/>
      <c r="M20" s="2692"/>
      <c r="N20" s="2692"/>
      <c r="O20" s="2750"/>
      <c r="P20" s="3805"/>
      <c r="Q20" s="1352"/>
      <c r="R20" s="705"/>
      <c r="S20" s="706"/>
      <c r="T20" s="705"/>
      <c r="U20" s="706"/>
      <c r="V20" s="705"/>
      <c r="W20" s="706"/>
      <c r="X20" s="1355"/>
      <c r="Y20" s="3805"/>
      <c r="Z20" s="1356"/>
      <c r="AA20" s="1353"/>
      <c r="AB20" s="1353"/>
      <c r="AC20" s="1353"/>
    </row>
    <row r="21" spans="1:29" ht="71.25">
      <c r="A21" s="358"/>
      <c r="B21" s="579" t="s">
        <v>1903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805"/>
      <c r="Q21" s="1352" t="str">
        <f t="shared" si="8"/>
        <v>环境状况</v>
      </c>
      <c r="R21" s="705" t="s">
        <v>14</v>
      </c>
      <c r="S21" s="706">
        <f>F21</f>
        <v>100</v>
      </c>
      <c r="T21" s="705" t="s">
        <v>14</v>
      </c>
      <c r="U21" s="706">
        <f>H21</f>
        <v>100</v>
      </c>
      <c r="V21" s="705" t="s">
        <v>14</v>
      </c>
      <c r="W21" s="706">
        <f>J21</f>
        <v>100</v>
      </c>
      <c r="X21" s="1355"/>
      <c r="Y21" s="38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8"/>
      <c r="M22" s="2692"/>
      <c r="N22" s="2692"/>
      <c r="O22" s="2750"/>
      <c r="P22" s="3805"/>
      <c r="Q22" s="1352"/>
      <c r="R22" s="705"/>
      <c r="S22" s="706"/>
      <c r="T22" s="705"/>
      <c r="U22" s="706"/>
      <c r="V22" s="705"/>
      <c r="W22" s="706"/>
      <c r="X22" s="1355"/>
      <c r="Y22" s="3805"/>
      <c r="Z22" s="1356"/>
      <c r="AA22" s="1353">
        <v>1</v>
      </c>
      <c r="AB22" s="1353">
        <v>1</v>
      </c>
      <c r="AC22" s="1353">
        <v>1</v>
      </c>
    </row>
    <row r="23" spans="1:29" s="108" customFormat="1" ht="42.75">
      <c r="A23" s="597"/>
      <c r="B23" s="581" t="s">
        <v>1760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805"/>
      <c r="Q23" s="1343" t="str">
        <f t="shared" si="8"/>
        <v>公共配套设施</v>
      </c>
      <c r="R23" s="701" t="s">
        <v>14</v>
      </c>
      <c r="S23" s="702">
        <f>F23</f>
        <v>100</v>
      </c>
      <c r="T23" s="701" t="s">
        <v>14</v>
      </c>
      <c r="U23" s="702">
        <f>H23</f>
        <v>100</v>
      </c>
      <c r="V23" s="701" t="s">
        <v>14</v>
      </c>
      <c r="W23" s="702">
        <f>J23</f>
        <v>100</v>
      </c>
      <c r="X23" s="703"/>
      <c r="Y23" s="38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3"/>
      <c r="M24" s="2694"/>
      <c r="N24" s="2694"/>
      <c r="O24" s="2748"/>
      <c r="P24" s="3805"/>
      <c r="Q24" s="1343"/>
      <c r="R24" s="701"/>
      <c r="S24" s="702"/>
      <c r="T24" s="701"/>
      <c r="U24" s="702"/>
      <c r="V24" s="701"/>
      <c r="W24" s="702"/>
      <c r="X24" s="703"/>
      <c r="Y24" s="3805"/>
      <c r="Z24" s="52"/>
      <c r="AA24" s="704">
        <v>1</v>
      </c>
      <c r="AB24" s="704">
        <v>1</v>
      </c>
      <c r="AC24" s="704">
        <v>1</v>
      </c>
    </row>
    <row r="25" spans="1:29" s="108" customFormat="1" ht="28.5">
      <c r="A25" s="597"/>
      <c r="B25" s="581" t="s">
        <v>1761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805"/>
      <c r="Q25" s="1343" t="str">
        <f t="shared" ref="Q25" si="9">B25</f>
        <v>基础设施水平</v>
      </c>
      <c r="R25" s="701" t="s">
        <v>14</v>
      </c>
      <c r="S25" s="702">
        <f>F25</f>
        <v>100</v>
      </c>
      <c r="T25" s="701" t="s">
        <v>14</v>
      </c>
      <c r="U25" s="702">
        <f>H25</f>
        <v>100</v>
      </c>
      <c r="V25" s="701" t="s">
        <v>14</v>
      </c>
      <c r="W25" s="702">
        <f>J25</f>
        <v>100</v>
      </c>
      <c r="X25" s="703"/>
      <c r="Y25" s="38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3"/>
      <c r="M26" s="2694"/>
      <c r="N26" s="2694"/>
      <c r="O26" s="2748"/>
      <c r="P26" s="3805"/>
      <c r="Q26" s="1343"/>
      <c r="R26" s="701"/>
      <c r="S26" s="702"/>
      <c r="T26" s="701"/>
      <c r="U26" s="702"/>
      <c r="V26" s="701"/>
      <c r="W26" s="702"/>
      <c r="X26" s="703"/>
      <c r="Y26" s="3805"/>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8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05"/>
      <c r="Z27" s="1356" t="str">
        <f t="shared" ref="Z27:Z40" si="13">Q27</f>
        <v>临街状况</v>
      </c>
      <c r="AA27" s="1353">
        <f t="shared" si="3"/>
        <v>1</v>
      </c>
      <c r="AB27" s="1353">
        <f t="shared" si="4"/>
        <v>1</v>
      </c>
      <c r="AC27" s="1353">
        <f t="shared" si="5"/>
        <v>1</v>
      </c>
    </row>
    <row r="28" spans="1:29" ht="27">
      <c r="A28" s="379"/>
      <c r="B28" s="581" t="s">
        <v>1797</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805"/>
      <c r="Q28" s="1352" t="str">
        <f t="shared" si="8"/>
        <v>毗邻道路的类型与等级</v>
      </c>
      <c r="R28" s="705" t="s">
        <v>14</v>
      </c>
      <c r="S28" s="706">
        <f t="shared" si="10"/>
        <v>100</v>
      </c>
      <c r="T28" s="705" t="s">
        <v>14</v>
      </c>
      <c r="U28" s="706">
        <f t="shared" si="11"/>
        <v>100</v>
      </c>
      <c r="V28" s="705" t="s">
        <v>14</v>
      </c>
      <c r="W28" s="706">
        <f t="shared" si="12"/>
        <v>100</v>
      </c>
      <c r="X28" s="1355"/>
      <c r="Y28" s="38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8"/>
      <c r="M29" s="2692"/>
      <c r="N29" s="2692"/>
      <c r="O29" s="2750"/>
      <c r="P29" s="3805"/>
      <c r="Q29" s="1352"/>
      <c r="R29" s="705"/>
      <c r="S29" s="706"/>
      <c r="T29" s="705"/>
      <c r="U29" s="706"/>
      <c r="V29" s="705"/>
      <c r="W29" s="706"/>
      <c r="X29" s="1355"/>
      <c r="Y29" s="3805"/>
      <c r="Z29" s="1356"/>
      <c r="AA29" s="1353">
        <v>1</v>
      </c>
      <c r="AB29" s="1353">
        <v>1</v>
      </c>
      <c r="AC29" s="1353">
        <v>1</v>
      </c>
    </row>
    <row r="30" spans="1:29" ht="15">
      <c r="A30" s="379"/>
      <c r="B30" s="602" t="s">
        <v>1855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805"/>
      <c r="Q30" s="1352" t="str">
        <f t="shared" si="8"/>
        <v>土地级别</v>
      </c>
      <c r="R30" s="705" t="s">
        <v>14</v>
      </c>
      <c r="S30" s="706">
        <f t="shared" si="10"/>
        <v>100</v>
      </c>
      <c r="T30" s="705" t="s">
        <v>14</v>
      </c>
      <c r="U30" s="706">
        <f t="shared" si="11"/>
        <v>100</v>
      </c>
      <c r="V30" s="705" t="s">
        <v>14</v>
      </c>
      <c r="W30" s="706">
        <f t="shared" si="12"/>
        <v>100</v>
      </c>
      <c r="X30" s="1355"/>
      <c r="Y30" s="38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805"/>
      <c r="Q31" s="1352">
        <f t="shared" si="8"/>
        <v>111</v>
      </c>
      <c r="R31" s="705" t="s">
        <v>14</v>
      </c>
      <c r="S31" s="706">
        <f t="shared" si="10"/>
        <v>100</v>
      </c>
      <c r="T31" s="705" t="s">
        <v>14</v>
      </c>
      <c r="U31" s="706">
        <f t="shared" si="11"/>
        <v>100</v>
      </c>
      <c r="V31" s="705" t="s">
        <v>14</v>
      </c>
      <c r="W31" s="706">
        <f t="shared" si="12"/>
        <v>100</v>
      </c>
      <c r="X31" s="1355"/>
      <c r="Y31" s="38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875" t="s">
        <v>1678</v>
      </c>
      <c r="Q32" s="1352">
        <f t="shared" si="8"/>
        <v>111</v>
      </c>
      <c r="R32" s="705" t="s">
        <v>14</v>
      </c>
      <c r="S32" s="706">
        <f t="shared" si="10"/>
        <v>100</v>
      </c>
      <c r="T32" s="705" t="s">
        <v>14</v>
      </c>
      <c r="U32" s="706">
        <f t="shared" si="11"/>
        <v>100</v>
      </c>
      <c r="V32" s="705" t="s">
        <v>14</v>
      </c>
      <c r="W32" s="706">
        <f t="shared" si="12"/>
        <v>100</v>
      </c>
      <c r="X32" s="1355"/>
      <c r="Y32" s="3809" t="s">
        <v>1678</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809"/>
      <c r="Q33" s="1352">
        <f t="shared" si="8"/>
        <v>111</v>
      </c>
      <c r="R33" s="708" t="s">
        <v>14</v>
      </c>
      <c r="S33" s="709">
        <f t="shared" si="10"/>
        <v>100</v>
      </c>
      <c r="T33" s="708" t="s">
        <v>14</v>
      </c>
      <c r="U33" s="709">
        <f t="shared" si="11"/>
        <v>100</v>
      </c>
      <c r="V33" s="708" t="s">
        <v>14</v>
      </c>
      <c r="W33" s="709">
        <f t="shared" si="12"/>
        <v>100</v>
      </c>
      <c r="X33" s="710"/>
      <c r="Y33" s="3809"/>
      <c r="Z33" s="711">
        <f t="shared" si="13"/>
        <v>111</v>
      </c>
      <c r="AA33" s="1353">
        <f t="shared" si="3"/>
        <v>1</v>
      </c>
      <c r="AB33" s="1353">
        <f t="shared" si="4"/>
        <v>1</v>
      </c>
      <c r="AC33" s="1353">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809"/>
      <c r="Q34" s="1352" t="str">
        <f>B34</f>
        <v>宗地面积</v>
      </c>
      <c r="R34" s="705" t="s">
        <v>14</v>
      </c>
      <c r="S34" s="706" t="e">
        <f t="shared" si="10"/>
        <v>#N/A</v>
      </c>
      <c r="T34" s="705" t="s">
        <v>14</v>
      </c>
      <c r="U34" s="706" t="e">
        <f t="shared" si="11"/>
        <v>#N/A</v>
      </c>
      <c r="V34" s="705" t="s">
        <v>14</v>
      </c>
      <c r="W34" s="706" t="e">
        <f t="shared" si="12"/>
        <v>#N/A</v>
      </c>
      <c r="X34" s="1355"/>
      <c r="Y34" s="3809"/>
      <c r="Z34" s="1356" t="str">
        <f t="shared" si="13"/>
        <v>宗地面积</v>
      </c>
      <c r="AA34" s="1353" t="e">
        <f t="shared" si="3"/>
        <v>#N/A</v>
      </c>
      <c r="AB34" s="1353" t="e">
        <f t="shared" si="4"/>
        <v>#N/A</v>
      </c>
      <c r="AC34" s="1353" t="e">
        <f t="shared" si="5"/>
        <v>#N/A</v>
      </c>
    </row>
    <row r="35" spans="1:31" ht="15">
      <c r="A35" s="423"/>
      <c r="B35" s="375" t="s">
        <v>1857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8"/>
      <c r="M35" s="2692"/>
      <c r="N35" s="2692"/>
      <c r="O35" s="2750"/>
      <c r="P35" s="3809"/>
      <c r="Q35" s="1352" t="str">
        <f t="shared" ref="Q35:Q40" si="14">B35</f>
        <v>宗地形状</v>
      </c>
      <c r="R35" s="705" t="s">
        <v>14</v>
      </c>
      <c r="S35" s="706">
        <f t="shared" si="10"/>
        <v>100</v>
      </c>
      <c r="T35" s="705" t="s">
        <v>14</v>
      </c>
      <c r="U35" s="706">
        <f t="shared" si="11"/>
        <v>100</v>
      </c>
      <c r="V35" s="705" t="s">
        <v>14</v>
      </c>
      <c r="W35" s="706">
        <f t="shared" si="12"/>
        <v>100</v>
      </c>
      <c r="X35" s="1355"/>
      <c r="Y35" s="3809"/>
      <c r="Z35" s="1356" t="str">
        <f t="shared" si="13"/>
        <v>宗地形状</v>
      </c>
      <c r="AA35" s="1353">
        <f t="shared" si="3"/>
        <v>1</v>
      </c>
      <c r="AB35" s="1353">
        <f t="shared" si="4"/>
        <v>1</v>
      </c>
      <c r="AC35" s="1353">
        <f t="shared" si="5"/>
        <v>1</v>
      </c>
    </row>
    <row r="36" spans="1:31" s="108" customFormat="1" ht="15">
      <c r="A36" s="424"/>
      <c r="B36" s="375" t="s">
        <v>1859</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3"/>
      <c r="M36" s="2694"/>
      <c r="N36" s="2694"/>
      <c r="O36" s="2748"/>
      <c r="P36" s="3809"/>
      <c r="Q36" s="1352" t="str">
        <f t="shared" si="14"/>
        <v>宗地开发程度</v>
      </c>
      <c r="R36" s="701" t="s">
        <v>14</v>
      </c>
      <c r="S36" s="702">
        <f t="shared" si="10"/>
        <v>100</v>
      </c>
      <c r="T36" s="701" t="s">
        <v>14</v>
      </c>
      <c r="U36" s="702">
        <f t="shared" si="11"/>
        <v>100</v>
      </c>
      <c r="V36" s="701" t="s">
        <v>14</v>
      </c>
      <c r="W36" s="702">
        <f t="shared" si="12"/>
        <v>100</v>
      </c>
      <c r="X36" s="703"/>
      <c r="Y36" s="3809"/>
      <c r="Z36" s="52" t="str">
        <f t="shared" si="13"/>
        <v>宗地开发程度</v>
      </c>
      <c r="AA36" s="704">
        <f t="shared" si="3"/>
        <v>1</v>
      </c>
      <c r="AB36" s="704">
        <f t="shared" si="4"/>
        <v>1</v>
      </c>
      <c r="AC36" s="704">
        <f t="shared" si="5"/>
        <v>1</v>
      </c>
    </row>
    <row r="37" spans="1:31" ht="15">
      <c r="A37" s="423"/>
      <c r="B37" s="375" t="s">
        <v>1860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8"/>
      <c r="M37" s="2692"/>
      <c r="N37" s="2692"/>
      <c r="O37" s="2750"/>
      <c r="P37" s="3809" t="s">
        <v>1678</v>
      </c>
      <c r="Q37" s="1352" t="str">
        <f t="shared" si="14"/>
        <v>工程地质条件</v>
      </c>
      <c r="R37" s="705" t="s">
        <v>14</v>
      </c>
      <c r="S37" s="706">
        <f t="shared" si="10"/>
        <v>100</v>
      </c>
      <c r="T37" s="705" t="s">
        <v>14</v>
      </c>
      <c r="U37" s="706">
        <f t="shared" si="11"/>
        <v>100</v>
      </c>
      <c r="V37" s="705" t="s">
        <v>14</v>
      </c>
      <c r="W37" s="706">
        <f t="shared" si="12"/>
        <v>100</v>
      </c>
      <c r="X37" s="1355"/>
      <c r="Y37" s="3809" t="s">
        <v>1678</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809"/>
      <c r="Q38" s="1352">
        <f t="shared" si="14"/>
        <v>111</v>
      </c>
      <c r="R38" s="705" t="s">
        <v>14</v>
      </c>
      <c r="S38" s="706">
        <f t="shared" si="10"/>
        <v>100</v>
      </c>
      <c r="T38" s="705" t="s">
        <v>14</v>
      </c>
      <c r="U38" s="706">
        <f t="shared" si="11"/>
        <v>100</v>
      </c>
      <c r="V38" s="705" t="s">
        <v>14</v>
      </c>
      <c r="W38" s="706">
        <f t="shared" si="12"/>
        <v>100</v>
      </c>
      <c r="X38" s="1355"/>
      <c r="Y38" s="38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809"/>
      <c r="Q39" s="1352">
        <f t="shared" si="14"/>
        <v>111</v>
      </c>
      <c r="R39" s="705" t="s">
        <v>14</v>
      </c>
      <c r="S39" s="706">
        <f t="shared" si="10"/>
        <v>100</v>
      </c>
      <c r="T39" s="705" t="s">
        <v>14</v>
      </c>
      <c r="U39" s="706">
        <f t="shared" si="11"/>
        <v>100</v>
      </c>
      <c r="V39" s="705" t="s">
        <v>14</v>
      </c>
      <c r="W39" s="706">
        <f t="shared" si="12"/>
        <v>100</v>
      </c>
      <c r="X39" s="1355"/>
      <c r="Y39" s="38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809"/>
      <c r="Q40" s="1352">
        <f t="shared" si="14"/>
        <v>111</v>
      </c>
      <c r="R40" s="708" t="s">
        <v>14</v>
      </c>
      <c r="S40" s="709">
        <f t="shared" si="10"/>
        <v>100</v>
      </c>
      <c r="T40" s="708" t="s">
        <v>14</v>
      </c>
      <c r="U40" s="709">
        <f t="shared" si="11"/>
        <v>100</v>
      </c>
      <c r="V40" s="708" t="s">
        <v>14</v>
      </c>
      <c r="W40" s="709">
        <f t="shared" si="12"/>
        <v>100</v>
      </c>
      <c r="X40" s="710"/>
      <c r="Y40" s="3809"/>
      <c r="Z40" s="711">
        <f t="shared" si="13"/>
        <v>111</v>
      </c>
      <c r="AA40" s="1353">
        <f t="shared" si="3"/>
        <v>1</v>
      </c>
      <c r="AB40" s="1353">
        <f t="shared" si="4"/>
        <v>1</v>
      </c>
      <c r="AC40" s="1353">
        <f t="shared" si="5"/>
        <v>1</v>
      </c>
    </row>
    <row r="41" spans="1:31" ht="15">
      <c r="A41" s="430" t="s">
        <v>1826</v>
      </c>
      <c r="B41" s="1982" t="s">
        <v>1904</v>
      </c>
      <c r="C41" s="630" t="s">
        <v>0</v>
      </c>
      <c r="D41" s="432"/>
      <c r="E41" s="433"/>
      <c r="F41" s="434"/>
      <c r="G41" s="435"/>
      <c r="H41" s="436"/>
      <c r="I41" s="433"/>
      <c r="J41" s="436"/>
      <c r="K41" s="714"/>
      <c r="L41" s="2700"/>
      <c r="M41" s="2692"/>
      <c r="N41" s="2692"/>
      <c r="O41" s="2701"/>
      <c r="P41" s="3811" t="str">
        <f>A41</f>
        <v>成交单价</v>
      </c>
      <c r="Q41" s="3811"/>
      <c r="R41" s="3799">
        <f>E41</f>
        <v>0</v>
      </c>
      <c r="S41" s="3799"/>
      <c r="T41" s="3799">
        <f>G41</f>
        <v>0</v>
      </c>
      <c r="U41" s="3799"/>
      <c r="V41" s="3799">
        <f>I41</f>
        <v>0</v>
      </c>
      <c r="W41" s="3799"/>
      <c r="X41" s="690"/>
      <c r="Y41" s="712"/>
      <c r="Z41" s="690"/>
      <c r="AA41" s="690"/>
      <c r="AB41" s="690"/>
      <c r="AC41" s="690"/>
    </row>
    <row r="42" spans="1:31" ht="15.75" thickBot="1">
      <c r="A42" s="437" t="s">
        <v>1775</v>
      </c>
      <c r="B42" s="631"/>
      <c r="C42" s="440" t="e">
        <f>R43</f>
        <v>#DIV/0!</v>
      </c>
      <c r="D42" s="2317" t="s">
        <v>2120</v>
      </c>
      <c r="E42" s="440" t="e">
        <f>R42</f>
        <v>#DIV/0!</v>
      </c>
      <c r="F42" s="2318"/>
      <c r="G42" s="439" t="e">
        <f>T42</f>
        <v>#DIV/0!</v>
      </c>
      <c r="H42" s="2318"/>
      <c r="I42" s="440" t="e">
        <f>V42</f>
        <v>#DIV/0!</v>
      </c>
      <c r="J42" s="2318"/>
      <c r="K42" s="2320">
        <f>F42+H42+J42</f>
        <v>0</v>
      </c>
      <c r="L42" s="2700"/>
      <c r="M42" s="2692"/>
      <c r="N42" s="2692"/>
      <c r="O42" s="2701"/>
      <c r="P42" s="3811" t="str">
        <f>A42</f>
        <v>比较价值（元/平方米）</v>
      </c>
      <c r="Q42" s="3811"/>
      <c r="R42" s="3877" t="e">
        <f>ROUND(PRODUCT(R41,AA7:AA40),0)</f>
        <v>#DIV/0!</v>
      </c>
      <c r="S42" s="3877"/>
      <c r="T42" s="3877" t="e">
        <f>ROUND(PRODUCT(T41,AB7:AB40),0)</f>
        <v>#DIV/0!</v>
      </c>
      <c r="U42" s="3877"/>
      <c r="V42" s="3877" t="e">
        <f>ROUND(PRODUCT(V41,AC7:AC40),0)</f>
        <v>#DIV/0!</v>
      </c>
      <c r="W42" s="3877"/>
      <c r="X42" s="690"/>
      <c r="Y42" s="690"/>
      <c r="Z42" s="690"/>
      <c r="AA42" s="690"/>
      <c r="AB42" s="690"/>
      <c r="AC42" s="690"/>
    </row>
    <row r="43" spans="1:31" ht="15.75" thickBot="1">
      <c r="A43" s="441" t="s">
        <v>1776</v>
      </c>
      <c r="B43" s="442"/>
      <c r="C43" s="443" t="e">
        <f>R43</f>
        <v>#DIV/0!</v>
      </c>
      <c r="D43" s="443"/>
      <c r="E43" s="443"/>
      <c r="F43" s="443"/>
      <c r="G43" s="443"/>
      <c r="H43" s="443"/>
      <c r="I43" s="443"/>
      <c r="J43" s="443"/>
      <c r="K43" s="715"/>
      <c r="L43" s="2700"/>
      <c r="M43" s="2692"/>
      <c r="N43" s="2692"/>
      <c r="O43" s="2701"/>
      <c r="P43" s="3851" t="str">
        <f>A43</f>
        <v>估价对象XX用房的比较价值（楼面单价，元/平方米）</v>
      </c>
      <c r="Q43" s="3852"/>
      <c r="R43" s="3878" t="e">
        <f>ROUND(IF(D42="简单平均",AVERAGE(R42:W42),R42*F42+T42*H42+V42*J42),0)</f>
        <v>#DIV/0!</v>
      </c>
      <c r="S43" s="3878"/>
      <c r="T43" s="3878"/>
      <c r="U43" s="3878"/>
      <c r="V43" s="3878"/>
      <c r="W43" s="3878"/>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1863</v>
      </c>
      <c r="B50" s="633" t="s">
        <v>1864</v>
      </c>
      <c r="C50" s="1983" t="s">
        <v>1865</v>
      </c>
      <c r="D50" s="1984" t="s">
        <v>1866</v>
      </c>
      <c r="E50" s="634" t="s">
        <v>1867</v>
      </c>
      <c r="F50" s="635" t="s">
        <v>1868</v>
      </c>
      <c r="G50" s="3786" t="s">
        <v>1869</v>
      </c>
      <c r="H50" s="3879"/>
      <c r="I50" s="1356" t="s">
        <v>1905</v>
      </c>
      <c r="J50" s="1356">
        <f>项目基本情况!F35</f>
        <v>0</v>
      </c>
      <c r="K50" s="1986" t="s">
        <v>1871</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1872</v>
      </c>
      <c r="B51" s="637" t="e">
        <f>C43</f>
        <v>#DIV/0!</v>
      </c>
      <c r="C51" s="638">
        <v>1</v>
      </c>
      <c r="D51" s="944">
        <v>1</v>
      </c>
      <c r="E51" s="638">
        <f>'数据-汇总表'!E8+'数据-汇总表'!E9</f>
        <v>25613.089999999997</v>
      </c>
      <c r="F51" s="639" t="e">
        <f t="shared" ref="F51:F60" si="15">ROUND(B51*E51/10000,0)</f>
        <v>#DIV/0!</v>
      </c>
      <c r="G51" s="3782"/>
      <c r="H51" s="3811"/>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1873</v>
      </c>
      <c r="B52" s="218" t="e">
        <f>ROUND($C$43*C52*D52,0)</f>
        <v>#DIV/0!</v>
      </c>
      <c r="C52" s="171">
        <f t="shared" ref="C52:C60" si="16">IF($C$50="北京市系数",I52,J52)</f>
        <v>0.7</v>
      </c>
      <c r="D52" s="945">
        <v>0.25</v>
      </c>
      <c r="E52" s="642"/>
      <c r="F52" s="639" t="e">
        <f t="shared" si="15"/>
        <v>#DIV/0!</v>
      </c>
      <c r="G52" s="2982" t="s">
        <v>1874</v>
      </c>
      <c r="H52" s="887" t="str">
        <f>项目基本情况!B37</f>
        <v>二级</v>
      </c>
      <c r="I52" s="773">
        <f>SUMIF(修正!A57:A68,H52,修正!B57:B68)</f>
        <v>0.7</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1875</v>
      </c>
      <c r="B53" s="218" t="e">
        <f t="shared" ref="B53:B60" si="17">ROUND($C$43*C53*D53,0)</f>
        <v>#DIV/0!</v>
      </c>
      <c r="C53" s="171">
        <f t="shared" si="16"/>
        <v>0.4</v>
      </c>
      <c r="D53" s="945">
        <v>0.25</v>
      </c>
      <c r="E53" s="642"/>
      <c r="F53" s="639" t="e">
        <f t="shared" si="15"/>
        <v>#DIV/0!</v>
      </c>
      <c r="G53" s="2983"/>
      <c r="H53" s="887" t="str">
        <f>项目基本情况!B37</f>
        <v>二级</v>
      </c>
      <c r="I53" s="773">
        <f>SUMIF(修正!A57:A68,H53,修正!C57:C68)</f>
        <v>0.4</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1876</v>
      </c>
      <c r="B54" s="218" t="e">
        <f t="shared" si="17"/>
        <v>#DIV/0!</v>
      </c>
      <c r="C54" s="171">
        <f t="shared" si="16"/>
        <v>0.3</v>
      </c>
      <c r="D54" s="945">
        <v>0.25</v>
      </c>
      <c r="E54" s="642"/>
      <c r="F54" s="639" t="e">
        <f t="shared" si="15"/>
        <v>#DIV/0!</v>
      </c>
      <c r="G54" s="2983"/>
      <c r="H54" s="887" t="str">
        <f>项目基本情况!B37</f>
        <v>二级</v>
      </c>
      <c r="I54" s="773">
        <f>SUMIF(修正!A57:A68,H54,修正!D57:D68)</f>
        <v>0.3</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1877</v>
      </c>
      <c r="B56" s="218" t="e">
        <f t="shared" si="17"/>
        <v>#DIV/0!</v>
      </c>
      <c r="C56" s="171">
        <f t="shared" si="16"/>
        <v>0.3</v>
      </c>
      <c r="D56" s="945">
        <v>0.25</v>
      </c>
      <c r="E56" s="217">
        <f>'数据-汇总表'!E11</f>
        <v>0</v>
      </c>
      <c r="F56" s="639" t="e">
        <f t="shared" si="15"/>
        <v>#DIV/0!</v>
      </c>
      <c r="G56" s="1987" t="s">
        <v>1878</v>
      </c>
      <c r="H56" s="887" t="str">
        <f>项目基本情况!C37</f>
        <v>二级</v>
      </c>
      <c r="I56" s="773">
        <f>SUMIF(修正!A57:A68,H56,修正!E57:E68)</f>
        <v>0.3</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1879</v>
      </c>
      <c r="B57" s="218" t="e">
        <f t="shared" si="17"/>
        <v>#DIV/0!</v>
      </c>
      <c r="C57" s="171">
        <f t="shared" si="16"/>
        <v>0.3</v>
      </c>
      <c r="D57" s="945">
        <v>0.25</v>
      </c>
      <c r="E57" s="217">
        <f>'数据-汇总表'!E12</f>
        <v>0</v>
      </c>
      <c r="F57" s="639" t="e">
        <f t="shared" si="15"/>
        <v>#DIV/0!</v>
      </c>
      <c r="G57" s="892" t="s">
        <v>1880</v>
      </c>
      <c r="H57" s="887" t="str">
        <f>IF(G57="商业",项目基本情况!B37,IF(G57="办公",项目基本情况!C37,IF(G57="住宅",项目基本情况!D37,项目基本情况!E37)))</f>
        <v>二级</v>
      </c>
      <c r="I57" s="773">
        <f>SUMIF(修正!A57:A68,H57,修正!F57:F68)</f>
        <v>0.3</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1881</v>
      </c>
      <c r="B58" s="218" t="e">
        <f t="shared" si="17"/>
        <v>#DIV/0!</v>
      </c>
      <c r="C58" s="171">
        <f t="shared" si="16"/>
        <v>0</v>
      </c>
      <c r="D58" s="945">
        <v>0.25</v>
      </c>
      <c r="E58" s="217">
        <f>'数据-汇总表'!E13</f>
        <v>3229.7400000000016</v>
      </c>
      <c r="F58" s="639" t="e">
        <f t="shared" si="15"/>
        <v>#DIV/0!</v>
      </c>
      <c r="G58" s="892" t="s">
        <v>1882</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1883</v>
      </c>
      <c r="B59" s="218" t="e">
        <f t="shared" si="17"/>
        <v>#DIV/0!</v>
      </c>
      <c r="C59" s="171">
        <f t="shared" si="16"/>
        <v>0.2</v>
      </c>
      <c r="D59" s="945">
        <v>0.25</v>
      </c>
      <c r="E59" s="217">
        <f>'数据-汇总表'!E14</f>
        <v>0</v>
      </c>
      <c r="F59" s="639" t="e">
        <f t="shared" si="15"/>
        <v>#DIV/0!</v>
      </c>
      <c r="G59" s="1987" t="s">
        <v>1874</v>
      </c>
      <c r="H59" s="887" t="str">
        <f>项目基本情况!B37</f>
        <v>二级</v>
      </c>
      <c r="I59" s="773">
        <f>SUMIF(修正!A57:A68,H59,修正!G57:G68)</f>
        <v>0.2</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1884</v>
      </c>
      <c r="B60" s="218" t="e">
        <f t="shared" si="17"/>
        <v>#DIV/0!</v>
      </c>
      <c r="C60" s="171">
        <f t="shared" si="16"/>
        <v>0.2</v>
      </c>
      <c r="D60" s="945">
        <v>0.25</v>
      </c>
      <c r="E60" s="217">
        <f>'数据-汇总表'!E15</f>
        <v>0</v>
      </c>
      <c r="F60" s="639" t="e">
        <f t="shared" si="15"/>
        <v>#DIV/0!</v>
      </c>
      <c r="G60" s="1988" t="s">
        <v>1878</v>
      </c>
      <c r="H60" s="897" t="str">
        <f>项目基本情况!C37</f>
        <v>二级</v>
      </c>
      <c r="I60" s="773">
        <f>SUMIF(修正!A57:A68,H60,修正!G57:G68)</f>
        <v>0.2</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1885</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01"/>
      <c r="Q63" s="2701"/>
      <c r="R63" s="2701"/>
      <c r="S63" s="2701"/>
      <c r="T63" s="2701"/>
      <c r="U63" s="2701"/>
      <c r="V63" s="2701"/>
      <c r="W63" s="2701"/>
      <c r="X63" s="2701"/>
      <c r="Y63" s="2701"/>
      <c r="Z63" s="2701"/>
      <c r="AA63" s="2701"/>
      <c r="AB63" s="2701"/>
      <c r="AC63" s="2701"/>
      <c r="AD63" s="2701"/>
      <c r="AE63" s="2701"/>
    </row>
    <row r="64" spans="1:31" ht="21.75" thickBot="1">
      <c r="A64" s="694" t="s">
        <v>1780</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9" t="s">
        <v>1886</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4" t="s">
        <v>1906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8"/>
      <c r="R66" s="2638"/>
      <c r="S66" s="2638"/>
      <c r="T66" s="2638"/>
      <c r="U66" s="2638"/>
      <c r="V66" s="2638"/>
      <c r="W66" s="2638"/>
      <c r="X66" s="2638"/>
      <c r="Y66" s="2638"/>
      <c r="Z66" s="2638"/>
      <c r="AA66" s="2638"/>
      <c r="AB66" s="2638"/>
      <c r="AC66" s="2638"/>
      <c r="AD66" s="2638"/>
      <c r="AE66" s="2638"/>
    </row>
    <row r="67" spans="1:31" s="108" customFormat="1" ht="15.75" thickBot="1">
      <c r="A67" s="464" t="s">
        <v>1698</v>
      </c>
      <c r="B67" s="465"/>
      <c r="C67" s="466"/>
      <c r="D67" s="467"/>
      <c r="E67" s="467"/>
      <c r="F67" s="467"/>
      <c r="G67" s="467"/>
      <c r="H67" s="467"/>
      <c r="I67" s="467"/>
      <c r="J67" s="467"/>
      <c r="K67" s="467"/>
      <c r="L67" s="467"/>
      <c r="M67" s="468"/>
      <c r="N67" s="468"/>
      <c r="O67" s="469"/>
      <c r="P67" s="2715"/>
      <c r="Q67" s="2715"/>
      <c r="R67" s="2638"/>
      <c r="S67" s="2638"/>
      <c r="T67" s="2638"/>
      <c r="U67" s="2638"/>
      <c r="V67" s="2638"/>
      <c r="W67" s="2638"/>
      <c r="X67" s="2638"/>
      <c r="Y67" s="2638"/>
      <c r="Z67" s="2638"/>
      <c r="AA67" s="2638"/>
      <c r="AB67" s="2638"/>
      <c r="AC67" s="2638"/>
      <c r="AD67" s="2638"/>
      <c r="AE67" s="2638"/>
    </row>
    <row r="68" spans="1:31" s="108" customFormat="1" ht="15">
      <c r="A68" s="470" t="s">
        <v>1663</v>
      </c>
      <c r="B68" s="459"/>
      <c r="C68" s="471" t="s">
        <v>1758</v>
      </c>
      <c r="D68" s="472"/>
      <c r="E68" s="472"/>
      <c r="F68" s="472"/>
      <c r="G68" s="472"/>
      <c r="H68" s="472"/>
      <c r="I68" s="472"/>
      <c r="J68" s="472"/>
      <c r="K68" s="472"/>
      <c r="L68" s="473"/>
      <c r="M68" s="474"/>
      <c r="N68" s="2728"/>
      <c r="O68" s="2728"/>
      <c r="P68" s="2753"/>
      <c r="Q68" s="2715"/>
      <c r="R68" s="2638"/>
      <c r="S68" s="2638"/>
      <c r="T68" s="2638"/>
      <c r="U68" s="2638"/>
      <c r="V68" s="2638"/>
      <c r="W68" s="2638"/>
      <c r="X68" s="2638"/>
      <c r="Y68" s="2638"/>
      <c r="Z68" s="2638"/>
      <c r="AA68" s="2638"/>
      <c r="AB68" s="2638"/>
      <c r="AC68" s="2638"/>
      <c r="AD68" s="2638"/>
      <c r="AE68" s="2638"/>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8"/>
      <c r="S69" s="2638"/>
      <c r="T69" s="2638"/>
      <c r="U69" s="2638"/>
      <c r="V69" s="2638"/>
      <c r="W69" s="2638"/>
      <c r="X69" s="2638"/>
      <c r="Y69" s="2638"/>
      <c r="Z69" s="2638"/>
      <c r="AA69" s="2638"/>
      <c r="AB69" s="2638"/>
      <c r="AC69" s="2638"/>
      <c r="AD69" s="2638"/>
      <c r="AE69" s="2638"/>
    </row>
    <row r="70" spans="1:31">
      <c r="A70" s="476" t="s">
        <v>1701</v>
      </c>
      <c r="B70" s="477" t="s">
        <v>1667</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1670</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1672</v>
      </c>
      <c r="B83" s="477" t="s">
        <v>1811</v>
      </c>
      <c r="C83" s="522" t="s">
        <v>1703</v>
      </c>
      <c r="D83" s="522" t="s">
        <v>1704</v>
      </c>
      <c r="E83" s="522" t="s">
        <v>1705</v>
      </c>
      <c r="F83" s="522" t="s">
        <v>1706</v>
      </c>
      <c r="G83" s="522" t="s">
        <v>1707</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1708</v>
      </c>
      <c r="C85" s="527" t="s">
        <v>1703</v>
      </c>
      <c r="D85" s="527" t="s">
        <v>1704</v>
      </c>
      <c r="E85" s="527" t="s">
        <v>1705</v>
      </c>
      <c r="F85" s="527" t="s">
        <v>1706</v>
      </c>
      <c r="G85" s="527" t="s">
        <v>1707</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1889</v>
      </c>
      <c r="C87" s="522" t="s">
        <v>1703</v>
      </c>
      <c r="D87" s="522" t="s">
        <v>1704</v>
      </c>
      <c r="E87" s="522" t="s">
        <v>1705</v>
      </c>
      <c r="F87" s="522" t="s">
        <v>1706</v>
      </c>
      <c r="G87" s="522" t="s">
        <v>1707</v>
      </c>
      <c r="H87" s="527"/>
      <c r="I87" s="527"/>
      <c r="J87" s="527"/>
      <c r="K87" s="527"/>
      <c r="L87" s="646"/>
      <c r="M87" s="570"/>
      <c r="N87" s="2728"/>
      <c r="O87" s="2728"/>
      <c r="P87" s="2754"/>
      <c r="Q87" s="2715"/>
      <c r="R87" s="2638"/>
      <c r="S87" s="2638"/>
      <c r="T87" s="2638"/>
      <c r="U87" s="2638"/>
      <c r="V87" s="2638"/>
      <c r="W87" s="2638"/>
      <c r="X87" s="2638"/>
      <c r="Y87" s="2638"/>
      <c r="Z87" s="2638"/>
      <c r="AA87" s="2638"/>
      <c r="AB87" s="2638"/>
      <c r="AC87" s="2638"/>
      <c r="AD87" s="2638"/>
      <c r="AE87" s="263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8"/>
      <c r="S88" s="2638"/>
      <c r="T88" s="2638"/>
      <c r="U88" s="2638"/>
      <c r="V88" s="2638"/>
      <c r="W88" s="2638"/>
      <c r="X88" s="2638"/>
      <c r="Y88" s="2638"/>
      <c r="Z88" s="2638"/>
      <c r="AA88" s="2638"/>
      <c r="AB88" s="2638"/>
      <c r="AC88" s="2638"/>
      <c r="AD88" s="2638"/>
      <c r="AE88" s="2638"/>
    </row>
    <row r="89" spans="1:31" s="108" customFormat="1" ht="27.75" thickTop="1">
      <c r="A89" s="528"/>
      <c r="B89" s="487" t="s">
        <v>1890</v>
      </c>
      <c r="C89" s="522" t="s">
        <v>1703</v>
      </c>
      <c r="D89" s="522" t="s">
        <v>1704</v>
      </c>
      <c r="E89" s="522" t="s">
        <v>1705</v>
      </c>
      <c r="F89" s="522" t="s">
        <v>1706</v>
      </c>
      <c r="G89" s="522" t="s">
        <v>1707</v>
      </c>
      <c r="H89" s="527"/>
      <c r="I89" s="527"/>
      <c r="J89" s="527"/>
      <c r="K89" s="527"/>
      <c r="L89" s="527"/>
      <c r="M89" s="570"/>
      <c r="N89" s="2728"/>
      <c r="O89" s="2728"/>
      <c r="P89" s="2754"/>
      <c r="Q89" s="2715"/>
      <c r="R89" s="2638"/>
      <c r="S89" s="2638"/>
      <c r="T89" s="2638"/>
      <c r="U89" s="2638"/>
      <c r="V89" s="2638"/>
      <c r="W89" s="2638"/>
      <c r="X89" s="2638"/>
      <c r="Y89" s="2638"/>
      <c r="Z89" s="2638"/>
      <c r="AA89" s="2638"/>
      <c r="AB89" s="2638"/>
      <c r="AC89" s="2638"/>
      <c r="AD89" s="2638"/>
      <c r="AE89" s="263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8"/>
      <c r="S90" s="2638"/>
      <c r="T90" s="2638"/>
      <c r="U90" s="2638"/>
      <c r="V90" s="2638"/>
      <c r="W90" s="2638"/>
      <c r="X90" s="2638"/>
      <c r="Y90" s="2638"/>
      <c r="Z90" s="2638"/>
      <c r="AA90" s="2638"/>
      <c r="AB90" s="2638"/>
      <c r="AC90" s="2638"/>
      <c r="AD90" s="2638"/>
      <c r="AE90" s="2638"/>
    </row>
    <row r="91" spans="1:31" s="422" customFormat="1" ht="15.75" thickTop="1">
      <c r="A91" s="502"/>
      <c r="B91" s="487" t="s">
        <v>1760</v>
      </c>
      <c r="C91" s="522" t="s">
        <v>1703</v>
      </c>
      <c r="D91" s="522" t="s">
        <v>1704</v>
      </c>
      <c r="E91" s="522" t="s">
        <v>1705</v>
      </c>
      <c r="F91" s="522" t="s">
        <v>1706</v>
      </c>
      <c r="G91" s="522" t="s">
        <v>1707</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1907</v>
      </c>
      <c r="C93" s="608" t="s">
        <v>1781</v>
      </c>
      <c r="D93" s="608" t="s">
        <v>1782</v>
      </c>
      <c r="E93" s="608" t="s">
        <v>1783</v>
      </c>
      <c r="F93" s="608" t="s">
        <v>1784</v>
      </c>
      <c r="G93" s="608" t="s">
        <v>1785</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1891</v>
      </c>
      <c r="D95" s="488" t="s">
        <v>1892</v>
      </c>
      <c r="E95" s="488" t="s">
        <v>1893</v>
      </c>
      <c r="F95" s="488" t="s">
        <v>1894</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1797</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1855</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1896</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1898</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1899</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2065</v>
      </c>
      <c r="C1" s="3887" t="s">
        <v>2066</v>
      </c>
      <c r="D1" s="3888"/>
      <c r="E1" s="3888"/>
      <c r="F1" s="3888"/>
      <c r="G1" s="3888"/>
      <c r="H1" s="3888"/>
      <c r="I1" s="3888"/>
      <c r="J1" s="3888"/>
      <c r="K1" s="3888"/>
      <c r="L1" s="3888"/>
      <c r="M1" s="3888"/>
      <c r="N1" s="3888"/>
      <c r="O1" s="3888"/>
      <c r="P1" s="3888"/>
      <c r="Q1" s="3888"/>
      <c r="R1" s="3888"/>
      <c r="S1" s="3889"/>
      <c r="T1" s="983" t="s">
        <v>2067</v>
      </c>
    </row>
    <row r="2" spans="1:45" s="655" customFormat="1">
      <c r="A2" s="984"/>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2069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2075</v>
      </c>
      <c r="B17" s="2149" t="s">
        <v>2076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2077</v>
      </c>
      <c r="E19" s="1340"/>
      <c r="F19" s="1340"/>
      <c r="G19" s="1340"/>
      <c r="H19" s="1059"/>
      <c r="I19" s="159"/>
      <c r="J19" s="159"/>
      <c r="K19" s="159"/>
      <c r="L19" s="159"/>
      <c r="M19" s="159"/>
      <c r="N19" s="159"/>
      <c r="O19" s="159"/>
      <c r="P19" s="159"/>
      <c r="Q19" s="159"/>
      <c r="R19" s="718"/>
      <c r="S19" s="129"/>
    </row>
    <row r="20" spans="1:45" ht="16.5" thickBot="1">
      <c r="A20" s="662" t="s">
        <v>2078</v>
      </c>
      <c r="B20" s="294" t="e">
        <f ca="1">IF(D20="——",S22,S22-F20)</f>
        <v>#REF!</v>
      </c>
      <c r="C20" s="159"/>
      <c r="D20" s="2151"/>
      <c r="E20" s="1341"/>
      <c r="F20" s="983" t="e">
        <f ca="1">SUMIF(INDIRECT("'"&amp;H20&amp;"'"&amp;"!A:A"),"承租人权益价值",INDIRECT("'"&amp;H20&amp;"'"&amp;"!c:c"))</f>
        <v>#REF!</v>
      </c>
      <c r="G20" s="983" t="s">
        <v>2079</v>
      </c>
      <c r="H20" s="2152"/>
      <c r="I20" s="159"/>
      <c r="J20" s="159"/>
      <c r="K20" s="159"/>
      <c r="L20" s="159"/>
      <c r="M20" s="159"/>
      <c r="N20" s="159"/>
      <c r="O20" s="159"/>
      <c r="P20" s="159"/>
      <c r="Q20" s="159"/>
      <c r="R20" s="718"/>
      <c r="S20" s="129"/>
    </row>
    <row r="21" spans="1:45" ht="15.75">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884" t="s">
        <v>27</v>
      </c>
      <c r="D22" s="3885"/>
      <c r="E22" s="3885"/>
      <c r="F22" s="3885"/>
      <c r="G22" s="3885"/>
      <c r="H22" s="3885"/>
      <c r="I22" s="3885"/>
      <c r="J22" s="3885"/>
      <c r="K22" s="3885"/>
      <c r="L22" s="3885"/>
      <c r="M22" s="3885"/>
      <c r="N22" s="3885"/>
      <c r="O22" s="3885"/>
      <c r="P22" s="3885"/>
      <c r="Q22" s="3886"/>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6">
        <v>1</v>
      </c>
      <c r="D24" s="2787"/>
      <c r="E24" s="2786">
        <v>1</v>
      </c>
      <c r="F24" s="2787"/>
      <c r="G24" s="2786">
        <v>1</v>
      </c>
      <c r="H24" s="2787"/>
      <c r="I24" s="2786">
        <v>1</v>
      </c>
      <c r="J24" s="2787"/>
      <c r="K24" s="2786">
        <v>1</v>
      </c>
      <c r="L24" s="2787"/>
      <c r="M24" s="2786">
        <v>1</v>
      </c>
      <c r="N24" s="2787"/>
      <c r="O24" s="2786">
        <v>1</v>
      </c>
      <c r="P24" s="2787"/>
      <c r="Q24" s="278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6"/>
      <c r="C2" s="3586"/>
      <c r="D2" s="3586"/>
      <c r="E2" s="3586"/>
    </row>
    <row r="3" spans="1:5" ht="18">
      <c r="A3" s="3587" t="str">
        <f>IF(项目基本情况!B9="房地产市场价值","估价结果一览表（市场价值不需“结果表-1”）","估价结果一览表")</f>
        <v>估价结果一览表</v>
      </c>
      <c r="B3" s="3587"/>
      <c r="C3" s="3587"/>
      <c r="D3" s="3587"/>
      <c r="E3" s="3587"/>
    </row>
    <row r="4" spans="1:5" ht="19.5" thickBot="1">
      <c r="A4" s="1493"/>
      <c r="B4" s="3585" t="s">
        <v>917</v>
      </c>
      <c r="C4" s="3585"/>
      <c r="D4" s="3585"/>
      <c r="E4" s="1493"/>
    </row>
    <row r="5" spans="1:5" ht="16.5" thickTop="1">
      <c r="A5" s="1491"/>
      <c r="B5" s="3583" t="s">
        <v>909</v>
      </c>
      <c r="C5" s="1494" t="s">
        <v>910</v>
      </c>
      <c r="D5" s="850">
        <f ca="1">结果表!H101</f>
        <v>135050</v>
      </c>
      <c r="E5" s="1491"/>
    </row>
    <row r="6" spans="1:5" ht="15.75">
      <c r="A6" s="1491"/>
      <c r="B6" s="3583"/>
      <c r="C6" s="1494" t="s">
        <v>911</v>
      </c>
      <c r="D6" s="850" t="str">
        <f ca="1">NUMBERSTRING(INT(D5*10000),2)&amp;"元整"</f>
        <v>壹拾叁亿伍仟零伍拾万元整</v>
      </c>
      <c r="E6" s="1491"/>
    </row>
    <row r="7" spans="1:5" ht="15.75">
      <c r="A7" s="1491"/>
      <c r="B7" s="3588"/>
      <c r="C7" s="1495" t="s">
        <v>912</v>
      </c>
      <c r="D7" s="851">
        <f ca="1">结果表!H102</f>
        <v>42064</v>
      </c>
      <c r="E7" s="1491"/>
    </row>
    <row r="8" spans="1:5" ht="15.75">
      <c r="A8" s="1491"/>
      <c r="B8" s="3589" t="str">
        <f>结果表!E103</f>
        <v>2.估价师知悉的除抵押担保权以外的法定优先受偿款</v>
      </c>
      <c r="C8" s="1496" t="s">
        <v>913</v>
      </c>
      <c r="D8" s="851">
        <f>结果表!H103</f>
        <v>0</v>
      </c>
      <c r="E8" s="1491"/>
    </row>
    <row r="9" spans="1:5" ht="15.75">
      <c r="A9" s="1491"/>
      <c r="B9" s="359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82" t="str">
        <f>结果表!E107</f>
        <v>——</v>
      </c>
      <c r="C13" s="1499" t="s">
        <v>910</v>
      </c>
      <c r="D13" s="853" t="str">
        <f>结果表!H107</f>
        <v>——</v>
      </c>
      <c r="E13" s="1491"/>
    </row>
    <row r="14" spans="1:5" ht="15.75">
      <c r="A14" s="1491"/>
      <c r="B14" s="3583"/>
      <c r="C14" s="1494" t="s">
        <v>911</v>
      </c>
      <c r="D14" s="850" t="e">
        <f>NUMBERSTRING(INT(D13*10000),2)&amp;"元整"</f>
        <v>#VALUE!</v>
      </c>
      <c r="E14" s="1491"/>
    </row>
    <row r="15" spans="1:5" ht="15">
      <c r="A15" s="1491"/>
      <c r="B15" s="3588"/>
      <c r="C15" s="1495" t="s">
        <v>921</v>
      </c>
      <c r="D15" s="859" t="e">
        <f ca="1">结果表!H108</f>
        <v>#VALUE!</v>
      </c>
      <c r="E15" s="1491"/>
    </row>
    <row r="16" spans="1:5" ht="15">
      <c r="A16" s="1491"/>
      <c r="B16" s="3589" t="str">
        <f>结果表!E109</f>
        <v>3.抵押担保权已注销时的房地产抵押价值</v>
      </c>
      <c r="C16" s="1499" t="s">
        <v>922</v>
      </c>
      <c r="D16" s="1500">
        <f ca="1">结果表!H109</f>
        <v>135050</v>
      </c>
      <c r="E16" s="1491"/>
    </row>
    <row r="17" spans="1:5" ht="15.75">
      <c r="A17" s="1491"/>
      <c r="B17" s="3590"/>
      <c r="C17" s="1494" t="s">
        <v>923</v>
      </c>
      <c r="D17" s="850" t="str">
        <f ca="1">NUMBERSTRING(INT(D16*10000),2)&amp;"元整"</f>
        <v>壹拾叁亿伍仟零伍拾万元整</v>
      </c>
      <c r="E17" s="1491"/>
    </row>
    <row r="18" spans="1:5" ht="15">
      <c r="A18" s="1491"/>
      <c r="B18" s="3591"/>
      <c r="C18" s="1495" t="s">
        <v>912</v>
      </c>
      <c r="D18" s="859">
        <f ca="1">结果表!H110</f>
        <v>42064</v>
      </c>
      <c r="E18" s="1491"/>
    </row>
    <row r="19" spans="1:5" ht="15.75">
      <c r="A19" s="1491"/>
      <c r="B19" s="3582" t="str">
        <f>结果表!E111</f>
        <v>4.抵押净值</v>
      </c>
      <c r="C19" s="1499" t="s">
        <v>910</v>
      </c>
      <c r="D19" s="851">
        <f ca="1">结果表!H111</f>
        <v>134982</v>
      </c>
      <c r="E19" s="1491"/>
    </row>
    <row r="20" spans="1:5" ht="15.75">
      <c r="A20" s="1491"/>
      <c r="B20" s="3583"/>
      <c r="C20" s="1494" t="s">
        <v>923</v>
      </c>
      <c r="D20" s="850" t="str">
        <f ca="1">NUMBERSTRING(INT(D19*10000),2)&amp;"元整"</f>
        <v>壹拾叁亿肆仟玖佰捌拾贰万元整</v>
      </c>
      <c r="E20" s="1491"/>
    </row>
    <row r="21" spans="1:5" ht="15.75" thickBot="1">
      <c r="A21" s="1491"/>
      <c r="B21" s="3584"/>
      <c r="C21" s="1501" t="s">
        <v>921</v>
      </c>
      <c r="D21" s="860">
        <f ca="1">结果表!H112</f>
        <v>42043</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2063</v>
      </c>
      <c r="B1" s="2147"/>
      <c r="C1" s="2147"/>
      <c r="D1" s="2147"/>
      <c r="E1" s="2147"/>
      <c r="F1" s="2769"/>
      <c r="G1" s="2769"/>
      <c r="H1" s="2769"/>
      <c r="I1" s="2769"/>
      <c r="J1" s="2769"/>
      <c r="K1" s="2769"/>
      <c r="L1" s="2769"/>
      <c r="M1" s="2769"/>
      <c r="N1" s="2769"/>
      <c r="O1" s="2769"/>
      <c r="P1" s="2769"/>
    </row>
    <row r="2" spans="1:16" ht="15.75">
      <c r="A2" s="2145" t="s">
        <v>2055</v>
      </c>
      <c r="B2" s="2579">
        <f ca="1">SUMIF(B6:B13,"&lt;&gt;#ref!",B6:B13)</f>
        <v>65968</v>
      </c>
      <c r="C2" s="2145" t="s">
        <v>2056</v>
      </c>
      <c r="D2" s="2145" t="s">
        <v>2057</v>
      </c>
      <c r="E2" s="2589">
        <f ca="1">SUMIF(E6:E13,"&lt;&gt;#ref!",E6:E13)</f>
        <v>32110.089999999997</v>
      </c>
      <c r="F2" s="2769"/>
      <c r="G2" s="2769"/>
      <c r="H2" s="2769"/>
      <c r="I2" s="2769"/>
      <c r="J2" s="2769"/>
      <c r="K2" s="2769"/>
      <c r="L2" s="2769"/>
      <c r="M2" s="2769"/>
      <c r="N2" s="2769"/>
      <c r="O2" s="2769"/>
      <c r="P2" s="2769"/>
    </row>
    <row r="3" spans="1:16" ht="15.75">
      <c r="A3" s="2145" t="s">
        <v>2058</v>
      </c>
      <c r="B3" s="2579">
        <f ca="1">ROUND(B2*10000/E2,0)</f>
        <v>20544</v>
      </c>
      <c r="C3" s="2145" t="s">
        <v>2064</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5" t="s">
        <v>2059</v>
      </c>
      <c r="B5" s="2587" t="s">
        <v>2060</v>
      </c>
      <c r="C5" s="2146"/>
      <c r="D5" s="2769"/>
      <c r="E5" s="2588" t="s">
        <v>2061</v>
      </c>
      <c r="F5" s="2769"/>
      <c r="G5" s="2769"/>
      <c r="H5" s="2769"/>
      <c r="I5" s="2769"/>
      <c r="J5" s="2769"/>
      <c r="K5" s="2769"/>
      <c r="L5" s="2769"/>
      <c r="M5" s="2769"/>
      <c r="N5" s="2769"/>
      <c r="O5" s="2769"/>
      <c r="P5" s="2769"/>
    </row>
    <row r="6" spans="1:16" ht="15.75">
      <c r="A6" s="2586" t="s">
        <v>2062</v>
      </c>
      <c r="B6" s="2579">
        <f ca="1">SUMIF(INDIRECT("'"&amp;A6&amp;"'"&amp;"!A:A"),"总价",INDIRECT("'"&amp;A6&amp;"'"&amp;"!B:B"))</f>
        <v>65968</v>
      </c>
      <c r="C6" s="2145" t="s">
        <v>2056</v>
      </c>
      <c r="D6" s="2769"/>
      <c r="E6" s="2589">
        <f ca="1">SUMIF(INDIRECT("'"&amp;A6&amp;"'"&amp;"!C:C"),"建筑面积",INDIRECT("'"&amp;A6&amp;"'"&amp;"!D:D"))</f>
        <v>32110.089999999997</v>
      </c>
      <c r="F6" s="2769"/>
      <c r="G6" s="2769"/>
      <c r="H6" s="2769"/>
      <c r="I6" s="2769"/>
      <c r="J6" s="2769"/>
      <c r="K6" s="2769"/>
      <c r="L6" s="2769"/>
      <c r="M6" s="2769"/>
      <c r="N6" s="2769"/>
      <c r="O6" s="2769"/>
      <c r="P6" s="2769"/>
    </row>
    <row r="7" spans="1:16" ht="15.75">
      <c r="A7" s="2586"/>
      <c r="B7" s="2579" t="e">
        <f ca="1">SUMIF(INDIRECT("'"&amp;A7&amp;"'"&amp;"!A:A"),"总价",INDIRECT("'"&amp;A7&amp;"'"&amp;"!B:B"))</f>
        <v>#REF!</v>
      </c>
      <c r="C7" s="2145" t="s">
        <v>2056</v>
      </c>
      <c r="D7" s="2769"/>
      <c r="E7" s="2589" t="e">
        <f t="shared" ref="E7:E13" ca="1" si="0">SUMIF(INDIRECT("'"&amp;A7&amp;"'"&amp;"!C:C"),"建筑面积",INDIRECT("'"&amp;A7&amp;"'"&amp;"!D:D"))</f>
        <v>#REF!</v>
      </c>
      <c r="F7" s="2769"/>
      <c r="G7" s="2769"/>
      <c r="H7" s="2769"/>
      <c r="I7" s="2769"/>
      <c r="J7" s="2769"/>
      <c r="K7" s="2769"/>
      <c r="L7" s="2769"/>
      <c r="M7" s="2769"/>
      <c r="N7" s="2769"/>
      <c r="O7" s="2769"/>
      <c r="P7" s="2769"/>
    </row>
    <row r="8" spans="1:16" ht="15.75">
      <c r="A8" s="2586"/>
      <c r="B8" s="2579" t="e">
        <f t="shared" ref="B8:B13" ca="1" si="1">SUMIF(INDIRECT("'"&amp;A8&amp;"'"&amp;"!A:A"),"总价",INDIRECT("'"&amp;A8&amp;"'"&amp;"!B:B"))</f>
        <v>#REF!</v>
      </c>
      <c r="C8" s="2145" t="s">
        <v>2056</v>
      </c>
      <c r="D8" s="2769"/>
      <c r="E8" s="2589" t="e">
        <f t="shared" ca="1" si="0"/>
        <v>#REF!</v>
      </c>
      <c r="F8" s="2769"/>
      <c r="G8" s="2769"/>
      <c r="H8" s="2769"/>
      <c r="I8" s="2769"/>
      <c r="J8" s="2769"/>
      <c r="K8" s="2769"/>
      <c r="L8" s="2769"/>
      <c r="M8" s="2769"/>
      <c r="N8" s="2769"/>
      <c r="O8" s="2769"/>
      <c r="P8" s="2769"/>
    </row>
    <row r="9" spans="1:16" ht="15.75">
      <c r="A9" s="2586"/>
      <c r="B9" s="2579" t="e">
        <f t="shared" ca="1" si="1"/>
        <v>#REF!</v>
      </c>
      <c r="C9" s="2145" t="s">
        <v>2056</v>
      </c>
      <c r="D9" s="2769"/>
      <c r="E9" s="2589" t="e">
        <f t="shared" ca="1" si="0"/>
        <v>#REF!</v>
      </c>
      <c r="F9" s="2769"/>
      <c r="G9" s="2769"/>
      <c r="H9" s="2769"/>
      <c r="I9" s="2769"/>
      <c r="J9" s="2769"/>
      <c r="K9" s="2769"/>
      <c r="L9" s="2769"/>
      <c r="M9" s="2769"/>
      <c r="N9" s="2769"/>
      <c r="O9" s="2769"/>
      <c r="P9" s="2769"/>
    </row>
    <row r="10" spans="1:16" ht="15.75">
      <c r="A10" s="2586"/>
      <c r="B10" s="2579" t="e">
        <f t="shared" ca="1" si="1"/>
        <v>#REF!</v>
      </c>
      <c r="C10" s="2145" t="s">
        <v>2056</v>
      </c>
      <c r="D10" s="2769"/>
      <c r="E10" s="2589" t="e">
        <f t="shared" ca="1" si="0"/>
        <v>#REF!</v>
      </c>
      <c r="F10" s="2769"/>
      <c r="G10" s="2769"/>
      <c r="H10" s="2769"/>
      <c r="I10" s="2769"/>
      <c r="J10" s="2769"/>
      <c r="K10" s="2769"/>
      <c r="L10" s="2769"/>
      <c r="M10" s="2769"/>
      <c r="N10" s="2769"/>
      <c r="O10" s="2769"/>
      <c r="P10" s="2769"/>
    </row>
    <row r="11" spans="1:16" ht="15.75">
      <c r="A11" s="2586"/>
      <c r="B11" s="2579" t="e">
        <f t="shared" ca="1" si="1"/>
        <v>#REF!</v>
      </c>
      <c r="C11" s="2145" t="s">
        <v>2056</v>
      </c>
      <c r="D11" s="2769"/>
      <c r="E11" s="2589" t="e">
        <f t="shared" ca="1" si="0"/>
        <v>#REF!</v>
      </c>
      <c r="F11" s="2769"/>
      <c r="G11" s="2769"/>
      <c r="H11" s="2769"/>
      <c r="I11" s="2769"/>
      <c r="J11" s="2769"/>
      <c r="K11" s="2769"/>
      <c r="L11" s="2769"/>
      <c r="M11" s="2769"/>
      <c r="N11" s="2769"/>
      <c r="O11" s="2769"/>
      <c r="P11" s="2769"/>
    </row>
    <row r="12" spans="1:16" ht="15.75">
      <c r="A12" s="2586"/>
      <c r="B12" s="2579" t="e">
        <f t="shared" ca="1" si="1"/>
        <v>#REF!</v>
      </c>
      <c r="C12" s="2145" t="s">
        <v>2056</v>
      </c>
      <c r="D12" s="2769"/>
      <c r="E12" s="2589" t="e">
        <f t="shared" ca="1" si="0"/>
        <v>#REF!</v>
      </c>
      <c r="F12" s="2769"/>
      <c r="G12" s="2769"/>
      <c r="H12" s="2769"/>
      <c r="I12" s="2769"/>
      <c r="J12" s="2769"/>
      <c r="K12" s="2769"/>
      <c r="L12" s="2769"/>
      <c r="M12" s="2769"/>
      <c r="N12" s="2769"/>
      <c r="O12" s="2769"/>
      <c r="P12" s="2769"/>
    </row>
    <row r="13" spans="1:16" ht="15.75">
      <c r="A13" s="2586"/>
      <c r="B13" s="2579" t="e">
        <f t="shared" ca="1" si="1"/>
        <v>#REF!</v>
      </c>
      <c r="C13" s="2145" t="s">
        <v>2056</v>
      </c>
      <c r="D13" s="2769"/>
      <c r="E13" s="2589"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2575</v>
      </c>
      <c r="B1" s="3048" t="s">
        <v>2576</v>
      </c>
      <c r="C1" s="3048" t="s">
        <v>2577</v>
      </c>
      <c r="D1" s="3048" t="s">
        <v>2578</v>
      </c>
      <c r="E1" s="3048" t="s">
        <v>2579</v>
      </c>
      <c r="F1" s="3048" t="s">
        <v>2580</v>
      </c>
      <c r="G1" s="3048" t="s">
        <v>2581</v>
      </c>
      <c r="H1" s="3048" t="s">
        <v>2582</v>
      </c>
      <c r="I1" s="3048" t="s">
        <v>2583</v>
      </c>
      <c r="J1" s="3048" t="s">
        <v>2584</v>
      </c>
      <c r="K1" s="3048" t="s">
        <v>2585</v>
      </c>
      <c r="L1" s="3048" t="s">
        <v>2586</v>
      </c>
      <c r="M1" s="3049" t="s">
        <v>2587</v>
      </c>
    </row>
    <row r="2" spans="1:13" ht="19.5" customHeight="1">
      <c r="A2" s="3051" t="s">
        <v>2588</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2589</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2590</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2591</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2592</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2593</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2594</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2595</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2596</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2597</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2598</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2599</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2600</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2601</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2602</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2603</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2604</v>
      </c>
      <c r="B18" s="3073"/>
      <c r="C18" s="3074"/>
      <c r="D18" s="3074"/>
      <c r="E18" s="3073"/>
      <c r="F18" s="3074"/>
      <c r="G18" s="3074"/>
    </row>
    <row r="19" spans="1:13" ht="19.5" customHeight="1" thickBot="1">
      <c r="A19" s="3071" t="s">
        <v>2605</v>
      </c>
      <c r="B19" s="3076" t="s">
        <v>2606</v>
      </c>
      <c r="C19" s="3076" t="s">
        <v>2607</v>
      </c>
      <c r="D19" s="3077"/>
      <c r="E19" s="3071" t="s">
        <v>2608</v>
      </c>
      <c r="F19" s="3078"/>
      <c r="G19" s="3078"/>
    </row>
    <row r="20" spans="1:13" ht="19.5" customHeight="1">
      <c r="A20" s="3897" t="s">
        <v>2588</v>
      </c>
      <c r="B20" s="3890" t="s">
        <v>2609</v>
      </c>
      <c r="C20" s="3079" t="s">
        <v>2420</v>
      </c>
      <c r="D20" s="3080"/>
      <c r="E20" s="3081">
        <v>1</v>
      </c>
      <c r="F20" s="3082" t="s">
        <v>2421</v>
      </c>
      <c r="G20" s="3082"/>
    </row>
    <row r="21" spans="1:13" ht="19.5" customHeight="1">
      <c r="A21" s="3898"/>
      <c r="B21" s="3891"/>
      <c r="C21" s="3083" t="s">
        <v>2422</v>
      </c>
      <c r="D21" s="3084"/>
      <c r="E21" s="3085">
        <v>1</v>
      </c>
      <c r="F21" s="3082" t="s">
        <v>2423</v>
      </c>
      <c r="G21" s="3082"/>
    </row>
    <row r="22" spans="1:13" ht="19.5" customHeight="1">
      <c r="A22" s="3898"/>
      <c r="B22" s="3891"/>
      <c r="C22" s="3083" t="s">
        <v>2424</v>
      </c>
      <c r="D22" s="3084"/>
      <c r="E22" s="3085">
        <v>0.9</v>
      </c>
      <c r="F22" s="3082" t="s">
        <v>2425</v>
      </c>
      <c r="G22" s="3082"/>
    </row>
    <row r="23" spans="1:13" ht="19.5" customHeight="1">
      <c r="A23" s="3898"/>
      <c r="B23" s="3891"/>
      <c r="C23" s="3083" t="s">
        <v>2426</v>
      </c>
      <c r="D23" s="3084"/>
      <c r="E23" s="3085">
        <v>0.9</v>
      </c>
      <c r="F23" s="3082" t="s">
        <v>2427</v>
      </c>
      <c r="G23" s="3082"/>
    </row>
    <row r="24" spans="1:13" ht="19.5" customHeight="1">
      <c r="A24" s="3898"/>
      <c r="B24" s="3891"/>
      <c r="C24" s="3083" t="s">
        <v>2428</v>
      </c>
      <c r="D24" s="3084"/>
      <c r="E24" s="3085">
        <v>0.8</v>
      </c>
      <c r="F24" s="3082" t="s">
        <v>2429</v>
      </c>
      <c r="G24" s="3082"/>
    </row>
    <row r="25" spans="1:13" ht="19.5" customHeight="1" thickBot="1">
      <c r="A25" s="3899"/>
      <c r="B25" s="3892"/>
      <c r="C25" s="3086" t="s">
        <v>2430</v>
      </c>
      <c r="D25" s="3087"/>
      <c r="E25" s="3088">
        <v>0.8</v>
      </c>
      <c r="F25" s="3082" t="s">
        <v>2431</v>
      </c>
      <c r="G25" s="3082"/>
    </row>
    <row r="26" spans="1:13" ht="19.5" customHeight="1" thickBot="1">
      <c r="A26" s="3089" t="s">
        <v>2610</v>
      </c>
      <c r="B26" s="3090" t="s">
        <v>2609</v>
      </c>
      <c r="C26" s="3091" t="s">
        <v>2611</v>
      </c>
      <c r="D26" s="3092"/>
      <c r="E26" s="3093">
        <v>1</v>
      </c>
      <c r="F26" s="3082" t="s">
        <v>2432</v>
      </c>
      <c r="G26" s="3082"/>
    </row>
    <row r="27" spans="1:13" ht="19.5" customHeight="1">
      <c r="A27" s="3893" t="s">
        <v>2612</v>
      </c>
      <c r="B27" s="3890" t="s">
        <v>2593</v>
      </c>
      <c r="C27" s="3079" t="s">
        <v>2433</v>
      </c>
      <c r="D27" s="3080"/>
      <c r="E27" s="3081">
        <v>1</v>
      </c>
      <c r="F27" s="3082" t="s">
        <v>2434</v>
      </c>
      <c r="G27" s="3082"/>
    </row>
    <row r="28" spans="1:13" ht="19.5" customHeight="1">
      <c r="A28" s="3894"/>
      <c r="B28" s="3891"/>
      <c r="C28" s="3083" t="s">
        <v>2435</v>
      </c>
      <c r="D28" s="3084"/>
      <c r="E28" s="3085">
        <v>1</v>
      </c>
      <c r="F28" s="3082" t="s">
        <v>2436</v>
      </c>
      <c r="G28" s="3082"/>
    </row>
    <row r="29" spans="1:13" ht="19.5" customHeight="1">
      <c r="A29" s="3894"/>
      <c r="B29" s="3891"/>
      <c r="C29" s="3083" t="s">
        <v>2437</v>
      </c>
      <c r="D29" s="3084"/>
      <c r="E29" s="3085">
        <v>0.8</v>
      </c>
      <c r="F29" s="3082" t="s">
        <v>2438</v>
      </c>
      <c r="G29" s="3082"/>
    </row>
    <row r="30" spans="1:13" ht="19.5" customHeight="1">
      <c r="A30" s="3894"/>
      <c r="B30" s="3891"/>
      <c r="C30" s="3083" t="s">
        <v>2439</v>
      </c>
      <c r="D30" s="3084"/>
      <c r="E30" s="3085">
        <v>0.8</v>
      </c>
      <c r="F30" s="3082" t="s">
        <v>2440</v>
      </c>
      <c r="G30" s="3082"/>
    </row>
    <row r="31" spans="1:13" ht="19.5" customHeight="1">
      <c r="A31" s="3894"/>
      <c r="B31" s="3891"/>
      <c r="C31" s="3083" t="s">
        <v>2441</v>
      </c>
      <c r="D31" s="3084"/>
      <c r="E31" s="3085">
        <v>0.8</v>
      </c>
      <c r="F31" s="3082" t="s">
        <v>2442</v>
      </c>
      <c r="G31" s="3082"/>
    </row>
    <row r="32" spans="1:13" ht="19.5" customHeight="1">
      <c r="A32" s="3894"/>
      <c r="B32" s="3891"/>
      <c r="C32" s="3083" t="s">
        <v>2443</v>
      </c>
      <c r="D32" s="3084"/>
      <c r="E32" s="3085">
        <v>0.7</v>
      </c>
      <c r="F32" s="3082" t="s">
        <v>2444</v>
      </c>
      <c r="G32" s="3082"/>
    </row>
    <row r="33" spans="1:7" ht="19.5" customHeight="1">
      <c r="A33" s="3894"/>
      <c r="B33" s="3891"/>
      <c r="C33" s="3083" t="s">
        <v>2445</v>
      </c>
      <c r="D33" s="3084"/>
      <c r="E33" s="3085">
        <v>0.8</v>
      </c>
      <c r="F33" s="3082" t="s">
        <v>2446</v>
      </c>
      <c r="G33" s="3082"/>
    </row>
    <row r="34" spans="1:7" ht="19.5" customHeight="1">
      <c r="A34" s="3894"/>
      <c r="B34" s="3891"/>
      <c r="C34" s="3083" t="s">
        <v>2447</v>
      </c>
      <c r="D34" s="3084"/>
      <c r="E34" s="3085">
        <v>0.6</v>
      </c>
      <c r="F34" s="3082" t="s">
        <v>2448</v>
      </c>
      <c r="G34" s="3082"/>
    </row>
    <row r="35" spans="1:7" ht="19.5" customHeight="1">
      <c r="A35" s="3894"/>
      <c r="B35" s="3891"/>
      <c r="C35" s="3083" t="s">
        <v>2449</v>
      </c>
      <c r="D35" s="3084"/>
      <c r="E35" s="3085">
        <v>0.2</v>
      </c>
      <c r="F35" s="3082" t="s">
        <v>2450</v>
      </c>
      <c r="G35" s="3082"/>
    </row>
    <row r="36" spans="1:7" ht="19.5" customHeight="1">
      <c r="A36" s="3894"/>
      <c r="B36" s="3891"/>
      <c r="C36" s="3083" t="s">
        <v>2451</v>
      </c>
      <c r="D36" s="3084"/>
      <c r="E36" s="3085">
        <v>0.2</v>
      </c>
      <c r="F36" s="3082" t="s">
        <v>2452</v>
      </c>
      <c r="G36" s="3082"/>
    </row>
    <row r="37" spans="1:7" ht="19.5" customHeight="1">
      <c r="A37" s="3894"/>
      <c r="B37" s="3896" t="s">
        <v>2613</v>
      </c>
      <c r="C37" s="3083" t="s">
        <v>2453</v>
      </c>
      <c r="D37" s="3084"/>
      <c r="E37" s="3085">
        <v>0.6</v>
      </c>
      <c r="F37" s="3082" t="s">
        <v>2454</v>
      </c>
      <c r="G37" s="3082"/>
    </row>
    <row r="38" spans="1:7" ht="19.5" customHeight="1">
      <c r="A38" s="3894"/>
      <c r="B38" s="3891"/>
      <c r="C38" s="3083" t="s">
        <v>2455</v>
      </c>
      <c r="D38" s="3084"/>
      <c r="E38" s="3085">
        <v>0.6</v>
      </c>
      <c r="F38" s="3082" t="s">
        <v>2456</v>
      </c>
      <c r="G38" s="3082"/>
    </row>
    <row r="39" spans="1:7" ht="19.5" customHeight="1" thickBot="1">
      <c r="A39" s="3895"/>
      <c r="B39" s="3892"/>
      <c r="C39" s="3086" t="s">
        <v>2457</v>
      </c>
      <c r="D39" s="3087"/>
      <c r="E39" s="3088">
        <v>0.6</v>
      </c>
      <c r="F39" s="3082" t="s">
        <v>2458</v>
      </c>
      <c r="G39" s="3082"/>
    </row>
    <row r="40" spans="1:7" ht="19.5" customHeight="1" thickBot="1">
      <c r="A40" s="3089" t="s">
        <v>2590</v>
      </c>
      <c r="B40" s="3090" t="s">
        <v>2590</v>
      </c>
      <c r="C40" s="3091" t="s">
        <v>2614</v>
      </c>
      <c r="D40" s="3092"/>
      <c r="E40" s="3093">
        <v>1</v>
      </c>
      <c r="F40" s="3082" t="s">
        <v>2459</v>
      </c>
      <c r="G40" s="3082"/>
    </row>
    <row r="41" spans="1:7" ht="19.5" customHeight="1">
      <c r="A41" s="3897" t="s">
        <v>2591</v>
      </c>
      <c r="B41" s="3890" t="s">
        <v>2615</v>
      </c>
      <c r="C41" s="3079" t="s">
        <v>2460</v>
      </c>
      <c r="D41" s="3080"/>
      <c r="E41" s="3081">
        <v>1</v>
      </c>
      <c r="F41" s="3082" t="s">
        <v>2461</v>
      </c>
      <c r="G41" s="3082"/>
    </row>
    <row r="42" spans="1:7" ht="19.5" customHeight="1">
      <c r="A42" s="3898"/>
      <c r="B42" s="3891"/>
      <c r="C42" s="3083" t="s">
        <v>2462</v>
      </c>
      <c r="D42" s="3084"/>
      <c r="E42" s="3085">
        <v>1</v>
      </c>
      <c r="F42" s="3082" t="s">
        <v>2463</v>
      </c>
      <c r="G42" s="3082"/>
    </row>
    <row r="43" spans="1:7" ht="19.5" customHeight="1">
      <c r="A43" s="3898"/>
      <c r="B43" s="3900"/>
      <c r="C43" s="3083" t="s">
        <v>2464</v>
      </c>
      <c r="D43" s="3084"/>
      <c r="E43" s="3085">
        <v>1.5</v>
      </c>
      <c r="F43" s="3082" t="s">
        <v>2465</v>
      </c>
      <c r="G43" s="3082"/>
    </row>
    <row r="44" spans="1:7" ht="19.5" customHeight="1">
      <c r="A44" s="3898"/>
      <c r="B44" s="3094" t="s">
        <v>2616</v>
      </c>
      <c r="C44" s="3083" t="s">
        <v>2617</v>
      </c>
      <c r="D44" s="3084"/>
      <c r="E44" s="3085">
        <v>2</v>
      </c>
      <c r="F44" s="3082" t="s">
        <v>2466</v>
      </c>
      <c r="G44" s="3082"/>
    </row>
    <row r="45" spans="1:7" ht="19.5" customHeight="1">
      <c r="A45" s="3898"/>
      <c r="B45" s="3896" t="s">
        <v>2618</v>
      </c>
      <c r="C45" s="3083" t="s">
        <v>2467</v>
      </c>
      <c r="D45" s="3084"/>
      <c r="E45" s="3085">
        <v>1</v>
      </c>
      <c r="F45" s="3082" t="s">
        <v>2468</v>
      </c>
      <c r="G45" s="3082"/>
    </row>
    <row r="46" spans="1:7" ht="19.5" customHeight="1">
      <c r="A46" s="3898"/>
      <c r="B46" s="3891"/>
      <c r="C46" s="3083" t="s">
        <v>2469</v>
      </c>
      <c r="D46" s="3084"/>
      <c r="E46" s="3085">
        <v>1</v>
      </c>
      <c r="F46" s="3082" t="s">
        <v>2470</v>
      </c>
      <c r="G46" s="3082"/>
    </row>
    <row r="47" spans="1:7" ht="19.5" customHeight="1">
      <c r="A47" s="3898"/>
      <c r="B47" s="3891"/>
      <c r="C47" s="3083" t="s">
        <v>2471</v>
      </c>
      <c r="D47" s="3084"/>
      <c r="E47" s="3085">
        <v>1</v>
      </c>
      <c r="F47" s="3082" t="s">
        <v>2472</v>
      </c>
      <c r="G47" s="3082"/>
    </row>
    <row r="48" spans="1:7" ht="19.5" customHeight="1">
      <c r="A48" s="3898"/>
      <c r="B48" s="3891"/>
      <c r="C48" s="3083" t="s">
        <v>2473</v>
      </c>
      <c r="D48" s="3084"/>
      <c r="E48" s="3085">
        <v>1</v>
      </c>
      <c r="F48" s="3082" t="s">
        <v>2474</v>
      </c>
      <c r="G48" s="3082"/>
    </row>
    <row r="49" spans="1:7" ht="19.5" customHeight="1">
      <c r="A49" s="3898"/>
      <c r="B49" s="3891"/>
      <c r="C49" s="3083" t="s">
        <v>2475</v>
      </c>
      <c r="D49" s="3084"/>
      <c r="E49" s="3085">
        <v>1</v>
      </c>
      <c r="F49" s="3082" t="s">
        <v>2476</v>
      </c>
      <c r="G49" s="3082"/>
    </row>
    <row r="50" spans="1:7" ht="19.5" customHeight="1">
      <c r="A50" s="3898"/>
      <c r="B50" s="3891"/>
      <c r="C50" s="3083" t="s">
        <v>2477</v>
      </c>
      <c r="D50" s="3084"/>
      <c r="E50" s="3085">
        <v>1</v>
      </c>
      <c r="F50" s="3082" t="s">
        <v>2478</v>
      </c>
      <c r="G50" s="3082"/>
    </row>
    <row r="51" spans="1:7" ht="19.5" customHeight="1" thickBot="1">
      <c r="A51" s="3899"/>
      <c r="B51" s="3892"/>
      <c r="C51" s="3086" t="s">
        <v>2479</v>
      </c>
      <c r="D51" s="3087"/>
      <c r="E51" s="3088">
        <v>1</v>
      </c>
      <c r="F51" s="3082" t="s">
        <v>2480</v>
      </c>
      <c r="G51" s="3082"/>
    </row>
    <row r="52" spans="1:7" ht="19.5" customHeight="1">
      <c r="A52" s="3095"/>
      <c r="B52" s="3095"/>
      <c r="C52" s="3095"/>
      <c r="D52" s="3095"/>
      <c r="E52" s="3095"/>
      <c r="F52" s="3095"/>
      <c r="G52" s="3095"/>
    </row>
    <row r="54" spans="1:7" ht="19.5" customHeight="1">
      <c r="A54" s="3096"/>
      <c r="B54" s="3068" t="s">
        <v>2619</v>
      </c>
      <c r="C54" s="3068" t="s">
        <v>2619</v>
      </c>
      <c r="D54" s="3068" t="s">
        <v>2619</v>
      </c>
      <c r="E54" s="3071" t="s">
        <v>2619</v>
      </c>
      <c r="F54" s="3071" t="s">
        <v>2620</v>
      </c>
      <c r="G54" s="3071" t="s">
        <v>2621</v>
      </c>
    </row>
    <row r="55" spans="1:7" ht="19.5" customHeight="1">
      <c r="A55" s="3097"/>
      <c r="B55" s="3071" t="s">
        <v>2588</v>
      </c>
      <c r="C55" s="3071" t="s">
        <v>2588</v>
      </c>
      <c r="D55" s="3071" t="s">
        <v>2588</v>
      </c>
      <c r="E55" s="3068" t="s">
        <v>2589</v>
      </c>
      <c r="F55" s="3068" t="s">
        <v>2591</v>
      </c>
      <c r="G55" s="3068" t="s">
        <v>2622</v>
      </c>
    </row>
    <row r="56" spans="1:7" ht="19.5" customHeight="1">
      <c r="A56" s="3098"/>
      <c r="B56" s="3068">
        <v>1</v>
      </c>
      <c r="C56" s="3068">
        <v>2</v>
      </c>
      <c r="D56" s="3068">
        <v>3</v>
      </c>
      <c r="E56" s="3099" t="s">
        <v>2623</v>
      </c>
      <c r="F56" s="3099" t="s">
        <v>2623</v>
      </c>
      <c r="G56" s="3099" t="s">
        <v>2623</v>
      </c>
    </row>
    <row r="57" spans="1:7" ht="19.5" customHeight="1">
      <c r="A57" s="3100" t="s">
        <v>2576</v>
      </c>
      <c r="B57" s="3068">
        <v>0.7</v>
      </c>
      <c r="C57" s="3068">
        <v>0.4</v>
      </c>
      <c r="D57" s="3068">
        <v>0.3</v>
      </c>
      <c r="E57" s="3099">
        <v>0.3</v>
      </c>
      <c r="F57" s="3068">
        <v>0.3</v>
      </c>
      <c r="G57" s="3068">
        <v>0.2</v>
      </c>
    </row>
    <row r="58" spans="1:7" ht="19.5" customHeight="1">
      <c r="A58" s="3100" t="s">
        <v>2577</v>
      </c>
      <c r="B58" s="3068">
        <v>0.7</v>
      </c>
      <c r="C58" s="3068">
        <v>0.4</v>
      </c>
      <c r="D58" s="3068">
        <v>0.3</v>
      </c>
      <c r="E58" s="3068">
        <v>0.3</v>
      </c>
      <c r="F58" s="3068">
        <v>0.3</v>
      </c>
      <c r="G58" s="3068">
        <v>0.2</v>
      </c>
    </row>
    <row r="59" spans="1:7" ht="19.5" customHeight="1">
      <c r="A59" s="3100" t="s">
        <v>2578</v>
      </c>
      <c r="B59" s="3068">
        <v>0.6</v>
      </c>
      <c r="C59" s="3068">
        <v>0.3</v>
      </c>
      <c r="D59" s="3068">
        <v>0.25</v>
      </c>
      <c r="E59" s="3068">
        <v>0.25</v>
      </c>
      <c r="F59" s="3068">
        <v>0.25</v>
      </c>
      <c r="G59" s="3068">
        <v>0.15</v>
      </c>
    </row>
    <row r="60" spans="1:7" ht="19.5" customHeight="1">
      <c r="A60" s="3100" t="s">
        <v>2579</v>
      </c>
      <c r="B60" s="3068">
        <v>0.6</v>
      </c>
      <c r="C60" s="3068">
        <v>0.3</v>
      </c>
      <c r="D60" s="3068">
        <v>0.25</v>
      </c>
      <c r="E60" s="3068">
        <v>0.25</v>
      </c>
      <c r="F60" s="3068">
        <v>0.25</v>
      </c>
      <c r="G60" s="3068">
        <v>0.15</v>
      </c>
    </row>
    <row r="61" spans="1:7" ht="19.5" customHeight="1">
      <c r="A61" s="3100" t="s">
        <v>2580</v>
      </c>
      <c r="B61" s="3068">
        <v>0.6</v>
      </c>
      <c r="C61" s="3068">
        <v>0.3</v>
      </c>
      <c r="D61" s="3068">
        <v>0.25</v>
      </c>
      <c r="E61" s="3068">
        <v>0.25</v>
      </c>
      <c r="F61" s="3068">
        <v>0.25</v>
      </c>
      <c r="G61" s="3068">
        <v>0.15</v>
      </c>
    </row>
    <row r="62" spans="1:7" ht="19.5" customHeight="1">
      <c r="A62" s="3100" t="s">
        <v>2581</v>
      </c>
      <c r="B62" s="3068">
        <v>0.6</v>
      </c>
      <c r="C62" s="3068">
        <v>0.3</v>
      </c>
      <c r="D62" s="3068">
        <v>0.25</v>
      </c>
      <c r="E62" s="3068">
        <v>0.25</v>
      </c>
      <c r="F62" s="3068">
        <v>0.25</v>
      </c>
      <c r="G62" s="3068">
        <v>0.15</v>
      </c>
    </row>
    <row r="63" spans="1:7" ht="19.5" customHeight="1">
      <c r="A63" s="3100" t="s">
        <v>2582</v>
      </c>
      <c r="B63" s="3068">
        <v>0.6</v>
      </c>
      <c r="C63" s="3068">
        <v>0.3</v>
      </c>
      <c r="D63" s="3068">
        <v>0.25</v>
      </c>
      <c r="E63" s="3068">
        <v>0.25</v>
      </c>
      <c r="F63" s="3068">
        <v>0.25</v>
      </c>
      <c r="G63" s="3068">
        <v>0.15</v>
      </c>
    </row>
    <row r="64" spans="1:7" ht="19.5" customHeight="1">
      <c r="A64" s="3100" t="s">
        <v>2583</v>
      </c>
      <c r="B64" s="3068">
        <v>0.5</v>
      </c>
      <c r="C64" s="3068">
        <v>0.2</v>
      </c>
      <c r="D64" s="3068">
        <v>0.2</v>
      </c>
      <c r="E64" s="3068">
        <v>0.2</v>
      </c>
      <c r="F64" s="3068">
        <v>0.2</v>
      </c>
      <c r="G64" s="3068">
        <v>0.1</v>
      </c>
    </row>
    <row r="65" spans="1:7" ht="19.5" customHeight="1">
      <c r="A65" s="3100" t="s">
        <v>2584</v>
      </c>
      <c r="B65" s="3068">
        <v>0.5</v>
      </c>
      <c r="C65" s="3068">
        <v>0.2</v>
      </c>
      <c r="D65" s="3068">
        <v>0.2</v>
      </c>
      <c r="E65" s="3068">
        <v>0.2</v>
      </c>
      <c r="F65" s="3068">
        <v>0.2</v>
      </c>
      <c r="G65" s="3068">
        <v>0.1</v>
      </c>
    </row>
    <row r="66" spans="1:7" ht="19.5" customHeight="1">
      <c r="A66" s="3100" t="s">
        <v>2585</v>
      </c>
      <c r="B66" s="3068">
        <v>0.5</v>
      </c>
      <c r="C66" s="3068">
        <v>0.2</v>
      </c>
      <c r="D66" s="3068">
        <v>0.2</v>
      </c>
      <c r="E66" s="3068">
        <v>0.2</v>
      </c>
      <c r="F66" s="3068">
        <v>0.2</v>
      </c>
      <c r="G66" s="3068">
        <v>0.1</v>
      </c>
    </row>
    <row r="67" spans="1:7" ht="19.5" customHeight="1">
      <c r="A67" s="3100" t="s">
        <v>2586</v>
      </c>
      <c r="B67" s="3068">
        <v>0.5</v>
      </c>
      <c r="C67" s="3068">
        <v>0.2</v>
      </c>
      <c r="D67" s="3068">
        <v>0.2</v>
      </c>
      <c r="E67" s="3068">
        <v>0.2</v>
      </c>
      <c r="F67" s="3068">
        <v>0.2</v>
      </c>
      <c r="G67" s="3068">
        <v>0.1</v>
      </c>
    </row>
    <row r="68" spans="1:7" ht="19.5" customHeight="1">
      <c r="A68" s="3100" t="s">
        <v>2587</v>
      </c>
      <c r="B68" s="3068">
        <v>0.5</v>
      </c>
      <c r="C68" s="3068">
        <v>0.2</v>
      </c>
      <c r="D68" s="3068">
        <v>0.2</v>
      </c>
      <c r="E68" s="3068">
        <v>0.2</v>
      </c>
      <c r="F68" s="3068">
        <v>0.2</v>
      </c>
      <c r="G68" s="3068">
        <v>0.1</v>
      </c>
    </row>
    <row r="70" spans="1:7" ht="19.5" customHeight="1">
      <c r="A70" s="3101"/>
      <c r="B70" s="3102"/>
      <c r="C70" s="3102"/>
      <c r="D70" s="3102" t="s">
        <v>2624</v>
      </c>
      <c r="E70" s="3102"/>
      <c r="F70" s="3102"/>
    </row>
    <row r="71" spans="1:7" ht="19.5" customHeight="1">
      <c r="A71" s="3094" t="s">
        <v>2625</v>
      </c>
      <c r="B71" s="3094" t="s">
        <v>2626</v>
      </c>
      <c r="C71" s="3094" t="s">
        <v>2627</v>
      </c>
      <c r="D71" s="3094" t="s">
        <v>2628</v>
      </c>
      <c r="E71" s="3094" t="s">
        <v>2629</v>
      </c>
      <c r="F71" s="3094" t="s">
        <v>2630</v>
      </c>
    </row>
    <row r="72" spans="1:7" ht="13.5">
      <c r="A72" s="3094"/>
      <c r="B72" s="3094"/>
      <c r="C72" s="3094" t="s">
        <v>2631</v>
      </c>
      <c r="D72" s="3094"/>
      <c r="E72" s="3094" t="s">
        <v>2602</v>
      </c>
      <c r="F72" s="3094" t="s">
        <v>2602</v>
      </c>
    </row>
    <row r="73" spans="1:7" ht="13.5">
      <c r="A73" s="3094">
        <v>1</v>
      </c>
      <c r="B73" s="3896" t="s">
        <v>2632</v>
      </c>
      <c r="C73" s="3068" t="s">
        <v>2633</v>
      </c>
      <c r="D73" s="3068" t="s">
        <v>2634</v>
      </c>
      <c r="E73" s="3094">
        <v>0.2</v>
      </c>
      <c r="F73" s="3094">
        <v>25</v>
      </c>
    </row>
    <row r="74" spans="1:7" ht="24">
      <c r="A74" s="3094">
        <v>2</v>
      </c>
      <c r="B74" s="3891"/>
      <c r="C74" s="3068" t="s">
        <v>2635</v>
      </c>
      <c r="D74" s="3068" t="s">
        <v>2636</v>
      </c>
      <c r="E74" s="3094">
        <v>0.2</v>
      </c>
      <c r="F74" s="3094">
        <v>25</v>
      </c>
    </row>
    <row r="75" spans="1:7" ht="24">
      <c r="A75" s="3094">
        <v>3</v>
      </c>
      <c r="B75" s="3891"/>
      <c r="C75" s="3068" t="s">
        <v>2637</v>
      </c>
      <c r="D75" s="3068" t="s">
        <v>2638</v>
      </c>
      <c r="E75" s="3094">
        <v>0.2</v>
      </c>
      <c r="F75" s="3094">
        <v>25</v>
      </c>
    </row>
    <row r="76" spans="1:7" ht="13.5">
      <c r="A76" s="3094">
        <v>4</v>
      </c>
      <c r="B76" s="3891"/>
      <c r="C76" s="3068" t="s">
        <v>2639</v>
      </c>
      <c r="D76" s="3068" t="s">
        <v>2640</v>
      </c>
      <c r="E76" s="3094">
        <v>0.15</v>
      </c>
      <c r="F76" s="3094">
        <v>20</v>
      </c>
    </row>
    <row r="77" spans="1:7" ht="24">
      <c r="A77" s="3094">
        <v>5</v>
      </c>
      <c r="B77" s="3891"/>
      <c r="C77" s="3068" t="s">
        <v>2641</v>
      </c>
      <c r="D77" s="3068" t="s">
        <v>2642</v>
      </c>
      <c r="E77" s="3094">
        <v>0.15</v>
      </c>
      <c r="F77" s="3094">
        <v>20</v>
      </c>
    </row>
    <row r="78" spans="1:7" ht="24">
      <c r="A78" s="3094">
        <v>6</v>
      </c>
      <c r="B78" s="3891"/>
      <c r="C78" s="3068" t="s">
        <v>2643</v>
      </c>
      <c r="D78" s="3068" t="s">
        <v>2644</v>
      </c>
      <c r="E78" s="3094">
        <v>0.15</v>
      </c>
      <c r="F78" s="3094">
        <v>20</v>
      </c>
    </row>
    <row r="79" spans="1:7" ht="24">
      <c r="A79" s="3094">
        <v>7</v>
      </c>
      <c r="B79" s="3891"/>
      <c r="C79" s="3068" t="s">
        <v>2645</v>
      </c>
      <c r="D79" s="3068" t="s">
        <v>2646</v>
      </c>
      <c r="E79" s="3094">
        <v>0.15</v>
      </c>
      <c r="F79" s="3094">
        <v>20</v>
      </c>
    </row>
    <row r="80" spans="1:7" ht="24">
      <c r="A80" s="3094">
        <v>8</v>
      </c>
      <c r="B80" s="3891"/>
      <c r="C80" s="3068" t="s">
        <v>2647</v>
      </c>
      <c r="D80" s="3068" t="s">
        <v>2648</v>
      </c>
      <c r="E80" s="3094">
        <v>0.1</v>
      </c>
      <c r="F80" s="3094">
        <v>15</v>
      </c>
    </row>
    <row r="81" spans="1:6" ht="24">
      <c r="A81" s="3094">
        <v>9</v>
      </c>
      <c r="B81" s="3891"/>
      <c r="C81" s="3068" t="s">
        <v>2649</v>
      </c>
      <c r="D81" s="3068" t="s">
        <v>2650</v>
      </c>
      <c r="E81" s="3094">
        <v>0.1</v>
      </c>
      <c r="F81" s="3094">
        <v>15</v>
      </c>
    </row>
    <row r="82" spans="1:6" ht="24">
      <c r="A82" s="3094">
        <v>10</v>
      </c>
      <c r="B82" s="3891"/>
      <c r="C82" s="3068" t="s">
        <v>2651</v>
      </c>
      <c r="D82" s="3068" t="s">
        <v>2652</v>
      </c>
      <c r="E82" s="3094">
        <v>0.1</v>
      </c>
      <c r="F82" s="3094">
        <v>15</v>
      </c>
    </row>
    <row r="83" spans="1:6" ht="24">
      <c r="A83" s="3094">
        <v>11</v>
      </c>
      <c r="B83" s="3891"/>
      <c r="C83" s="3068" t="s">
        <v>2653</v>
      </c>
      <c r="D83" s="3068" t="s">
        <v>2654</v>
      </c>
      <c r="E83" s="3094">
        <v>0.1</v>
      </c>
      <c r="F83" s="3094">
        <v>15</v>
      </c>
    </row>
    <row r="84" spans="1:6" ht="24">
      <c r="A84" s="3094">
        <v>12</v>
      </c>
      <c r="B84" s="3891"/>
      <c r="C84" s="3068" t="s">
        <v>2655</v>
      </c>
      <c r="D84" s="3068" t="s">
        <v>2656</v>
      </c>
      <c r="E84" s="3094">
        <v>0.1</v>
      </c>
      <c r="F84" s="3094">
        <v>15</v>
      </c>
    </row>
    <row r="85" spans="1:6" ht="13.5">
      <c r="A85" s="3094">
        <v>13</v>
      </c>
      <c r="B85" s="3891"/>
      <c r="C85" s="3068" t="s">
        <v>2657</v>
      </c>
      <c r="D85" s="3068" t="s">
        <v>2658</v>
      </c>
      <c r="E85" s="3094">
        <v>0.1</v>
      </c>
      <c r="F85" s="3094">
        <v>15</v>
      </c>
    </row>
    <row r="86" spans="1:6" ht="13.5">
      <c r="A86" s="3094">
        <v>14</v>
      </c>
      <c r="B86" s="3891"/>
      <c r="C86" s="3068" t="s">
        <v>2659</v>
      </c>
      <c r="D86" s="3068" t="s">
        <v>2660</v>
      </c>
      <c r="E86" s="3094">
        <v>0.1</v>
      </c>
      <c r="F86" s="3094">
        <v>15</v>
      </c>
    </row>
    <row r="87" spans="1:6" ht="13.5">
      <c r="A87" s="3094">
        <v>15</v>
      </c>
      <c r="B87" s="3891"/>
      <c r="C87" s="3068" t="s">
        <v>2661</v>
      </c>
      <c r="D87" s="3068" t="s">
        <v>2662</v>
      </c>
      <c r="E87" s="3094">
        <v>0.1</v>
      </c>
      <c r="F87" s="3094">
        <v>15</v>
      </c>
    </row>
    <row r="88" spans="1:6" ht="24">
      <c r="A88" s="3094">
        <v>16</v>
      </c>
      <c r="B88" s="3891"/>
      <c r="C88" s="3068" t="s">
        <v>2663</v>
      </c>
      <c r="D88" s="3068" t="s">
        <v>2664</v>
      </c>
      <c r="E88" s="3094">
        <v>0.1</v>
      </c>
      <c r="F88" s="3094">
        <v>15</v>
      </c>
    </row>
    <row r="89" spans="1:6" ht="24">
      <c r="A89" s="3094">
        <v>17</v>
      </c>
      <c r="B89" s="3900"/>
      <c r="C89" s="3068" t="s">
        <v>2665</v>
      </c>
      <c r="D89" s="3068" t="s">
        <v>2666</v>
      </c>
      <c r="E89" s="3094">
        <v>0.1</v>
      </c>
      <c r="F89" s="3094">
        <v>15</v>
      </c>
    </row>
    <row r="90" spans="1:6" ht="13.5">
      <c r="A90" s="3094">
        <v>18</v>
      </c>
      <c r="B90" s="3896" t="s">
        <v>2667</v>
      </c>
      <c r="C90" s="3068" t="s">
        <v>2668</v>
      </c>
      <c r="D90" s="3068" t="s">
        <v>2669</v>
      </c>
      <c r="E90" s="3094">
        <v>0.2</v>
      </c>
      <c r="F90" s="3094">
        <v>25</v>
      </c>
    </row>
    <row r="91" spans="1:6" ht="24">
      <c r="A91" s="3094">
        <v>19</v>
      </c>
      <c r="B91" s="3891"/>
      <c r="C91" s="3068" t="s">
        <v>2670</v>
      </c>
      <c r="D91" s="3068" t="s">
        <v>2671</v>
      </c>
      <c r="E91" s="3094">
        <v>0.2</v>
      </c>
      <c r="F91" s="3094">
        <v>25</v>
      </c>
    </row>
    <row r="92" spans="1:6" ht="13.5">
      <c r="A92" s="3094">
        <v>20</v>
      </c>
      <c r="B92" s="3891"/>
      <c r="C92" s="3068" t="s">
        <v>2672</v>
      </c>
      <c r="D92" s="3068" t="s">
        <v>2673</v>
      </c>
      <c r="E92" s="3094">
        <v>0.15</v>
      </c>
      <c r="F92" s="3094">
        <v>20</v>
      </c>
    </row>
    <row r="93" spans="1:6" ht="13.5">
      <c r="A93" s="3094">
        <v>21</v>
      </c>
      <c r="B93" s="3891"/>
      <c r="C93" s="3068" t="s">
        <v>2674</v>
      </c>
      <c r="D93" s="3068" t="s">
        <v>2675</v>
      </c>
      <c r="E93" s="3094">
        <v>0.15</v>
      </c>
      <c r="F93" s="3094">
        <v>20</v>
      </c>
    </row>
    <row r="94" spans="1:6" ht="13.5">
      <c r="A94" s="3094">
        <v>22</v>
      </c>
      <c r="B94" s="3891"/>
      <c r="C94" s="3068" t="s">
        <v>2676</v>
      </c>
      <c r="D94" s="3068" t="s">
        <v>2677</v>
      </c>
      <c r="E94" s="3094">
        <v>0.15</v>
      </c>
      <c r="F94" s="3094">
        <v>20</v>
      </c>
    </row>
    <row r="95" spans="1:6" ht="36">
      <c r="A95" s="3094">
        <v>23</v>
      </c>
      <c r="B95" s="3891"/>
      <c r="C95" s="3068" t="s">
        <v>2678</v>
      </c>
      <c r="D95" s="3068" t="s">
        <v>2679</v>
      </c>
      <c r="E95" s="3094">
        <v>0.15</v>
      </c>
      <c r="F95" s="3094">
        <v>20</v>
      </c>
    </row>
    <row r="96" spans="1:6" ht="13.5">
      <c r="A96" s="3094">
        <v>24</v>
      </c>
      <c r="B96" s="3891"/>
      <c r="C96" s="3068" t="s">
        <v>2680</v>
      </c>
      <c r="D96" s="3068" t="s">
        <v>2681</v>
      </c>
      <c r="E96" s="3094">
        <v>0.1</v>
      </c>
      <c r="F96" s="3094">
        <v>15</v>
      </c>
    </row>
    <row r="97" spans="1:6" ht="13.5">
      <c r="A97" s="3094">
        <v>25</v>
      </c>
      <c r="B97" s="3891"/>
      <c r="C97" s="3068" t="s">
        <v>2682</v>
      </c>
      <c r="D97" s="3068" t="s">
        <v>2683</v>
      </c>
      <c r="E97" s="3094">
        <v>0.1</v>
      </c>
      <c r="F97" s="3094">
        <v>15</v>
      </c>
    </row>
    <row r="98" spans="1:6" ht="24">
      <c r="A98" s="3094">
        <v>26</v>
      </c>
      <c r="B98" s="3891"/>
      <c r="C98" s="3068" t="s">
        <v>2684</v>
      </c>
      <c r="D98" s="3068" t="s">
        <v>2685</v>
      </c>
      <c r="E98" s="3094">
        <v>0.1</v>
      </c>
      <c r="F98" s="3094">
        <v>15</v>
      </c>
    </row>
    <row r="99" spans="1:6" ht="24">
      <c r="A99" s="3094">
        <v>27</v>
      </c>
      <c r="B99" s="3891"/>
      <c r="C99" s="3068" t="s">
        <v>2686</v>
      </c>
      <c r="D99" s="3068" t="s">
        <v>2687</v>
      </c>
      <c r="E99" s="3094">
        <v>0.1</v>
      </c>
      <c r="F99" s="3094">
        <v>15</v>
      </c>
    </row>
    <row r="100" spans="1:6" ht="13.5">
      <c r="A100" s="3094">
        <v>28</v>
      </c>
      <c r="B100" s="3891"/>
      <c r="C100" s="3068" t="s">
        <v>2688</v>
      </c>
      <c r="D100" s="3068" t="s">
        <v>2689</v>
      </c>
      <c r="E100" s="3094">
        <v>0.1</v>
      </c>
      <c r="F100" s="3094">
        <v>15</v>
      </c>
    </row>
    <row r="101" spans="1:6" ht="13.5">
      <c r="A101" s="3094">
        <v>29</v>
      </c>
      <c r="B101" s="3891"/>
      <c r="C101" s="3068" t="s">
        <v>2690</v>
      </c>
      <c r="D101" s="3068" t="s">
        <v>2691</v>
      </c>
      <c r="E101" s="3094">
        <v>0.1</v>
      </c>
      <c r="F101" s="3094">
        <v>15</v>
      </c>
    </row>
    <row r="102" spans="1:6" ht="13.5">
      <c r="A102" s="3094">
        <v>30</v>
      </c>
      <c r="B102" s="3891"/>
      <c r="C102" s="3068" t="s">
        <v>2692</v>
      </c>
      <c r="D102" s="3068" t="s">
        <v>2693</v>
      </c>
      <c r="E102" s="3094">
        <v>0.1</v>
      </c>
      <c r="F102" s="3094">
        <v>15</v>
      </c>
    </row>
    <row r="103" spans="1:6" ht="24">
      <c r="A103" s="3094">
        <v>31</v>
      </c>
      <c r="B103" s="3891"/>
      <c r="C103" s="3068" t="s">
        <v>2694</v>
      </c>
      <c r="D103" s="3068" t="s">
        <v>2695</v>
      </c>
      <c r="E103" s="3094">
        <v>0.1</v>
      </c>
      <c r="F103" s="3094">
        <v>15</v>
      </c>
    </row>
    <row r="104" spans="1:6" ht="24">
      <c r="A104" s="3094">
        <v>32</v>
      </c>
      <c r="B104" s="3891"/>
      <c r="C104" s="3068" t="s">
        <v>2696</v>
      </c>
      <c r="D104" s="3068" t="s">
        <v>2697</v>
      </c>
      <c r="E104" s="3094">
        <v>0.1</v>
      </c>
      <c r="F104" s="3094">
        <v>15</v>
      </c>
    </row>
    <row r="105" spans="1:6" ht="24">
      <c r="A105" s="3094">
        <v>33</v>
      </c>
      <c r="B105" s="3891"/>
      <c r="C105" s="3068" t="s">
        <v>2698</v>
      </c>
      <c r="D105" s="3068" t="s">
        <v>2699</v>
      </c>
      <c r="E105" s="3094">
        <v>0.1</v>
      </c>
      <c r="F105" s="3094">
        <v>15</v>
      </c>
    </row>
    <row r="106" spans="1:6" ht="24">
      <c r="A106" s="3094">
        <v>34</v>
      </c>
      <c r="B106" s="3900"/>
      <c r="C106" s="3068" t="s">
        <v>2700</v>
      </c>
      <c r="D106" s="3068" t="s">
        <v>2701</v>
      </c>
      <c r="E106" s="3094">
        <v>0.1</v>
      </c>
      <c r="F106" s="3094">
        <v>15</v>
      </c>
    </row>
    <row r="107" spans="1:6" ht="24">
      <c r="A107" s="3094">
        <v>35</v>
      </c>
      <c r="B107" s="3896" t="s">
        <v>2702</v>
      </c>
      <c r="C107" s="3094" t="s">
        <v>2703</v>
      </c>
      <c r="D107" s="3068" t="s">
        <v>2704</v>
      </c>
      <c r="E107" s="3094">
        <v>0.15</v>
      </c>
      <c r="F107" s="3094">
        <v>20</v>
      </c>
    </row>
    <row r="108" spans="1:6" ht="13.5">
      <c r="A108" s="3094">
        <v>36</v>
      </c>
      <c r="B108" s="3891"/>
      <c r="C108" s="3094" t="s">
        <v>2705</v>
      </c>
      <c r="D108" s="3068" t="s">
        <v>2706</v>
      </c>
      <c r="E108" s="3094">
        <v>0.15</v>
      </c>
      <c r="F108" s="3094">
        <v>20</v>
      </c>
    </row>
    <row r="109" spans="1:6" ht="13.5">
      <c r="A109" s="3094">
        <v>37</v>
      </c>
      <c r="B109" s="3891"/>
      <c r="C109" s="3094" t="s">
        <v>2707</v>
      </c>
      <c r="D109" s="3068" t="s">
        <v>2708</v>
      </c>
      <c r="E109" s="3094">
        <v>0.15</v>
      </c>
      <c r="F109" s="3094">
        <v>20</v>
      </c>
    </row>
    <row r="110" spans="1:6" ht="13.5">
      <c r="A110" s="3094">
        <v>38</v>
      </c>
      <c r="B110" s="3891"/>
      <c r="C110" s="3094" t="s">
        <v>2709</v>
      </c>
      <c r="D110" s="3068" t="s">
        <v>2710</v>
      </c>
      <c r="E110" s="3094">
        <v>0.1</v>
      </c>
      <c r="F110" s="3094">
        <v>15</v>
      </c>
    </row>
    <row r="111" spans="1:6" ht="24">
      <c r="A111" s="3094">
        <v>39</v>
      </c>
      <c r="B111" s="3891"/>
      <c r="C111" s="3094" t="s">
        <v>2711</v>
      </c>
      <c r="D111" s="3068" t="s">
        <v>2712</v>
      </c>
      <c r="E111" s="3094">
        <v>0.1</v>
      </c>
      <c r="F111" s="3094">
        <v>15</v>
      </c>
    </row>
    <row r="112" spans="1:6" ht="24">
      <c r="A112" s="3094">
        <v>40</v>
      </c>
      <c r="B112" s="3900"/>
      <c r="C112" s="3094" t="s">
        <v>2713</v>
      </c>
      <c r="D112" s="3068" t="s">
        <v>2714</v>
      </c>
      <c r="E112" s="3094">
        <v>0.1</v>
      </c>
      <c r="F112" s="3094">
        <v>15</v>
      </c>
    </row>
    <row r="113" spans="1:6" ht="13.5">
      <c r="A113" s="3094">
        <v>41</v>
      </c>
      <c r="B113" s="3901" t="s">
        <v>2715</v>
      </c>
      <c r="C113" s="3094" t="s">
        <v>2716</v>
      </c>
      <c r="D113" s="3068" t="s">
        <v>2717</v>
      </c>
      <c r="E113" s="3094">
        <v>0.1</v>
      </c>
      <c r="F113" s="3094">
        <v>15</v>
      </c>
    </row>
    <row r="114" spans="1:6" ht="13.5">
      <c r="A114" s="3094">
        <v>42</v>
      </c>
      <c r="B114" s="3901"/>
      <c r="C114" s="3094" t="s">
        <v>2718</v>
      </c>
      <c r="D114" s="3068" t="s">
        <v>2719</v>
      </c>
      <c r="E114" s="3094">
        <v>0.1</v>
      </c>
      <c r="F114" s="3094">
        <v>15</v>
      </c>
    </row>
    <row r="115" spans="1:6" ht="24">
      <c r="A115" s="3094">
        <v>43</v>
      </c>
      <c r="B115" s="3901"/>
      <c r="C115" s="3094" t="s">
        <v>2720</v>
      </c>
      <c r="D115" s="3068" t="s">
        <v>2721</v>
      </c>
      <c r="E115" s="3094">
        <v>0.1</v>
      </c>
      <c r="F115" s="3094">
        <v>15</v>
      </c>
    </row>
    <row r="116" spans="1:6" ht="13.5">
      <c r="A116" s="3094">
        <v>44</v>
      </c>
      <c r="B116" s="3896" t="s">
        <v>2722</v>
      </c>
      <c r="C116" s="3094" t="s">
        <v>2723</v>
      </c>
      <c r="D116" s="3068" t="s">
        <v>2724</v>
      </c>
      <c r="E116" s="3094">
        <v>0.1</v>
      </c>
      <c r="F116" s="3094">
        <v>15</v>
      </c>
    </row>
    <row r="117" spans="1:6" ht="24">
      <c r="A117" s="3094">
        <v>45</v>
      </c>
      <c r="B117" s="3900"/>
      <c r="C117" s="3068" t="s">
        <v>2725</v>
      </c>
      <c r="D117" s="3068" t="s">
        <v>2726</v>
      </c>
      <c r="E117" s="3094">
        <v>0.1</v>
      </c>
      <c r="F117" s="3094">
        <v>15</v>
      </c>
    </row>
    <row r="118" spans="1:6" ht="24">
      <c r="A118" s="3094">
        <v>46</v>
      </c>
      <c r="B118" s="3896" t="s">
        <v>2727</v>
      </c>
      <c r="C118" s="3094" t="s">
        <v>2728</v>
      </c>
      <c r="D118" s="3068" t="s">
        <v>2729</v>
      </c>
      <c r="E118" s="3094">
        <v>0.1</v>
      </c>
      <c r="F118" s="3094">
        <v>15</v>
      </c>
    </row>
    <row r="119" spans="1:6" ht="24">
      <c r="A119" s="3094">
        <v>47</v>
      </c>
      <c r="B119" s="3900"/>
      <c r="C119" s="3094" t="s">
        <v>2730</v>
      </c>
      <c r="D119" s="3068" t="s">
        <v>2731</v>
      </c>
      <c r="E119" s="3094">
        <v>0.1</v>
      </c>
      <c r="F119" s="3094">
        <v>15</v>
      </c>
    </row>
    <row r="120" spans="1:6" ht="13.5">
      <c r="A120" s="3094">
        <v>48</v>
      </c>
      <c r="B120" s="3896" t="s">
        <v>2732</v>
      </c>
      <c r="C120" s="3094" t="s">
        <v>2733</v>
      </c>
      <c r="D120" s="3068" t="s">
        <v>2734</v>
      </c>
      <c r="E120" s="3094">
        <v>0.1</v>
      </c>
      <c r="F120" s="3094">
        <v>15</v>
      </c>
    </row>
    <row r="121" spans="1:6" ht="13.5">
      <c r="A121" s="3094">
        <v>49</v>
      </c>
      <c r="B121" s="3900"/>
      <c r="C121" s="3094" t="s">
        <v>2735</v>
      </c>
      <c r="D121" s="3068" t="s">
        <v>2736</v>
      </c>
      <c r="E121" s="3094">
        <v>0.1</v>
      </c>
      <c r="F121" s="3094">
        <v>15</v>
      </c>
    </row>
    <row r="122" spans="1:6" ht="24">
      <c r="A122" s="3094">
        <v>50</v>
      </c>
      <c r="B122" s="3901" t="s">
        <v>2737</v>
      </c>
      <c r="C122" s="3094" t="s">
        <v>2738</v>
      </c>
      <c r="D122" s="3068" t="s">
        <v>2739</v>
      </c>
      <c r="E122" s="3094">
        <v>0.1</v>
      </c>
      <c r="F122" s="3094">
        <v>15</v>
      </c>
    </row>
    <row r="123" spans="1:6" ht="24">
      <c r="A123" s="3094">
        <v>51</v>
      </c>
      <c r="B123" s="3901"/>
      <c r="C123" s="3094" t="s">
        <v>2740</v>
      </c>
      <c r="D123" s="3068" t="s">
        <v>2741</v>
      </c>
      <c r="E123" s="3094">
        <v>0.1</v>
      </c>
      <c r="F123" s="3094">
        <v>15</v>
      </c>
    </row>
    <row r="124" spans="1:6" ht="24">
      <c r="A124" s="3094">
        <v>52</v>
      </c>
      <c r="B124" s="3901" t="s">
        <v>2742</v>
      </c>
      <c r="C124" s="3094" t="s">
        <v>2743</v>
      </c>
      <c r="D124" s="3068" t="s">
        <v>2744</v>
      </c>
      <c r="E124" s="3094">
        <v>0.1</v>
      </c>
      <c r="F124" s="3094">
        <v>15</v>
      </c>
    </row>
    <row r="125" spans="1:6" ht="24">
      <c r="A125" s="3094">
        <v>53</v>
      </c>
      <c r="B125" s="3901"/>
      <c r="C125" s="3094" t="s">
        <v>2745</v>
      </c>
      <c r="D125" s="3068" t="s">
        <v>2746</v>
      </c>
      <c r="E125" s="3094">
        <v>0.1</v>
      </c>
      <c r="F125" s="3094">
        <v>15</v>
      </c>
    </row>
    <row r="126" spans="1:6" ht="13.5">
      <c r="A126" s="3094">
        <v>54</v>
      </c>
      <c r="B126" s="3094" t="s">
        <v>2747</v>
      </c>
      <c r="C126" s="3094" t="s">
        <v>2748</v>
      </c>
      <c r="D126" s="3068" t="s">
        <v>2749</v>
      </c>
      <c r="E126" s="3094">
        <v>0.1</v>
      </c>
      <c r="F126" s="3094">
        <v>15</v>
      </c>
    </row>
    <row r="127" spans="1:6" ht="13.5">
      <c r="A127" s="3094">
        <v>55</v>
      </c>
      <c r="B127" s="3901" t="s">
        <v>2750</v>
      </c>
      <c r="C127" s="3094" t="s">
        <v>2751</v>
      </c>
      <c r="D127" s="3068" t="s">
        <v>2752</v>
      </c>
      <c r="E127" s="3094">
        <v>0.1</v>
      </c>
      <c r="F127" s="3094">
        <v>15</v>
      </c>
    </row>
    <row r="128" spans="1:6" ht="13.5">
      <c r="A128" s="3094">
        <v>56</v>
      </c>
      <c r="B128" s="3901"/>
      <c r="C128" s="3094" t="s">
        <v>2753</v>
      </c>
      <c r="D128" s="3068" t="s">
        <v>2754</v>
      </c>
      <c r="E128" s="3094">
        <v>0.1</v>
      </c>
      <c r="F128" s="3094">
        <v>15</v>
      </c>
    </row>
    <row r="129" spans="1:6" ht="24">
      <c r="A129" s="3094">
        <v>57</v>
      </c>
      <c r="B129" s="3901"/>
      <c r="C129" s="3094" t="s">
        <v>2755</v>
      </c>
      <c r="D129" s="3068" t="s">
        <v>2756</v>
      </c>
      <c r="E129" s="3094">
        <v>0.1</v>
      </c>
      <c r="F129" s="3094">
        <v>15</v>
      </c>
    </row>
    <row r="130" spans="1:6" ht="24">
      <c r="A130" s="3094">
        <v>58</v>
      </c>
      <c r="B130" s="3901" t="s">
        <v>2757</v>
      </c>
      <c r="C130" s="3094" t="s">
        <v>2758</v>
      </c>
      <c r="D130" s="3068" t="s">
        <v>2759</v>
      </c>
      <c r="E130" s="3094">
        <v>0.1</v>
      </c>
      <c r="F130" s="3094">
        <v>15</v>
      </c>
    </row>
    <row r="131" spans="1:6" ht="13.5">
      <c r="A131" s="3094">
        <v>59</v>
      </c>
      <c r="B131" s="3901"/>
      <c r="C131" s="3094" t="s">
        <v>2760</v>
      </c>
      <c r="D131" s="3068" t="s">
        <v>2761</v>
      </c>
      <c r="E131" s="3094">
        <v>0.1</v>
      </c>
      <c r="F131" s="3094">
        <v>15</v>
      </c>
    </row>
    <row r="132" spans="1:6" ht="13.5">
      <c r="A132" s="3094">
        <v>60</v>
      </c>
      <c r="B132" s="3896" t="s">
        <v>2762</v>
      </c>
      <c r="C132" s="3094" t="s">
        <v>2763</v>
      </c>
      <c r="D132" s="3068" t="s">
        <v>2764</v>
      </c>
      <c r="E132" s="3094">
        <v>0.1</v>
      </c>
      <c r="F132" s="3094">
        <v>15</v>
      </c>
    </row>
    <row r="133" spans="1:6" ht="13.5">
      <c r="A133" s="3094">
        <v>61</v>
      </c>
      <c r="B133" s="3900"/>
      <c r="C133" s="3094" t="s">
        <v>2765</v>
      </c>
      <c r="D133" s="3068" t="s">
        <v>2766</v>
      </c>
      <c r="E133" s="3094">
        <v>0.1</v>
      </c>
      <c r="F133" s="3094">
        <v>15</v>
      </c>
    </row>
    <row r="134" spans="1:6" ht="24">
      <c r="A134" s="3094">
        <v>62</v>
      </c>
      <c r="B134" s="3094" t="s">
        <v>2767</v>
      </c>
      <c r="C134" s="3094" t="s">
        <v>2768</v>
      </c>
      <c r="D134" s="3068" t="s">
        <v>2769</v>
      </c>
      <c r="E134" s="3094">
        <v>0.1</v>
      </c>
      <c r="F134" s="3094">
        <v>15</v>
      </c>
    </row>
    <row r="135" spans="1:6" ht="13.5">
      <c r="A135" s="3094">
        <v>63</v>
      </c>
      <c r="B135" s="3901" t="s">
        <v>2770</v>
      </c>
      <c r="C135" s="3094" t="s">
        <v>2771</v>
      </c>
      <c r="D135" s="3068" t="s">
        <v>2772</v>
      </c>
      <c r="E135" s="3094">
        <v>0.1</v>
      </c>
      <c r="F135" s="3094">
        <v>15</v>
      </c>
    </row>
    <row r="136" spans="1:6" ht="13.5">
      <c r="A136" s="3094">
        <v>64</v>
      </c>
      <c r="B136" s="3901"/>
      <c r="C136" s="3094" t="s">
        <v>2773</v>
      </c>
      <c r="D136" s="3068" t="s">
        <v>2774</v>
      </c>
      <c r="E136" s="3094">
        <v>0.1</v>
      </c>
      <c r="F136" s="3094">
        <v>15</v>
      </c>
    </row>
    <row r="137" spans="1:6" ht="13.5">
      <c r="A137" s="3094">
        <v>65</v>
      </c>
      <c r="B137" s="3094" t="s">
        <v>2775</v>
      </c>
      <c r="C137" s="3094" t="s">
        <v>2776</v>
      </c>
      <c r="D137" s="3068" t="s">
        <v>2777</v>
      </c>
      <c r="E137" s="3094">
        <v>0.1</v>
      </c>
      <c r="F137" s="3094">
        <v>15</v>
      </c>
    </row>
    <row r="138" spans="1:6" ht="13.5">
      <c r="A138" s="3094"/>
      <c r="B138" s="3094"/>
      <c r="C138" s="3094"/>
      <c r="D138" s="3094"/>
      <c r="E138" s="3094" t="s">
        <v>2778</v>
      </c>
      <c r="F138" s="3094" t="s">
        <v>2778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2779</v>
      </c>
      <c r="B1" s="3103"/>
      <c r="C1" s="3103"/>
      <c r="D1" s="3103"/>
      <c r="E1" s="3103"/>
      <c r="F1" s="3103"/>
      <c r="G1" s="3103"/>
      <c r="H1" s="3103"/>
      <c r="I1" s="3103"/>
      <c r="J1" s="3103"/>
      <c r="K1" s="3103"/>
      <c r="L1" s="3103"/>
      <c r="M1" s="3103"/>
      <c r="N1" s="749"/>
    </row>
    <row r="2" spans="1:20">
      <c r="A2" s="3104" t="s">
        <v>2780</v>
      </c>
      <c r="B2" s="3105" t="s">
        <v>2576</v>
      </c>
      <c r="C2" s="3105" t="s">
        <v>2577</v>
      </c>
      <c r="D2" s="3105" t="s">
        <v>2578</v>
      </c>
      <c r="E2" s="3105" t="s">
        <v>2579</v>
      </c>
      <c r="F2" s="3105" t="s">
        <v>2580</v>
      </c>
      <c r="G2" s="3105" t="s">
        <v>2581</v>
      </c>
      <c r="H2" s="3106" t="s">
        <v>2582</v>
      </c>
      <c r="I2" s="3106" t="s">
        <v>2583</v>
      </c>
      <c r="J2" s="3107" t="s">
        <v>2584</v>
      </c>
      <c r="K2" s="3107" t="s">
        <v>2585</v>
      </c>
      <c r="L2" s="3107" t="s">
        <v>2586</v>
      </c>
      <c r="M2" s="3108" t="s">
        <v>2587</v>
      </c>
      <c r="Q2" s="3118" t="s">
        <v>2785</v>
      </c>
      <c r="R2" s="3118" t="s">
        <v>2786</v>
      </c>
      <c r="S2" s="3118" t="s">
        <v>2787</v>
      </c>
      <c r="T2" s="3118" t="s">
        <v>2788</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2781</v>
      </c>
      <c r="B93" s="3103"/>
      <c r="C93" s="3103"/>
      <c r="D93" s="3103"/>
      <c r="E93" s="3103"/>
      <c r="F93" s="3103"/>
      <c r="G93" s="3103"/>
      <c r="H93" s="3103"/>
      <c r="I93" s="3103"/>
      <c r="J93" s="3103"/>
      <c r="K93" s="3103"/>
      <c r="L93" s="3103"/>
      <c r="M93" s="3103"/>
    </row>
    <row r="94" spans="1:20">
      <c r="A94" s="3104" t="s">
        <v>2780</v>
      </c>
      <c r="B94" s="3105" t="s">
        <v>2576</v>
      </c>
      <c r="C94" s="3105" t="s">
        <v>2577</v>
      </c>
      <c r="D94" s="3105" t="s">
        <v>2578</v>
      </c>
      <c r="E94" s="3105" t="s">
        <v>2579</v>
      </c>
      <c r="F94" s="3105" t="s">
        <v>2580</v>
      </c>
      <c r="G94" s="3105" t="s">
        <v>2581</v>
      </c>
      <c r="H94" s="3106" t="s">
        <v>2582</v>
      </c>
      <c r="I94" s="3106" t="s">
        <v>2583</v>
      </c>
      <c r="J94" s="3107" t="s">
        <v>2584</v>
      </c>
      <c r="K94" s="3107" t="s">
        <v>2585</v>
      </c>
      <c r="L94" s="3107" t="s">
        <v>2586</v>
      </c>
      <c r="M94" s="3108" t="s">
        <v>2587</v>
      </c>
      <c r="N94" s="750">
        <f>SUMPRODUCT((A95:A184=ROUNDDOWN(基准地价修正!G3,1))*(B94:M94=基准地价修正!G2)*(B95:M184))</f>
        <v>1</v>
      </c>
      <c r="Q94" s="3118" t="s">
        <v>2785</v>
      </c>
      <c r="R94" s="3118" t="s">
        <v>2786</v>
      </c>
      <c r="S94" s="3118" t="s">
        <v>2787</v>
      </c>
      <c r="T94" s="3118" t="s">
        <v>2788</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2782</v>
      </c>
      <c r="B185" s="3103"/>
      <c r="C185" s="3103"/>
      <c r="D185" s="3103"/>
      <c r="E185" s="3103"/>
      <c r="F185" s="3103"/>
      <c r="G185" s="3103"/>
      <c r="H185" s="3103"/>
      <c r="I185" s="3103"/>
      <c r="J185" s="3103"/>
      <c r="K185" s="3103"/>
      <c r="L185" s="3103"/>
      <c r="M185" s="3103"/>
    </row>
    <row r="186" spans="1:20">
      <c r="A186" s="3104" t="s">
        <v>2780</v>
      </c>
      <c r="B186" s="3105" t="s">
        <v>2576</v>
      </c>
      <c r="C186" s="3105" t="s">
        <v>2577</v>
      </c>
      <c r="D186" s="3105" t="s">
        <v>2578</v>
      </c>
      <c r="E186" s="3105" t="s">
        <v>2579</v>
      </c>
      <c r="F186" s="3105" t="s">
        <v>2580</v>
      </c>
      <c r="G186" s="3105" t="s">
        <v>2581</v>
      </c>
      <c r="H186" s="3106" t="s">
        <v>2582</v>
      </c>
      <c r="I186" s="3106" t="s">
        <v>2583</v>
      </c>
      <c r="J186" s="3107" t="s">
        <v>2584</v>
      </c>
      <c r="K186" s="3107" t="s">
        <v>2585</v>
      </c>
      <c r="L186" s="3107" t="s">
        <v>2586</v>
      </c>
      <c r="M186" s="3108" t="s">
        <v>2587</v>
      </c>
      <c r="Q186" s="3118" t="s">
        <v>2785</v>
      </c>
      <c r="R186" s="3118" t="s">
        <v>2786</v>
      </c>
      <c r="S186" s="3118" t="s">
        <v>2787</v>
      </c>
      <c r="T186" s="3118" t="s">
        <v>2788</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2783</v>
      </c>
      <c r="B277" s="3103"/>
      <c r="C277" s="3103"/>
      <c r="D277" s="3103"/>
      <c r="E277" s="3103"/>
      <c r="F277" s="3103"/>
      <c r="G277" s="3103"/>
      <c r="H277" s="3103"/>
      <c r="I277" s="3103"/>
      <c r="J277" s="3103"/>
      <c r="K277" s="3103"/>
      <c r="L277" s="3103"/>
      <c r="M277" s="3103"/>
    </row>
    <row r="278" spans="1:21">
      <c r="A278" s="3104" t="s">
        <v>2780</v>
      </c>
      <c r="B278" s="3105" t="s">
        <v>2576</v>
      </c>
      <c r="C278" s="3105" t="s">
        <v>2577</v>
      </c>
      <c r="D278" s="3105" t="s">
        <v>2578</v>
      </c>
      <c r="E278" s="3105" t="s">
        <v>2579</v>
      </c>
      <c r="F278" s="3105" t="s">
        <v>2580</v>
      </c>
      <c r="G278" s="3105" t="s">
        <v>2581</v>
      </c>
      <c r="H278" s="3106" t="s">
        <v>2582</v>
      </c>
      <c r="I278" s="3106" t="s">
        <v>2583</v>
      </c>
      <c r="J278" s="3107" t="s">
        <v>2584</v>
      </c>
      <c r="K278" s="3107" t="s">
        <v>2585</v>
      </c>
      <c r="L278" s="3107" t="s">
        <v>2586</v>
      </c>
      <c r="M278" s="3108" t="s">
        <v>2587</v>
      </c>
      <c r="Q278" s="3118" t="s">
        <v>2785</v>
      </c>
      <c r="R278" s="3118" t="s">
        <v>2786</v>
      </c>
      <c r="S278" s="3118" t="s">
        <v>2789</v>
      </c>
      <c r="T278" s="3118" t="s">
        <v>2790</v>
      </c>
      <c r="U278" s="3118" t="s">
        <v>2788</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2784</v>
      </c>
      <c r="B369" s="3116"/>
      <c r="C369" s="3116"/>
      <c r="D369" s="3116"/>
      <c r="E369" s="3116"/>
      <c r="F369" s="3116"/>
      <c r="G369" s="3116"/>
      <c r="H369" s="3116"/>
      <c r="I369" s="3116"/>
      <c r="J369" s="3116"/>
      <c r="K369" s="3116"/>
      <c r="L369" s="3116"/>
      <c r="M369" s="3116"/>
    </row>
    <row r="370" spans="1:20">
      <c r="A370" s="3104" t="s">
        <v>2780</v>
      </c>
      <c r="B370" s="3105" t="s">
        <v>2576</v>
      </c>
      <c r="C370" s="3105" t="s">
        <v>2577</v>
      </c>
      <c r="D370" s="3105" t="s">
        <v>2578</v>
      </c>
      <c r="E370" s="3105" t="s">
        <v>2579</v>
      </c>
      <c r="F370" s="3105" t="s">
        <v>2580</v>
      </c>
      <c r="G370" s="3105" t="s">
        <v>2581</v>
      </c>
      <c r="H370" s="3106" t="s">
        <v>2582</v>
      </c>
      <c r="I370" s="3106" t="s">
        <v>2583</v>
      </c>
      <c r="J370" s="3107" t="s">
        <v>2584</v>
      </c>
      <c r="K370" s="3107" t="s">
        <v>2585</v>
      </c>
      <c r="L370" s="3107" t="s">
        <v>2586</v>
      </c>
      <c r="M370" s="3108" t="s">
        <v>2587</v>
      </c>
      <c r="N370" s="750">
        <f>SUMPRODUCT((A371:A460=ROUNDDOWN(基准地价修正!G3,1))*(B370:M370=基准地价修正!G2)*(B371:M460))</f>
        <v>0.94710000000000005</v>
      </c>
      <c r="Q370" s="3118" t="s">
        <v>2785</v>
      </c>
      <c r="R370" s="3118" t="s">
        <v>2786</v>
      </c>
      <c r="S370" s="3118" t="s">
        <v>2787</v>
      </c>
      <c r="T370" s="3118" t="s">
        <v>2788</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46586</v>
      </c>
      <c r="C2" s="2" t="s">
        <v>106</v>
      </c>
      <c r="D2" s="199"/>
      <c r="E2" s="199"/>
      <c r="F2" s="199"/>
      <c r="G2" s="199"/>
    </row>
    <row r="3" spans="1:7" s="200" customFormat="1" ht="18" customHeight="1" thickBot="1">
      <c r="A3" s="203" t="s">
        <v>58</v>
      </c>
      <c r="B3" s="204">
        <f ca="1">ROUND(B2*10000/'数据-汇总表'!E3,0)</f>
        <v>14510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642</v>
      </c>
      <c r="D10" s="845">
        <f>'数据-汇总表'!E6</f>
        <v>32105.55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578</v>
      </c>
      <c r="D19" s="849">
        <f>'数据-汇总表'!E3</f>
        <v>32105.55</v>
      </c>
      <c r="E19" s="211">
        <f>'数据-取费表'!B31</f>
        <v>180</v>
      </c>
      <c r="F19" s="231"/>
      <c r="G19" s="1" t="s">
        <v>436</v>
      </c>
    </row>
    <row r="20" spans="1:7" s="214" customFormat="1" ht="13.5" customHeight="1">
      <c r="A20" s="777" t="s">
        <v>419</v>
      </c>
      <c r="B20" s="210" t="s">
        <v>77</v>
      </c>
      <c r="C20" s="232">
        <f>ROUND((C5+C19)*F20,0)</f>
        <v>424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3242</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3242</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28557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17434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16053</v>
      </c>
      <c r="D34" s="217"/>
      <c r="E34" s="220"/>
      <c r="F34" s="257">
        <f>IF('数据-取费表'!B24=0,1,'数据-取费表'!N16)</f>
        <v>1</v>
      </c>
      <c r="G34" s="219" t="s">
        <v>89</v>
      </c>
    </row>
    <row r="35" spans="1:7" ht="13.5" customHeight="1">
      <c r="A35" s="780" t="s">
        <v>351</v>
      </c>
      <c r="B35" s="215" t="s">
        <v>33</v>
      </c>
      <c r="C35" s="220">
        <f>ROUND(C34*F35,0)</f>
        <v>482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578</v>
      </c>
      <c r="D37" s="217">
        <f>'数据-汇总表'!E3</f>
        <v>32105.55</v>
      </c>
      <c r="E37" s="249">
        <f>'数据-取费表'!B35</f>
        <v>180</v>
      </c>
      <c r="F37" s="259"/>
      <c r="G37" s="261" t="s">
        <v>92</v>
      </c>
    </row>
    <row r="38" spans="1:7" ht="13.5" customHeight="1">
      <c r="A38" s="780" t="s">
        <v>354</v>
      </c>
      <c r="B38" s="215" t="s">
        <v>36</v>
      </c>
      <c r="C38" s="220">
        <f>ROUND(C34*F38,0)</f>
        <v>321</v>
      </c>
      <c r="D38" s="220"/>
      <c r="E38" s="220"/>
      <c r="F38" s="259">
        <f>'数据-取费表'!B36</f>
        <v>0.02</v>
      </c>
      <c r="G38" s="219" t="s">
        <v>90</v>
      </c>
    </row>
    <row r="39" spans="1:7" s="214" customFormat="1" ht="13.5" customHeight="1">
      <c r="A39" s="777" t="s">
        <v>338</v>
      </c>
      <c r="B39" s="210" t="s">
        <v>77</v>
      </c>
      <c r="C39" s="232">
        <f>ROUND(C33*F20,0)</f>
        <v>349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601</v>
      </c>
      <c r="D42" s="238"/>
      <c r="E42" s="238"/>
      <c r="F42" s="239"/>
      <c r="G42" s="3816" t="s">
        <v>94</v>
      </c>
    </row>
    <row r="43" spans="1:7" ht="13.5" customHeight="1">
      <c r="A43" s="780" t="s">
        <v>347</v>
      </c>
      <c r="B43" s="215" t="s">
        <v>426</v>
      </c>
      <c r="C43" s="238">
        <f ca="1">ROUND(IF('数据-取费表'!B22&lt;=1,C39*F22*'数据-取费表'!B21/2,C39*(POWER((1+F22),'数据-取费表'!B21/2)-1)),0)</f>
        <v>12</v>
      </c>
      <c r="D43" s="238"/>
      <c r="E43" s="238"/>
      <c r="F43" s="239"/>
      <c r="G43" s="3817"/>
    </row>
    <row r="44" spans="1:7" ht="13.5" customHeight="1">
      <c r="A44" s="780" t="s">
        <v>348</v>
      </c>
      <c r="B44" s="215" t="s">
        <v>428</v>
      </c>
      <c r="C44" s="238">
        <f ca="1">ROUND(IF('数据-取费表'!B22&lt;=1,C40*F22*'数据-取费表'!B21/2,C40*(POWER((1+F22),'数据-取费表'!B21/2)-1)),4)</f>
        <v>6.9999999999999999E-4</v>
      </c>
      <c r="D44" s="238"/>
      <c r="E44" s="238"/>
      <c r="F44" s="239"/>
      <c r="G44" s="3818"/>
    </row>
    <row r="45" spans="1:7" s="214" customFormat="1" ht="13.5" customHeight="1">
      <c r="A45" s="777" t="s">
        <v>341</v>
      </c>
      <c r="B45" s="244" t="s">
        <v>85</v>
      </c>
      <c r="C45" s="245">
        <f>C46</f>
        <v>2667</v>
      </c>
      <c r="D45" s="235">
        <f>C47</f>
        <v>3.0000000000000001E-3</v>
      </c>
      <c r="E45" s="236" t="s">
        <v>102</v>
      </c>
      <c r="F45" s="246"/>
      <c r="G45" s="247" t="s">
        <v>434</v>
      </c>
    </row>
    <row r="46" spans="1:7" s="214" customFormat="1" ht="13.5" customHeight="1">
      <c r="A46" s="780" t="s">
        <v>349</v>
      </c>
      <c r="B46" s="248" t="s">
        <v>427</v>
      </c>
      <c r="C46" s="249">
        <f>ROUND((C33+C39)*F27,0)</f>
        <v>2667</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22821</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18029</v>
      </c>
      <c r="D51" s="232"/>
      <c r="E51" s="232"/>
      <c r="F51" s="264"/>
      <c r="G51" s="234" t="s">
        <v>37</v>
      </c>
    </row>
    <row r="52" spans="1:7" s="208" customFormat="1" ht="16.5" thickBot="1">
      <c r="A52" s="265" t="s">
        <v>38</v>
      </c>
      <c r="B52" s="266"/>
      <c r="C52" s="267">
        <f ca="1">C31+C51</f>
        <v>46586</v>
      </c>
      <c r="D52" s="266"/>
      <c r="E52" s="266"/>
      <c r="F52" s="266"/>
      <c r="G52" s="268"/>
    </row>
    <row r="55" spans="1:7" ht="15">
      <c r="B55" s="270" t="s">
        <v>39</v>
      </c>
      <c r="C55" s="271"/>
    </row>
    <row r="56" spans="1:7">
      <c r="B56" s="273" t="s">
        <v>40</v>
      </c>
      <c r="C56" s="274">
        <f ca="1">ROUND(C51/C52,3)</f>
        <v>0.38700000000000001</v>
      </c>
    </row>
    <row r="57" spans="1:7">
      <c r="B57" s="273" t="s">
        <v>41</v>
      </c>
      <c r="C57" s="275">
        <f ca="1">1-C56</f>
        <v>0.61299999999999999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904" t="s">
        <v>2820</v>
      </c>
      <c r="B1" s="3904"/>
      <c r="C1" s="3904"/>
      <c r="D1" s="3904"/>
      <c r="E1" s="3904"/>
      <c r="F1" s="3904"/>
      <c r="G1" s="3905"/>
      <c r="I1" s="3199" t="s">
        <v>2821</v>
      </c>
      <c r="J1" s="3200" t="s">
        <v>2822</v>
      </c>
      <c r="K1" s="3200" t="s">
        <v>2823</v>
      </c>
      <c r="L1" s="3200" t="s">
        <v>2824</v>
      </c>
      <c r="M1" s="3200" t="s">
        <v>2825</v>
      </c>
      <c r="N1" s="3200" t="s">
        <v>2826</v>
      </c>
      <c r="O1" s="3200" t="s">
        <v>2827</v>
      </c>
      <c r="P1" s="3200" t="s">
        <v>2828</v>
      </c>
      <c r="Q1" s="3200" t="s">
        <v>2829</v>
      </c>
      <c r="R1" s="3200" t="s">
        <v>2830</v>
      </c>
      <c r="S1" s="3200" t="s">
        <v>2831</v>
      </c>
      <c r="T1" s="3201" t="s">
        <v>2832</v>
      </c>
    </row>
    <row r="2" spans="1:20" ht="12" thickBot="1">
      <c r="A2" s="3203" t="s">
        <v>2833</v>
      </c>
      <c r="B2" s="3203"/>
      <c r="C2" s="3203"/>
      <c r="D2" s="3203"/>
      <c r="E2" s="3203"/>
      <c r="F2" s="3203"/>
      <c r="G2" s="3204" t="s">
        <v>2834</v>
      </c>
      <c r="I2" s="3205" t="s">
        <v>2835</v>
      </c>
      <c r="J2" s="3205" t="s">
        <v>2836</v>
      </c>
      <c r="K2" s="3205" t="s">
        <v>2837</v>
      </c>
      <c r="L2" s="3205" t="s">
        <v>2838</v>
      </c>
      <c r="M2" s="3205" t="s">
        <v>2839</v>
      </c>
      <c r="N2" s="3205" t="s">
        <v>2840</v>
      </c>
      <c r="O2" s="3205" t="s">
        <v>2841</v>
      </c>
      <c r="P2" s="3205" t="s">
        <v>2842</v>
      </c>
      <c r="Q2" s="3205" t="s">
        <v>2843</v>
      </c>
      <c r="R2" s="3205" t="s">
        <v>2844</v>
      </c>
      <c r="S2" s="3205" t="s">
        <v>2845</v>
      </c>
      <c r="T2" s="3205" t="s">
        <v>2846</v>
      </c>
    </row>
    <row r="3" spans="1:20" s="3211" customFormat="1">
      <c r="A3" s="3902" t="s">
        <v>2847</v>
      </c>
      <c r="B3" s="3206"/>
      <c r="C3" s="3207" t="s">
        <v>2792</v>
      </c>
      <c r="D3" s="3207" t="s">
        <v>2848</v>
      </c>
      <c r="E3" s="3207" t="s">
        <v>2794</v>
      </c>
      <c r="F3" s="3207" t="s">
        <v>2849</v>
      </c>
      <c r="G3" s="3207" t="s">
        <v>2612</v>
      </c>
      <c r="H3" s="3208"/>
      <c r="I3" s="3209" t="s">
        <v>2850</v>
      </c>
      <c r="J3" s="3210" t="s">
        <v>128</v>
      </c>
      <c r="K3" s="3210" t="s">
        <v>129</v>
      </c>
      <c r="L3" s="3209" t="s">
        <v>130</v>
      </c>
      <c r="M3" s="3209" t="s">
        <v>131</v>
      </c>
      <c r="N3" s="3209" t="s">
        <v>132</v>
      </c>
      <c r="O3" s="3209" t="s">
        <v>133</v>
      </c>
      <c r="P3" s="3209" t="s">
        <v>134</v>
      </c>
      <c r="Q3" s="3209" t="s">
        <v>135</v>
      </c>
      <c r="R3" s="3209" t="s">
        <v>136</v>
      </c>
      <c r="S3" s="3209" t="s">
        <v>2851</v>
      </c>
      <c r="T3" s="3209" t="s">
        <v>2852</v>
      </c>
    </row>
    <row r="4" spans="1:20" s="3211" customFormat="1" ht="12" thickBot="1">
      <c r="A4" s="3903"/>
      <c r="B4" s="3212" t="s">
        <v>2853</v>
      </c>
      <c r="C4" s="3212" t="s">
        <v>2854</v>
      </c>
      <c r="D4" s="3212" t="s">
        <v>2854</v>
      </c>
      <c r="E4" s="3212" t="s">
        <v>2854</v>
      </c>
      <c r="F4" s="3213" t="s">
        <v>2854</v>
      </c>
      <c r="G4" s="3213" t="s">
        <v>2854</v>
      </c>
      <c r="H4" s="3208"/>
      <c r="I4" s="3210" t="s">
        <v>137</v>
      </c>
      <c r="J4" s="3210" t="s">
        <v>111</v>
      </c>
      <c r="K4" s="3210" t="s">
        <v>138</v>
      </c>
      <c r="L4" s="3209" t="s">
        <v>139</v>
      </c>
      <c r="M4" s="3209" t="s">
        <v>140</v>
      </c>
      <c r="N4" s="3209" t="s">
        <v>141</v>
      </c>
      <c r="O4" s="3209" t="s">
        <v>142</v>
      </c>
      <c r="P4" s="3209" t="s">
        <v>143</v>
      </c>
      <c r="Q4" s="3209" t="s">
        <v>2855</v>
      </c>
      <c r="R4" s="3209" t="s">
        <v>2856</v>
      </c>
      <c r="S4" s="3209" t="s">
        <v>2857</v>
      </c>
      <c r="T4" s="3209" t="s">
        <v>2858</v>
      </c>
    </row>
    <row r="5" spans="1:20">
      <c r="A5" s="3214" t="s">
        <v>2821</v>
      </c>
      <c r="B5" s="3205" t="s">
        <v>2835</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2859</v>
      </c>
      <c r="R5" s="3209" t="s">
        <v>2860</v>
      </c>
      <c r="S5" s="3209" t="s">
        <v>153</v>
      </c>
      <c r="T5" s="3209" t="s">
        <v>2861</v>
      </c>
    </row>
    <row r="6" spans="1:20" ht="12" thickBot="1">
      <c r="A6" s="3209" t="s">
        <v>144</v>
      </c>
      <c r="B6" s="3209" t="s">
        <v>2850</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2862</v>
      </c>
      <c r="Q6" s="3209" t="s">
        <v>2863</v>
      </c>
      <c r="R6" s="3209" t="s">
        <v>161</v>
      </c>
      <c r="S6" s="3209" t="s">
        <v>2864</v>
      </c>
      <c r="T6" s="3209" t="s">
        <v>2865</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2866</v>
      </c>
      <c r="Q7" s="3209" t="s">
        <v>2867</v>
      </c>
      <c r="R7" s="3209" t="s">
        <v>2868</v>
      </c>
      <c r="S7" s="3209" t="s">
        <v>2869</v>
      </c>
      <c r="T7" s="3209" t="s">
        <v>2870</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2871</v>
      </c>
      <c r="Q8" s="3209" t="s">
        <v>174</v>
      </c>
      <c r="R8" s="3209" t="s">
        <v>2872</v>
      </c>
      <c r="S8" s="3209" t="s">
        <v>2873</v>
      </c>
      <c r="T8" s="3216" t="s">
        <v>2874</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2875</v>
      </c>
      <c r="Q9" s="3209" t="s">
        <v>182</v>
      </c>
      <c r="R9" s="3209" t="s">
        <v>183</v>
      </c>
      <c r="S9" s="3209" t="s">
        <v>200</v>
      </c>
    </row>
    <row r="10" spans="1:20">
      <c r="A10" s="3214" t="s">
        <v>184</v>
      </c>
      <c r="B10" s="3205" t="s">
        <v>2836</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2876</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2877</v>
      </c>
      <c r="P11" s="3209" t="s">
        <v>191</v>
      </c>
      <c r="Q11" s="3209" t="s">
        <v>199</v>
      </c>
      <c r="R11" s="3209" t="s">
        <v>2878</v>
      </c>
      <c r="S11" s="3209" t="s">
        <v>2879</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2880</v>
      </c>
      <c r="P12" s="3209" t="s">
        <v>2881</v>
      </c>
      <c r="Q12" s="3209" t="s">
        <v>2882</v>
      </c>
      <c r="R12" s="3209" t="s">
        <v>2883</v>
      </c>
      <c r="S12" s="3209" t="s">
        <v>2884</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2885</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2886</v>
      </c>
      <c r="K14" s="3210" t="s">
        <v>215</v>
      </c>
      <c r="L14" s="3209" t="s">
        <v>216</v>
      </c>
      <c r="M14" s="3209" t="s">
        <v>217</v>
      </c>
      <c r="N14" s="3209" t="s">
        <v>218</v>
      </c>
      <c r="O14" s="3209" t="s">
        <v>240</v>
      </c>
      <c r="P14" s="3209" t="s">
        <v>213</v>
      </c>
      <c r="Q14" s="3209" t="s">
        <v>2887</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2888</v>
      </c>
      <c r="P15" s="3209" t="s">
        <v>2889</v>
      </c>
      <c r="Q15" s="3209" t="s">
        <v>242</v>
      </c>
      <c r="R15" s="3209" t="s">
        <v>2890</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2891</v>
      </c>
      <c r="P16" s="3209" t="s">
        <v>227</v>
      </c>
      <c r="Q16" s="3209" t="s">
        <v>250</v>
      </c>
      <c r="R16" s="3209" t="s">
        <v>207</v>
      </c>
      <c r="S16" s="3209" t="s">
        <v>2892</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2893</v>
      </c>
      <c r="P17" s="3209" t="s">
        <v>2894</v>
      </c>
      <c r="Q17" s="3209" t="s">
        <v>256</v>
      </c>
      <c r="R17" s="3209" t="s">
        <v>2895</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2896</v>
      </c>
      <c r="P18" s="3209" t="s">
        <v>241</v>
      </c>
      <c r="Q18" s="3209" t="s">
        <v>2897</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2898</v>
      </c>
      <c r="P19" s="3209" t="s">
        <v>249</v>
      </c>
      <c r="Q19" s="3209" t="s">
        <v>2899</v>
      </c>
      <c r="R19" s="3209" t="s">
        <v>265</v>
      </c>
      <c r="S19" s="3209" t="s">
        <v>2900</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2901</v>
      </c>
      <c r="P20" s="3209" t="s">
        <v>2902</v>
      </c>
      <c r="Q20" s="3209" t="s">
        <v>290</v>
      </c>
      <c r="R20" s="3209" t="s">
        <v>2903</v>
      </c>
      <c r="S20" s="3209" t="s">
        <v>277</v>
      </c>
    </row>
    <row r="21" spans="1:19" ht="14.25" customHeight="1" thickBot="1">
      <c r="A21" s="3209" t="s">
        <v>184</v>
      </c>
      <c r="B21" s="3210" t="s">
        <v>208</v>
      </c>
      <c r="C21" s="3209">
        <v>32370</v>
      </c>
      <c r="D21" s="3209">
        <v>26730</v>
      </c>
      <c r="E21" s="3209">
        <v>26640</v>
      </c>
      <c r="F21" s="3209"/>
      <c r="G21" s="3209">
        <v>19440</v>
      </c>
      <c r="J21" s="3216" t="s">
        <v>2904</v>
      </c>
      <c r="K21" s="3210" t="s">
        <v>267</v>
      </c>
      <c r="L21" s="3209" t="s">
        <v>268</v>
      </c>
      <c r="M21" s="3209" t="s">
        <v>269</v>
      </c>
      <c r="N21" s="3209" t="s">
        <v>270</v>
      </c>
      <c r="O21" s="3209" t="s">
        <v>264</v>
      </c>
      <c r="P21" s="3209" t="s">
        <v>283</v>
      </c>
      <c r="Q21" s="3209" t="s">
        <v>293</v>
      </c>
      <c r="R21" s="3209" t="s">
        <v>2905</v>
      </c>
      <c r="S21" s="3216" t="s">
        <v>2906</v>
      </c>
    </row>
    <row r="22" spans="1:19" ht="14.25" customHeight="1">
      <c r="A22" s="3209" t="s">
        <v>184</v>
      </c>
      <c r="B22" s="3210" t="s">
        <v>2886</v>
      </c>
      <c r="C22" s="3209">
        <v>29830</v>
      </c>
      <c r="D22" s="3209">
        <v>27600</v>
      </c>
      <c r="E22" s="3209">
        <v>28150</v>
      </c>
      <c r="F22" s="3209"/>
      <c r="G22" s="3209">
        <v>20080</v>
      </c>
      <c r="K22" s="3210" t="s">
        <v>2907</v>
      </c>
      <c r="L22" s="3209" t="s">
        <v>272</v>
      </c>
      <c r="M22" s="3209" t="s">
        <v>273</v>
      </c>
      <c r="N22" s="3209" t="s">
        <v>274</v>
      </c>
      <c r="O22" s="3209" t="s">
        <v>2908</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2909</v>
      </c>
      <c r="L23" s="3209" t="s">
        <v>278</v>
      </c>
      <c r="M23" s="3209" t="s">
        <v>279</v>
      </c>
      <c r="N23" s="3209" t="s">
        <v>2910</v>
      </c>
      <c r="O23" s="3209" t="s">
        <v>2911</v>
      </c>
      <c r="P23" s="3209" t="s">
        <v>289</v>
      </c>
      <c r="Q23" s="3209" t="s">
        <v>298</v>
      </c>
      <c r="R23" s="3209" t="s">
        <v>2912</v>
      </c>
    </row>
    <row r="24" spans="1:19" ht="14.25" customHeight="1">
      <c r="A24" s="3209" t="s">
        <v>184</v>
      </c>
      <c r="B24" s="3210" t="s">
        <v>230</v>
      </c>
      <c r="C24" s="3209">
        <v>27930</v>
      </c>
      <c r="D24" s="3209">
        <v>32260</v>
      </c>
      <c r="E24" s="3209">
        <v>32120</v>
      </c>
      <c r="F24" s="3209"/>
      <c r="G24" s="3209">
        <v>23470</v>
      </c>
      <c r="K24" s="3210" t="s">
        <v>2913</v>
      </c>
      <c r="L24" s="3209" t="s">
        <v>281</v>
      </c>
      <c r="M24" s="3209" t="s">
        <v>282</v>
      </c>
      <c r="N24" s="3209" t="s">
        <v>2914</v>
      </c>
      <c r="O24" s="3209" t="s">
        <v>285</v>
      </c>
      <c r="P24" s="3209" t="s">
        <v>2915</v>
      </c>
      <c r="Q24" s="3218" t="s">
        <v>2916</v>
      </c>
      <c r="R24" s="3209" t="s">
        <v>2917</v>
      </c>
    </row>
    <row r="25" spans="1:19" ht="14.25" customHeight="1">
      <c r="A25" s="3209" t="s">
        <v>184</v>
      </c>
      <c r="B25" s="3210" t="s">
        <v>235</v>
      </c>
      <c r="C25" s="3209">
        <v>32230</v>
      </c>
      <c r="D25" s="3209">
        <v>29640</v>
      </c>
      <c r="E25" s="3209">
        <v>29510</v>
      </c>
      <c r="F25" s="3209"/>
      <c r="G25" s="3209">
        <v>21560</v>
      </c>
      <c r="K25" s="3210" t="s">
        <v>2918</v>
      </c>
      <c r="L25" s="3209" t="s">
        <v>2919</v>
      </c>
      <c r="M25" s="3209" t="s">
        <v>284</v>
      </c>
      <c r="N25" s="3209" t="s">
        <v>292</v>
      </c>
      <c r="O25" s="3209" t="s">
        <v>288</v>
      </c>
      <c r="P25" s="3209" t="s">
        <v>275</v>
      </c>
      <c r="Q25" s="3218" t="s">
        <v>271</v>
      </c>
      <c r="R25" s="3209" t="s">
        <v>2920</v>
      </c>
    </row>
    <row r="26" spans="1:19" ht="14.25" customHeight="1" thickBot="1">
      <c r="A26" s="3209" t="s">
        <v>184</v>
      </c>
      <c r="B26" s="3210" t="s">
        <v>244</v>
      </c>
      <c r="C26" s="3209">
        <v>31690</v>
      </c>
      <c r="D26" s="3209">
        <v>27650</v>
      </c>
      <c r="E26" s="3209">
        <v>28200</v>
      </c>
      <c r="F26" s="3209"/>
      <c r="G26" s="3209">
        <v>20110</v>
      </c>
      <c r="K26" s="3215" t="s">
        <v>2921</v>
      </c>
      <c r="L26" s="3209" t="s">
        <v>2922</v>
      </c>
      <c r="M26" s="3209" t="s">
        <v>287</v>
      </c>
      <c r="N26" s="3209" t="s">
        <v>294</v>
      </c>
      <c r="O26" s="3209" t="s">
        <v>2923</v>
      </c>
      <c r="P26" s="3209" t="s">
        <v>2924</v>
      </c>
      <c r="Q26" s="3218" t="s">
        <v>276</v>
      </c>
      <c r="R26" s="3209" t="s">
        <v>2925</v>
      </c>
    </row>
    <row r="27" spans="1:19" ht="14.25" customHeight="1">
      <c r="A27" s="3209" t="s">
        <v>184</v>
      </c>
      <c r="B27" s="3210" t="s">
        <v>251</v>
      </c>
      <c r="C27" s="3209">
        <v>29610</v>
      </c>
      <c r="D27" s="3209">
        <v>27770</v>
      </c>
      <c r="E27" s="3209">
        <v>28300</v>
      </c>
      <c r="F27" s="3209"/>
      <c r="G27" s="3209">
        <v>20210</v>
      </c>
      <c r="L27" s="3209" t="s">
        <v>2926</v>
      </c>
      <c r="M27" s="3209" t="s">
        <v>291</v>
      </c>
      <c r="N27" s="3209" t="s">
        <v>297</v>
      </c>
      <c r="O27" s="3209" t="s">
        <v>2927</v>
      </c>
      <c r="P27" s="3209" t="s">
        <v>2928</v>
      </c>
      <c r="Q27" s="3209" t="s">
        <v>2929</v>
      </c>
      <c r="R27" s="3209" t="s">
        <v>2930</v>
      </c>
    </row>
    <row r="28" spans="1:19" ht="14.25" customHeight="1">
      <c r="A28" s="3209" t="s">
        <v>184</v>
      </c>
      <c r="B28" s="3210" t="s">
        <v>259</v>
      </c>
      <c r="C28" s="3209"/>
      <c r="D28" s="3209">
        <v>31520</v>
      </c>
      <c r="E28" s="3209">
        <v>31410</v>
      </c>
      <c r="F28" s="3209"/>
      <c r="G28" s="3209">
        <v>22940</v>
      </c>
      <c r="L28" s="3209" t="s">
        <v>2931</v>
      </c>
      <c r="M28" s="3209" t="s">
        <v>2932</v>
      </c>
      <c r="N28" s="3209" t="s">
        <v>2933</v>
      </c>
      <c r="O28" s="3209" t="s">
        <v>2934</v>
      </c>
      <c r="P28" s="3209" t="s">
        <v>2935</v>
      </c>
      <c r="Q28" s="3209" t="s">
        <v>2936</v>
      </c>
      <c r="R28" s="3209" t="s">
        <v>2937</v>
      </c>
    </row>
    <row r="29" spans="1:19" ht="14.25" customHeight="1" thickBot="1">
      <c r="A29" s="3217" t="s">
        <v>184</v>
      </c>
      <c r="B29" s="3219" t="s">
        <v>2904</v>
      </c>
      <c r="C29" s="3220"/>
      <c r="D29" s="3220">
        <v>29460</v>
      </c>
      <c r="E29" s="3220">
        <v>28640</v>
      </c>
      <c r="F29" s="3220"/>
      <c r="G29" s="3220">
        <v>21430</v>
      </c>
      <c r="L29" s="3209" t="s">
        <v>2938</v>
      </c>
      <c r="M29" s="3209" t="s">
        <v>2939</v>
      </c>
      <c r="N29" s="3209" t="s">
        <v>2940</v>
      </c>
      <c r="O29" s="3209" t="s">
        <v>2941</v>
      </c>
      <c r="P29" s="3209" t="s">
        <v>2942</v>
      </c>
      <c r="Q29" s="3209" t="s">
        <v>2943</v>
      </c>
      <c r="R29" s="3209" t="s">
        <v>280</v>
      </c>
    </row>
    <row r="30" spans="1:19" ht="14.25" customHeight="1">
      <c r="A30" s="3214" t="s">
        <v>296</v>
      </c>
      <c r="B30" s="3205" t="s">
        <v>2837</v>
      </c>
      <c r="C30" s="3205">
        <v>26890</v>
      </c>
      <c r="D30" s="3205">
        <v>26770</v>
      </c>
      <c r="E30" s="3205">
        <v>25700</v>
      </c>
      <c r="F30" s="3205">
        <v>8180</v>
      </c>
      <c r="G30" s="3221">
        <v>18740</v>
      </c>
      <c r="L30" s="3209" t="s">
        <v>2944</v>
      </c>
      <c r="M30" s="3209" t="s">
        <v>2945</v>
      </c>
      <c r="N30" s="3209" t="s">
        <v>2946</v>
      </c>
      <c r="O30" s="3209" t="s">
        <v>2947</v>
      </c>
      <c r="P30" s="3209" t="s">
        <v>2948</v>
      </c>
      <c r="Q30" s="3209" t="s">
        <v>2949</v>
      </c>
      <c r="R30" s="3209" t="s">
        <v>2950</v>
      </c>
    </row>
    <row r="31" spans="1:19" ht="14.25" customHeight="1">
      <c r="A31" s="3209" t="s">
        <v>296</v>
      </c>
      <c r="B31" s="3210" t="s">
        <v>129</v>
      </c>
      <c r="C31" s="3209">
        <v>24550</v>
      </c>
      <c r="D31" s="3209">
        <v>23990</v>
      </c>
      <c r="E31" s="3209">
        <v>22930</v>
      </c>
      <c r="F31" s="3209">
        <v>7470</v>
      </c>
      <c r="G31" s="3222">
        <v>16790</v>
      </c>
      <c r="L31" s="3209" t="s">
        <v>2951</v>
      </c>
      <c r="M31" s="3209" t="s">
        <v>2952</v>
      </c>
      <c r="N31" s="3209" t="s">
        <v>2953</v>
      </c>
      <c r="O31" s="3209" t="s">
        <v>2954</v>
      </c>
      <c r="P31" s="3209" t="s">
        <v>2955</v>
      </c>
      <c r="Q31" s="3209" t="s">
        <v>2956</v>
      </c>
      <c r="R31" s="3209" t="s">
        <v>2957</v>
      </c>
    </row>
    <row r="32" spans="1:19" ht="14.25" customHeight="1" thickBot="1">
      <c r="A32" s="3209" t="s">
        <v>296</v>
      </c>
      <c r="B32" s="3210" t="s">
        <v>138</v>
      </c>
      <c r="C32" s="3209">
        <v>27210</v>
      </c>
      <c r="D32" s="3209">
        <v>23240</v>
      </c>
      <c r="E32" s="3209">
        <v>23260</v>
      </c>
      <c r="F32" s="3209">
        <v>7130</v>
      </c>
      <c r="G32" s="3222">
        <v>16270</v>
      </c>
      <c r="L32" s="3209" t="s">
        <v>2958</v>
      </c>
      <c r="M32" s="3209" t="s">
        <v>2959</v>
      </c>
      <c r="N32" s="3209" t="s">
        <v>300</v>
      </c>
      <c r="O32" s="3209" t="s">
        <v>2960</v>
      </c>
      <c r="P32" s="3209" t="s">
        <v>299</v>
      </c>
      <c r="Q32" s="3209" t="s">
        <v>2961</v>
      </c>
      <c r="R32" s="3216" t="s">
        <v>2962</v>
      </c>
    </row>
    <row r="33" spans="1:17" ht="14.25" customHeight="1" thickBot="1">
      <c r="A33" s="3209" t="s">
        <v>296</v>
      </c>
      <c r="B33" s="3210" t="s">
        <v>147</v>
      </c>
      <c r="C33" s="3209">
        <v>27300</v>
      </c>
      <c r="D33" s="3209">
        <v>22980</v>
      </c>
      <c r="E33" s="3209">
        <v>24260</v>
      </c>
      <c r="F33" s="3209">
        <v>5860</v>
      </c>
      <c r="G33" s="3222">
        <v>16090</v>
      </c>
      <c r="L33" s="3216" t="s">
        <v>2963</v>
      </c>
      <c r="M33" s="3209" t="s">
        <v>2964</v>
      </c>
      <c r="N33" s="3209" t="s">
        <v>301</v>
      </c>
      <c r="O33" s="3209" t="s">
        <v>2965</v>
      </c>
      <c r="P33" s="3209" t="s">
        <v>2966</v>
      </c>
      <c r="Q33" s="3209" t="s">
        <v>2967</v>
      </c>
    </row>
    <row r="34" spans="1:17" ht="14.25" customHeight="1">
      <c r="A34" s="3209" t="s">
        <v>296</v>
      </c>
      <c r="B34" s="3210" t="s">
        <v>156</v>
      </c>
      <c r="C34" s="3209">
        <v>23090</v>
      </c>
      <c r="D34" s="3209">
        <v>23390</v>
      </c>
      <c r="E34" s="3209">
        <v>23510</v>
      </c>
      <c r="F34" s="3209">
        <v>6700</v>
      </c>
      <c r="G34" s="3222">
        <v>16370</v>
      </c>
      <c r="M34" s="3209" t="s">
        <v>2968</v>
      </c>
      <c r="N34" s="3209" t="s">
        <v>302</v>
      </c>
      <c r="O34" s="3209" t="s">
        <v>2969</v>
      </c>
      <c r="P34" s="3209" t="s">
        <v>2970</v>
      </c>
      <c r="Q34" s="3209" t="s">
        <v>2971</v>
      </c>
    </row>
    <row r="35" spans="1:17" ht="14.25" customHeight="1">
      <c r="A35" s="3209" t="s">
        <v>296</v>
      </c>
      <c r="B35" s="3210" t="s">
        <v>163</v>
      </c>
      <c r="C35" s="3209">
        <v>27270</v>
      </c>
      <c r="D35" s="3209">
        <v>24270</v>
      </c>
      <c r="E35" s="3209">
        <v>24950</v>
      </c>
      <c r="F35" s="3209">
        <v>6600</v>
      </c>
      <c r="G35" s="3222">
        <v>16990</v>
      </c>
      <c r="M35" s="3209" t="s">
        <v>2972</v>
      </c>
      <c r="N35" s="3209" t="s">
        <v>2973</v>
      </c>
      <c r="O35" s="3209" t="s">
        <v>2974</v>
      </c>
      <c r="P35" s="3209" t="s">
        <v>2975</v>
      </c>
      <c r="Q35" s="3209" t="s">
        <v>2976</v>
      </c>
    </row>
    <row r="36" spans="1:17" ht="14.25" customHeight="1">
      <c r="A36" s="3209" t="s">
        <v>296</v>
      </c>
      <c r="B36" s="3210" t="s">
        <v>169</v>
      </c>
      <c r="C36" s="3209">
        <v>23490</v>
      </c>
      <c r="D36" s="3209">
        <v>23020</v>
      </c>
      <c r="E36" s="3209">
        <v>25230</v>
      </c>
      <c r="F36" s="3209">
        <v>6780</v>
      </c>
      <c r="G36" s="3222">
        <v>16120</v>
      </c>
      <c r="M36" s="3209" t="s">
        <v>2977</v>
      </c>
      <c r="N36" s="3209" t="s">
        <v>2978</v>
      </c>
      <c r="O36" s="3209" t="s">
        <v>2979</v>
      </c>
      <c r="P36" s="3209" t="s">
        <v>2980</v>
      </c>
      <c r="Q36" s="3209" t="s">
        <v>2981</v>
      </c>
    </row>
    <row r="37" spans="1:17" ht="14.25" customHeight="1">
      <c r="A37" s="3209" t="s">
        <v>296</v>
      </c>
      <c r="B37" s="3210" t="s">
        <v>176</v>
      </c>
      <c r="C37" s="3209">
        <v>24380</v>
      </c>
      <c r="D37" s="3209">
        <v>22240</v>
      </c>
      <c r="E37" s="3209">
        <v>25980</v>
      </c>
      <c r="F37" s="3209">
        <v>8160</v>
      </c>
      <c r="G37" s="3222">
        <v>15570</v>
      </c>
      <c r="M37" s="3209" t="s">
        <v>2982</v>
      </c>
      <c r="N37" s="3209" t="s">
        <v>2983</v>
      </c>
      <c r="O37" s="3209" t="s">
        <v>2984</v>
      </c>
      <c r="P37" s="3209" t="s">
        <v>2985</v>
      </c>
      <c r="Q37" s="3209" t="s">
        <v>2986</v>
      </c>
    </row>
    <row r="38" spans="1:17" ht="14.25" customHeight="1">
      <c r="A38" s="3209" t="s">
        <v>296</v>
      </c>
      <c r="B38" s="3210" t="s">
        <v>186</v>
      </c>
      <c r="C38" s="3209">
        <v>23120</v>
      </c>
      <c r="D38" s="3209">
        <v>24630</v>
      </c>
      <c r="E38" s="3209">
        <v>25030</v>
      </c>
      <c r="F38" s="3209">
        <v>7710</v>
      </c>
      <c r="G38" s="3222">
        <v>17240</v>
      </c>
      <c r="M38" s="3209" t="s">
        <v>2987</v>
      </c>
      <c r="N38" s="3209" t="s">
        <v>2988</v>
      </c>
      <c r="O38" s="3209" t="s">
        <v>2989</v>
      </c>
      <c r="P38" s="3209" t="s">
        <v>2990</v>
      </c>
      <c r="Q38" s="3209" t="s">
        <v>2991</v>
      </c>
    </row>
    <row r="39" spans="1:17" ht="14.25" customHeight="1">
      <c r="A39" s="3209" t="s">
        <v>296</v>
      </c>
      <c r="B39" s="3210" t="s">
        <v>195</v>
      </c>
      <c r="C39" s="3209">
        <v>22330</v>
      </c>
      <c r="D39" s="3209">
        <v>21140</v>
      </c>
      <c r="E39" s="3209">
        <v>23970</v>
      </c>
      <c r="F39" s="3209">
        <v>7940</v>
      </c>
      <c r="G39" s="3222">
        <v>14790</v>
      </c>
      <c r="M39" s="3209" t="s">
        <v>2992</v>
      </c>
      <c r="N39" s="3209" t="s">
        <v>2993</v>
      </c>
      <c r="O39" s="3209" t="s">
        <v>2994</v>
      </c>
      <c r="P39" s="3209" t="s">
        <v>2995</v>
      </c>
      <c r="Q39" s="3209" t="s">
        <v>2996</v>
      </c>
    </row>
    <row r="40" spans="1:17" ht="14.25" customHeight="1">
      <c r="A40" s="3209" t="s">
        <v>296</v>
      </c>
      <c r="B40" s="3210" t="s">
        <v>202</v>
      </c>
      <c r="C40" s="3209">
        <v>24740</v>
      </c>
      <c r="D40" s="3209">
        <v>24690</v>
      </c>
      <c r="E40" s="3209">
        <v>22610</v>
      </c>
      <c r="F40" s="3209"/>
      <c r="G40" s="3222">
        <v>17280</v>
      </c>
      <c r="M40" s="3209" t="s">
        <v>2997</v>
      </c>
      <c r="N40" s="3209" t="s">
        <v>2998</v>
      </c>
      <c r="O40" s="3209" t="s">
        <v>2999</v>
      </c>
      <c r="P40" s="3209" t="s">
        <v>3000</v>
      </c>
      <c r="Q40" s="3209" t="s">
        <v>3001</v>
      </c>
    </row>
    <row r="41" spans="1:17" ht="14.25" customHeight="1" thickBot="1">
      <c r="A41" s="3209" t="s">
        <v>296</v>
      </c>
      <c r="B41" s="3210" t="s">
        <v>209</v>
      </c>
      <c r="C41" s="3209">
        <v>21220</v>
      </c>
      <c r="D41" s="3209">
        <v>21120</v>
      </c>
      <c r="E41" s="3209">
        <v>22590</v>
      </c>
      <c r="F41" s="3209"/>
      <c r="G41" s="3222">
        <v>14780</v>
      </c>
      <c r="M41" s="3216" t="s">
        <v>3002</v>
      </c>
      <c r="N41" s="3209" t="s">
        <v>3003</v>
      </c>
      <c r="O41" s="3209" t="s">
        <v>3004</v>
      </c>
      <c r="P41" s="3209" t="s">
        <v>3005</v>
      </c>
      <c r="Q41" s="3209" t="s">
        <v>3006</v>
      </c>
    </row>
    <row r="42" spans="1:17" ht="14.25" customHeight="1">
      <c r="A42" s="3209" t="s">
        <v>296</v>
      </c>
      <c r="B42" s="3210" t="s">
        <v>215</v>
      </c>
      <c r="C42" s="3209">
        <v>24800</v>
      </c>
      <c r="D42" s="3209">
        <v>22280</v>
      </c>
      <c r="E42" s="3209">
        <v>24350</v>
      </c>
      <c r="F42" s="3209"/>
      <c r="G42" s="3222">
        <v>15590</v>
      </c>
      <c r="N42" s="3209" t="s">
        <v>3007</v>
      </c>
      <c r="O42" s="3209" t="s">
        <v>3008</v>
      </c>
      <c r="P42" s="3209" t="s">
        <v>3009</v>
      </c>
      <c r="Q42" s="3209" t="s">
        <v>3010</v>
      </c>
    </row>
    <row r="43" spans="1:17" ht="14.25" customHeight="1">
      <c r="A43" s="3209" t="s">
        <v>3011</v>
      </c>
      <c r="B43" s="3210" t="s">
        <v>223</v>
      </c>
      <c r="C43" s="3209">
        <v>21210</v>
      </c>
      <c r="D43" s="3209">
        <v>21160</v>
      </c>
      <c r="E43" s="3209">
        <v>22650</v>
      </c>
      <c r="F43" s="3209"/>
      <c r="G43" s="3222">
        <v>14800</v>
      </c>
      <c r="N43" s="3209" t="s">
        <v>3012</v>
      </c>
      <c r="O43" s="3209" t="s">
        <v>3013</v>
      </c>
      <c r="P43" s="3209" t="s">
        <v>3014</v>
      </c>
      <c r="Q43" s="3209" t="s">
        <v>3015</v>
      </c>
    </row>
    <row r="44" spans="1:17" ht="14.25" customHeight="1" thickBot="1">
      <c r="A44" s="3209" t="s">
        <v>296</v>
      </c>
      <c r="B44" s="3210" t="s">
        <v>231</v>
      </c>
      <c r="C44" s="3209">
        <v>22370</v>
      </c>
      <c r="D44" s="3209">
        <v>23140</v>
      </c>
      <c r="E44" s="3209">
        <v>25090</v>
      </c>
      <c r="F44" s="3209"/>
      <c r="G44" s="3222">
        <v>16190</v>
      </c>
      <c r="N44" s="3209" t="s">
        <v>3016</v>
      </c>
      <c r="O44" s="3209" t="s">
        <v>3017</v>
      </c>
      <c r="P44" s="3216" t="s">
        <v>3018</v>
      </c>
      <c r="Q44" s="3209" t="s">
        <v>3019</v>
      </c>
    </row>
    <row r="45" spans="1:17" ht="14.25" customHeight="1" thickBot="1">
      <c r="A45" s="3209" t="s">
        <v>296</v>
      </c>
      <c r="B45" s="3210" t="s">
        <v>236</v>
      </c>
      <c r="C45" s="3209">
        <v>21240</v>
      </c>
      <c r="D45" s="3209">
        <v>27050</v>
      </c>
      <c r="E45" s="3209">
        <v>28000</v>
      </c>
      <c r="F45" s="3209"/>
      <c r="G45" s="3222">
        <v>18940</v>
      </c>
      <c r="N45" s="3209" t="s">
        <v>3020</v>
      </c>
      <c r="O45" s="3216" t="s">
        <v>3021</v>
      </c>
      <c r="Q45" s="3209" t="s">
        <v>3022</v>
      </c>
    </row>
    <row r="46" spans="1:17" ht="14.25" customHeight="1">
      <c r="A46" s="3209" t="s">
        <v>296</v>
      </c>
      <c r="B46" s="3210" t="s">
        <v>245</v>
      </c>
      <c r="C46" s="3209">
        <v>23240</v>
      </c>
      <c r="D46" s="3209">
        <v>23000</v>
      </c>
      <c r="E46" s="3209">
        <v>24980</v>
      </c>
      <c r="F46" s="3209"/>
      <c r="G46" s="3222">
        <v>16100</v>
      </c>
      <c r="N46" s="3209" t="s">
        <v>3023</v>
      </c>
      <c r="Q46" s="3209" t="s">
        <v>3024</v>
      </c>
    </row>
    <row r="47" spans="1:17" ht="14.25" customHeight="1">
      <c r="A47" s="3209" t="s">
        <v>296</v>
      </c>
      <c r="B47" s="3210" t="s">
        <v>252</v>
      </c>
      <c r="C47" s="3209">
        <v>27150</v>
      </c>
      <c r="D47" s="3209">
        <v>23310</v>
      </c>
      <c r="E47" s="3209">
        <v>25150</v>
      </c>
      <c r="F47" s="3209"/>
      <c r="G47" s="3222">
        <v>16310</v>
      </c>
      <c r="N47" s="3209" t="s">
        <v>3025</v>
      </c>
      <c r="Q47" s="3209" t="s">
        <v>3026</v>
      </c>
    </row>
    <row r="48" spans="1:17" ht="14.25" customHeight="1">
      <c r="A48" s="3209" t="s">
        <v>296</v>
      </c>
      <c r="B48" s="3210" t="s">
        <v>260</v>
      </c>
      <c r="C48" s="3209">
        <v>23100</v>
      </c>
      <c r="D48" s="3209">
        <v>21110</v>
      </c>
      <c r="E48" s="3209">
        <v>23080</v>
      </c>
      <c r="F48" s="3209"/>
      <c r="G48" s="3222">
        <v>14780</v>
      </c>
      <c r="N48" s="3209" t="s">
        <v>3027</v>
      </c>
      <c r="Q48" s="3209" t="s">
        <v>3028</v>
      </c>
    </row>
    <row r="49" spans="1:17" ht="14.25" customHeight="1">
      <c r="A49" s="3209" t="s">
        <v>296</v>
      </c>
      <c r="B49" s="3210" t="s">
        <v>267</v>
      </c>
      <c r="C49" s="3209">
        <v>23400</v>
      </c>
      <c r="D49" s="3209">
        <v>22920</v>
      </c>
      <c r="E49" s="3209">
        <v>24900</v>
      </c>
      <c r="F49" s="3209"/>
      <c r="G49" s="3222">
        <v>16040</v>
      </c>
      <c r="N49" s="3209" t="s">
        <v>3029</v>
      </c>
      <c r="Q49" s="3209" t="s">
        <v>3030</v>
      </c>
    </row>
    <row r="50" spans="1:17" ht="14.25" customHeight="1">
      <c r="A50" s="3209" t="s">
        <v>296</v>
      </c>
      <c r="B50" s="3210" t="s">
        <v>2907</v>
      </c>
      <c r="C50" s="3209">
        <v>21200</v>
      </c>
      <c r="D50" s="3209">
        <v>26540</v>
      </c>
      <c r="E50" s="3209">
        <v>23200</v>
      </c>
      <c r="F50" s="3209"/>
      <c r="G50" s="3222">
        <v>18580</v>
      </c>
      <c r="N50" s="3209" t="s">
        <v>3031</v>
      </c>
      <c r="Q50" s="3210" t="s">
        <v>3032</v>
      </c>
    </row>
    <row r="51" spans="1:17" ht="14.25" customHeight="1" thickBot="1">
      <c r="A51" s="3209" t="s">
        <v>296</v>
      </c>
      <c r="B51" s="3210" t="s">
        <v>2909</v>
      </c>
      <c r="C51" s="3209">
        <v>23000</v>
      </c>
      <c r="D51" s="3209">
        <v>23460</v>
      </c>
      <c r="E51" s="3209">
        <v>25290</v>
      </c>
      <c r="F51" s="3209"/>
      <c r="G51" s="3222">
        <v>16420</v>
      </c>
      <c r="N51" s="3209" t="s">
        <v>3033</v>
      </c>
      <c r="Q51" s="3216" t="s">
        <v>3034</v>
      </c>
    </row>
    <row r="52" spans="1:17" ht="14.25" customHeight="1">
      <c r="A52" s="3209" t="s">
        <v>296</v>
      </c>
      <c r="B52" s="3210" t="s">
        <v>2913</v>
      </c>
      <c r="C52" s="3209">
        <v>26660</v>
      </c>
      <c r="D52" s="3209">
        <v>22350</v>
      </c>
      <c r="E52" s="3209">
        <v>22920</v>
      </c>
      <c r="F52" s="3209"/>
      <c r="G52" s="3222">
        <v>15640</v>
      </c>
      <c r="N52" s="3209" t="s">
        <v>3035</v>
      </c>
    </row>
    <row r="53" spans="1:17" ht="14.25" customHeight="1">
      <c r="A53" s="3209" t="s">
        <v>296</v>
      </c>
      <c r="B53" s="3210" t="s">
        <v>2918</v>
      </c>
      <c r="C53" s="3209">
        <v>23580</v>
      </c>
      <c r="D53" s="3209"/>
      <c r="E53" s="3209">
        <v>24280</v>
      </c>
      <c r="F53" s="3209"/>
      <c r="G53" s="3222"/>
      <c r="N53" s="3209" t="s">
        <v>3036</v>
      </c>
    </row>
    <row r="54" spans="1:17" ht="14.25" customHeight="1" thickBot="1">
      <c r="A54" s="3223" t="s">
        <v>296</v>
      </c>
      <c r="B54" s="3215" t="s">
        <v>2921</v>
      </c>
      <c r="C54" s="3216">
        <v>22460</v>
      </c>
      <c r="D54" s="3216"/>
      <c r="E54" s="3216"/>
      <c r="F54" s="3216"/>
      <c r="G54" s="3224"/>
      <c r="N54" s="3209" t="s">
        <v>3037</v>
      </c>
    </row>
    <row r="55" spans="1:17" ht="14.25" customHeight="1">
      <c r="A55" s="3214" t="s">
        <v>110</v>
      </c>
      <c r="B55" s="3205" t="s">
        <v>3038</v>
      </c>
      <c r="C55" s="3209">
        <v>21970</v>
      </c>
      <c r="D55" s="3209">
        <v>20370</v>
      </c>
      <c r="E55" s="3209">
        <v>20180</v>
      </c>
      <c r="F55" s="3209">
        <v>5730</v>
      </c>
      <c r="G55" s="3209">
        <v>13820</v>
      </c>
      <c r="N55" s="3209" t="s">
        <v>3039</v>
      </c>
    </row>
    <row r="56" spans="1:17" ht="14.25" customHeight="1">
      <c r="A56" s="3209" t="s">
        <v>110</v>
      </c>
      <c r="B56" s="3209" t="s">
        <v>130</v>
      </c>
      <c r="C56" s="3209">
        <v>20470</v>
      </c>
      <c r="D56" s="3209">
        <v>20700</v>
      </c>
      <c r="E56" s="3209">
        <v>20380</v>
      </c>
      <c r="F56" s="3209">
        <v>4760</v>
      </c>
      <c r="G56" s="3209">
        <v>14050</v>
      </c>
      <c r="N56" s="3209" t="s">
        <v>3040</v>
      </c>
    </row>
    <row r="57" spans="1:17" ht="14.25" customHeight="1">
      <c r="A57" s="3209" t="s">
        <v>110</v>
      </c>
      <c r="B57" s="3209" t="s">
        <v>139</v>
      </c>
      <c r="C57" s="3209">
        <v>20790</v>
      </c>
      <c r="D57" s="3209">
        <v>21370</v>
      </c>
      <c r="E57" s="3209">
        <v>20890</v>
      </c>
      <c r="F57" s="3209">
        <v>4910</v>
      </c>
      <c r="G57" s="3209">
        <v>14510</v>
      </c>
      <c r="N57" s="3209" t="s">
        <v>3041</v>
      </c>
    </row>
    <row r="58" spans="1:17" ht="14.25" customHeight="1">
      <c r="A58" s="3209" t="s">
        <v>110</v>
      </c>
      <c r="B58" s="3209" t="s">
        <v>148</v>
      </c>
      <c r="C58" s="3209">
        <v>21460</v>
      </c>
      <c r="D58" s="3209">
        <v>20920</v>
      </c>
      <c r="E58" s="3209">
        <v>23410</v>
      </c>
      <c r="F58" s="3209">
        <v>5100</v>
      </c>
      <c r="G58" s="3209">
        <v>14200</v>
      </c>
      <c r="N58" s="3209" t="s">
        <v>3042</v>
      </c>
    </row>
    <row r="59" spans="1:17" ht="14.25" customHeight="1">
      <c r="A59" s="3209" t="s">
        <v>110</v>
      </c>
      <c r="B59" s="3209" t="s">
        <v>157</v>
      </c>
      <c r="C59" s="3209">
        <v>21000</v>
      </c>
      <c r="D59" s="3209">
        <v>21550</v>
      </c>
      <c r="E59" s="3209">
        <v>21150</v>
      </c>
      <c r="F59" s="3209">
        <v>5250</v>
      </c>
      <c r="G59" s="3209">
        <v>14630</v>
      </c>
      <c r="N59" s="3209" t="s">
        <v>3043</v>
      </c>
    </row>
    <row r="60" spans="1:17" ht="14.25" customHeight="1">
      <c r="A60" s="3209" t="s">
        <v>110</v>
      </c>
      <c r="B60" s="3209" t="s">
        <v>164</v>
      </c>
      <c r="C60" s="3209">
        <v>21640</v>
      </c>
      <c r="D60" s="3209">
        <v>21260</v>
      </c>
      <c r="E60" s="3209">
        <v>24040</v>
      </c>
      <c r="F60" s="3209">
        <v>4470</v>
      </c>
      <c r="G60" s="3209">
        <v>14430</v>
      </c>
      <c r="N60" s="3209" t="s">
        <v>3044</v>
      </c>
    </row>
    <row r="61" spans="1:17" ht="14.25" customHeight="1">
      <c r="A61" s="3209" t="s">
        <v>110</v>
      </c>
      <c r="B61" s="3209" t="s">
        <v>170</v>
      </c>
      <c r="C61" s="3209">
        <v>21330</v>
      </c>
      <c r="D61" s="3209">
        <v>18640</v>
      </c>
      <c r="E61" s="3209">
        <v>21190</v>
      </c>
      <c r="F61" s="3209">
        <v>4180</v>
      </c>
      <c r="G61" s="3209">
        <v>12650</v>
      </c>
      <c r="N61" s="3209" t="s">
        <v>3045</v>
      </c>
    </row>
    <row r="62" spans="1:17" ht="14.25" customHeight="1">
      <c r="A62" s="3209" t="s">
        <v>110</v>
      </c>
      <c r="B62" s="3209" t="s">
        <v>177</v>
      </c>
      <c r="C62" s="3209">
        <v>18710</v>
      </c>
      <c r="D62" s="3209">
        <v>19400</v>
      </c>
      <c r="E62" s="3209">
        <v>23750</v>
      </c>
      <c r="F62" s="3209">
        <v>4860</v>
      </c>
      <c r="G62" s="3209">
        <v>13170</v>
      </c>
      <c r="N62" s="3209" t="s">
        <v>3046</v>
      </c>
    </row>
    <row r="63" spans="1:17" ht="14.25" customHeight="1">
      <c r="A63" s="3209" t="s">
        <v>110</v>
      </c>
      <c r="B63" s="3209" t="s">
        <v>187</v>
      </c>
      <c r="C63" s="3209">
        <v>19480</v>
      </c>
      <c r="D63" s="3209">
        <v>16830</v>
      </c>
      <c r="E63" s="3209">
        <v>21590</v>
      </c>
      <c r="F63" s="3209">
        <v>4560</v>
      </c>
      <c r="G63" s="3209">
        <v>11420</v>
      </c>
      <c r="N63" s="3209" t="s">
        <v>3047</v>
      </c>
    </row>
    <row r="64" spans="1:17" ht="14.25" customHeight="1" thickBot="1">
      <c r="A64" s="3209" t="s">
        <v>110</v>
      </c>
      <c r="B64" s="3209" t="s">
        <v>196</v>
      </c>
      <c r="C64" s="3209">
        <v>16920</v>
      </c>
      <c r="D64" s="3209">
        <v>19190</v>
      </c>
      <c r="E64" s="3209">
        <v>22200</v>
      </c>
      <c r="F64" s="3209">
        <v>4390</v>
      </c>
      <c r="G64" s="3209">
        <v>13030</v>
      </c>
      <c r="N64" s="3216" t="s">
        <v>3048</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2919</v>
      </c>
      <c r="C78" s="3209">
        <v>19820</v>
      </c>
      <c r="D78" s="3209">
        <v>19780</v>
      </c>
      <c r="E78" s="3209">
        <v>18560</v>
      </c>
      <c r="F78" s="3209"/>
      <c r="G78" s="3209">
        <v>13430</v>
      </c>
    </row>
    <row r="79" spans="1:7" s="3198" customFormat="1" ht="14.25" customHeight="1">
      <c r="A79" s="3209" t="s">
        <v>110</v>
      </c>
      <c r="B79" s="3209" t="s">
        <v>2922</v>
      </c>
      <c r="C79" s="3209">
        <v>21660</v>
      </c>
      <c r="D79" s="3209">
        <v>18000</v>
      </c>
      <c r="E79" s="3209">
        <v>22570</v>
      </c>
      <c r="F79" s="3209"/>
      <c r="G79" s="3209">
        <v>12220</v>
      </c>
    </row>
    <row r="80" spans="1:7" s="3198" customFormat="1" ht="14.25" customHeight="1">
      <c r="A80" s="3209" t="s">
        <v>110</v>
      </c>
      <c r="B80" s="3209" t="s">
        <v>2926</v>
      </c>
      <c r="C80" s="3209">
        <v>19850</v>
      </c>
      <c r="D80" s="3209"/>
      <c r="E80" s="3209">
        <v>21700</v>
      </c>
      <c r="F80" s="3209"/>
      <c r="G80" s="3209"/>
    </row>
    <row r="81" spans="1:7" s="3198" customFormat="1" ht="14.25" customHeight="1">
      <c r="A81" s="3209" t="s">
        <v>110</v>
      </c>
      <c r="B81" s="3209" t="s">
        <v>2931</v>
      </c>
      <c r="C81" s="3209">
        <v>18080</v>
      </c>
      <c r="D81" s="3209"/>
      <c r="E81" s="3209">
        <v>20900</v>
      </c>
      <c r="F81" s="3209"/>
      <c r="G81" s="3209"/>
    </row>
    <row r="82" spans="1:7" s="3198" customFormat="1" ht="14.25" customHeight="1">
      <c r="A82" s="3209" t="s">
        <v>110</v>
      </c>
      <c r="B82" s="3209" t="s">
        <v>2938</v>
      </c>
      <c r="C82" s="3209"/>
      <c r="D82" s="3209"/>
      <c r="E82" s="3209">
        <v>20840</v>
      </c>
      <c r="F82" s="3209"/>
      <c r="G82" s="3209"/>
    </row>
    <row r="83" spans="1:7" s="3198" customFormat="1" ht="14.25" customHeight="1">
      <c r="A83" s="3209" t="s">
        <v>110</v>
      </c>
      <c r="B83" s="3209" t="s">
        <v>3049</v>
      </c>
      <c r="C83" s="3209"/>
      <c r="D83" s="3209"/>
      <c r="E83" s="3209"/>
      <c r="F83" s="3209">
        <v>4770</v>
      </c>
      <c r="G83" s="3209"/>
    </row>
    <row r="84" spans="1:7" s="3198" customFormat="1" ht="14.25" customHeight="1">
      <c r="A84" s="3209" t="s">
        <v>110</v>
      </c>
      <c r="B84" s="3209" t="s">
        <v>3050</v>
      </c>
      <c r="C84" s="3209"/>
      <c r="D84" s="3209"/>
      <c r="E84" s="3209"/>
      <c r="F84" s="3209">
        <v>4600</v>
      </c>
      <c r="G84" s="3209"/>
    </row>
    <row r="85" spans="1:7" s="3198" customFormat="1" ht="14.25" customHeight="1">
      <c r="A85" s="3209" t="s">
        <v>110</v>
      </c>
      <c r="B85" s="3209" t="s">
        <v>3051</v>
      </c>
      <c r="C85" s="3209"/>
      <c r="D85" s="3209"/>
      <c r="E85" s="3209"/>
      <c r="F85" s="3209">
        <v>4680</v>
      </c>
      <c r="G85" s="3209"/>
    </row>
    <row r="86" spans="1:7" s="3198" customFormat="1" ht="14.25" customHeight="1" thickBot="1">
      <c r="A86" s="3217" t="s">
        <v>110</v>
      </c>
      <c r="B86" s="3219" t="s">
        <v>3052</v>
      </c>
      <c r="C86" s="3220">
        <v>16610</v>
      </c>
      <c r="D86" s="3220">
        <v>16540</v>
      </c>
      <c r="E86" s="3220">
        <v>18850</v>
      </c>
      <c r="F86" s="3220"/>
      <c r="G86" s="3220">
        <v>11220</v>
      </c>
    </row>
    <row r="87" spans="1:7" s="3198" customFormat="1" ht="14.25" customHeight="1">
      <c r="A87" s="3214" t="s">
        <v>303</v>
      </c>
      <c r="B87" s="3205" t="s">
        <v>3053</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2932</v>
      </c>
      <c r="C113" s="3209">
        <v>15520</v>
      </c>
      <c r="D113" s="3209">
        <v>15450</v>
      </c>
      <c r="E113" s="3209"/>
      <c r="F113" s="3209"/>
      <c r="G113" s="3222">
        <v>10210</v>
      </c>
    </row>
    <row r="114" spans="1:7" s="3198" customFormat="1" ht="14.25" customHeight="1">
      <c r="A114" s="3209" t="s">
        <v>303</v>
      </c>
      <c r="B114" s="3209" t="s">
        <v>2939</v>
      </c>
      <c r="C114" s="3209">
        <v>13110</v>
      </c>
      <c r="D114" s="3209">
        <v>13050</v>
      </c>
      <c r="E114" s="3209"/>
      <c r="F114" s="3209"/>
      <c r="G114" s="3222">
        <v>8620</v>
      </c>
    </row>
    <row r="115" spans="1:7" s="3198" customFormat="1" ht="14.25" customHeight="1">
      <c r="A115" s="3209" t="s">
        <v>303</v>
      </c>
      <c r="B115" s="3209" t="s">
        <v>2945</v>
      </c>
      <c r="C115" s="3209">
        <v>12460</v>
      </c>
      <c r="D115" s="3209">
        <v>12390</v>
      </c>
      <c r="E115" s="3209"/>
      <c r="F115" s="3209"/>
      <c r="G115" s="3222">
        <v>8190</v>
      </c>
    </row>
    <row r="116" spans="1:7" s="3198" customFormat="1" ht="14.25" customHeight="1">
      <c r="A116" s="3209" t="s">
        <v>303</v>
      </c>
      <c r="B116" s="3209" t="s">
        <v>2952</v>
      </c>
      <c r="C116" s="3209">
        <v>13580</v>
      </c>
      <c r="D116" s="3209">
        <v>13520</v>
      </c>
      <c r="E116" s="3209"/>
      <c r="F116" s="3209"/>
      <c r="G116" s="3222">
        <v>8930</v>
      </c>
    </row>
    <row r="117" spans="1:7" s="3198" customFormat="1" ht="14.25" customHeight="1">
      <c r="A117" s="3209" t="s">
        <v>303</v>
      </c>
      <c r="B117" s="3209" t="s">
        <v>2959</v>
      </c>
      <c r="C117" s="3209">
        <v>17120</v>
      </c>
      <c r="D117" s="3209">
        <v>17040</v>
      </c>
      <c r="E117" s="3209"/>
      <c r="F117" s="3209"/>
      <c r="G117" s="3222">
        <v>11260</v>
      </c>
    </row>
    <row r="118" spans="1:7" s="3198" customFormat="1" ht="14.25" customHeight="1">
      <c r="A118" s="3209" t="s">
        <v>303</v>
      </c>
      <c r="B118" s="3209" t="s">
        <v>2964</v>
      </c>
      <c r="C118" s="3209">
        <v>14860</v>
      </c>
      <c r="D118" s="3209">
        <v>14790</v>
      </c>
      <c r="E118" s="3209"/>
      <c r="F118" s="3209"/>
      <c r="G118" s="3222">
        <v>9780</v>
      </c>
    </row>
    <row r="119" spans="1:7" s="3198" customFormat="1" ht="14.25" customHeight="1">
      <c r="A119" s="3209" t="s">
        <v>303</v>
      </c>
      <c r="B119" s="3209" t="s">
        <v>2968</v>
      </c>
      <c r="C119" s="3209">
        <v>16470</v>
      </c>
      <c r="D119" s="3209">
        <v>16400</v>
      </c>
      <c r="E119" s="3209"/>
      <c r="F119" s="3209"/>
      <c r="G119" s="3222">
        <v>10840</v>
      </c>
    </row>
    <row r="120" spans="1:7" s="3198" customFormat="1" ht="14.25" customHeight="1">
      <c r="A120" s="3209" t="s">
        <v>303</v>
      </c>
      <c r="B120" s="3209" t="s">
        <v>3054</v>
      </c>
      <c r="C120" s="3209"/>
      <c r="D120" s="3209"/>
      <c r="E120" s="3209"/>
      <c r="F120" s="3209">
        <v>4160</v>
      </c>
      <c r="G120" s="3222"/>
    </row>
    <row r="121" spans="1:7" s="3198" customFormat="1" ht="14.25" customHeight="1">
      <c r="A121" s="3209" t="s">
        <v>303</v>
      </c>
      <c r="B121" s="3209" t="s">
        <v>3055</v>
      </c>
      <c r="C121" s="3209"/>
      <c r="D121" s="3209"/>
      <c r="E121" s="3209"/>
      <c r="F121" s="3209">
        <v>3880</v>
      </c>
      <c r="G121" s="3222"/>
    </row>
    <row r="122" spans="1:7" s="3198" customFormat="1" ht="14.25" customHeight="1">
      <c r="A122" s="3209" t="s">
        <v>303</v>
      </c>
      <c r="B122" s="3209" t="s">
        <v>3056</v>
      </c>
      <c r="C122" s="3209">
        <v>13750</v>
      </c>
      <c r="D122" s="3209">
        <v>13680</v>
      </c>
      <c r="E122" s="3209">
        <v>16460</v>
      </c>
      <c r="F122" s="3209">
        <v>2880</v>
      </c>
      <c r="G122" s="3222">
        <v>9040</v>
      </c>
    </row>
    <row r="123" spans="1:7" s="3198" customFormat="1" ht="14.25" customHeight="1">
      <c r="A123" s="3209" t="s">
        <v>303</v>
      </c>
      <c r="B123" s="3209" t="s">
        <v>2987</v>
      </c>
      <c r="C123" s="3209">
        <v>13590</v>
      </c>
      <c r="D123" s="3209">
        <v>13520</v>
      </c>
      <c r="E123" s="3209">
        <v>16290</v>
      </c>
      <c r="F123" s="3209">
        <v>2790</v>
      </c>
      <c r="G123" s="3222">
        <v>8930</v>
      </c>
    </row>
    <row r="124" spans="1:7" s="3198" customFormat="1" ht="14.25" customHeight="1">
      <c r="A124" s="3209" t="s">
        <v>303</v>
      </c>
      <c r="B124" s="3209" t="s">
        <v>2992</v>
      </c>
      <c r="C124" s="3209">
        <v>13400</v>
      </c>
      <c r="D124" s="3209">
        <v>13320</v>
      </c>
      <c r="E124" s="3209">
        <v>16100</v>
      </c>
      <c r="F124" s="3209">
        <v>2320</v>
      </c>
      <c r="G124" s="3222">
        <v>8800</v>
      </c>
    </row>
    <row r="125" spans="1:7" s="3198" customFormat="1" ht="14.25" customHeight="1">
      <c r="A125" s="3209" t="s">
        <v>303</v>
      </c>
      <c r="B125" s="3209" t="s">
        <v>2997</v>
      </c>
      <c r="C125" s="3209">
        <v>12860</v>
      </c>
      <c r="D125" s="3209">
        <v>12790</v>
      </c>
      <c r="E125" s="3209">
        <v>15370</v>
      </c>
      <c r="F125" s="3209">
        <v>2280</v>
      </c>
      <c r="G125" s="3222">
        <v>8450</v>
      </c>
    </row>
    <row r="126" spans="1:7" s="3198" customFormat="1" ht="14.25" customHeight="1" thickBot="1">
      <c r="A126" s="3223" t="s">
        <v>303</v>
      </c>
      <c r="B126" s="3216" t="s">
        <v>3002</v>
      </c>
      <c r="C126" s="3216">
        <v>12960</v>
      </c>
      <c r="D126" s="3216">
        <v>12890</v>
      </c>
      <c r="E126" s="3216">
        <v>15530</v>
      </c>
      <c r="F126" s="3216">
        <v>2910</v>
      </c>
      <c r="G126" s="3224">
        <v>8520</v>
      </c>
    </row>
    <row r="127" spans="1:7" s="3198" customFormat="1" ht="14.25" customHeight="1">
      <c r="A127" s="3214" t="s">
        <v>29</v>
      </c>
      <c r="B127" s="3205" t="s">
        <v>3057</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3058</v>
      </c>
      <c r="C148" s="3209">
        <v>10370</v>
      </c>
      <c r="D148" s="3209">
        <v>10310</v>
      </c>
      <c r="E148" s="3209">
        <v>12970</v>
      </c>
      <c r="F148" s="3209"/>
      <c r="G148" s="3209">
        <v>6630</v>
      </c>
    </row>
    <row r="149" spans="1:7" s="3198" customFormat="1" ht="14.25" customHeight="1">
      <c r="A149" s="3209" t="s">
        <v>29</v>
      </c>
      <c r="B149" s="3209" t="s">
        <v>3059</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2933</v>
      </c>
      <c r="C153" s="3209">
        <v>10880</v>
      </c>
      <c r="D153" s="3209">
        <v>10820</v>
      </c>
      <c r="E153" s="3209">
        <v>13660</v>
      </c>
      <c r="F153" s="3209">
        <v>2260</v>
      </c>
      <c r="G153" s="3209">
        <v>6970</v>
      </c>
    </row>
    <row r="154" spans="1:7" s="3198" customFormat="1" ht="14.25" customHeight="1">
      <c r="A154" s="3209" t="s">
        <v>29</v>
      </c>
      <c r="B154" s="3209" t="s">
        <v>3060</v>
      </c>
      <c r="C154" s="3209">
        <v>11220</v>
      </c>
      <c r="D154" s="3209">
        <v>11160</v>
      </c>
      <c r="E154" s="3209">
        <v>14130</v>
      </c>
      <c r="F154" s="3209">
        <v>2230</v>
      </c>
      <c r="G154" s="3209">
        <v>7180</v>
      </c>
    </row>
    <row r="155" spans="1:7" s="3198" customFormat="1" ht="14.25" customHeight="1">
      <c r="A155" s="3209" t="s">
        <v>29</v>
      </c>
      <c r="B155" s="3209" t="s">
        <v>2946</v>
      </c>
      <c r="C155" s="3209">
        <v>10430</v>
      </c>
      <c r="D155" s="3209">
        <v>10380</v>
      </c>
      <c r="E155" s="3209">
        <v>13140</v>
      </c>
      <c r="F155" s="3209">
        <v>2080</v>
      </c>
      <c r="G155" s="3209">
        <v>6650</v>
      </c>
    </row>
    <row r="156" spans="1:7" s="3198" customFormat="1" ht="14.25" customHeight="1">
      <c r="A156" s="3209" t="s">
        <v>29</v>
      </c>
      <c r="B156" s="3209" t="s">
        <v>3061</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3062</v>
      </c>
      <c r="C160" s="3209">
        <v>11180</v>
      </c>
      <c r="D160" s="3209">
        <v>11140</v>
      </c>
      <c r="E160" s="3209">
        <v>14050</v>
      </c>
      <c r="F160" s="3209">
        <v>2270</v>
      </c>
      <c r="G160" s="3209">
        <v>7170</v>
      </c>
    </row>
    <row r="161" spans="1:7" s="3198" customFormat="1" ht="14.25" customHeight="1">
      <c r="A161" s="3209" t="s">
        <v>29</v>
      </c>
      <c r="B161" s="3209" t="s">
        <v>2978</v>
      </c>
      <c r="C161" s="3209">
        <v>11160</v>
      </c>
      <c r="D161" s="3209">
        <v>11120</v>
      </c>
      <c r="E161" s="3209">
        <v>14020</v>
      </c>
      <c r="F161" s="3209">
        <v>2150</v>
      </c>
      <c r="G161" s="3209">
        <v>7160</v>
      </c>
    </row>
    <row r="162" spans="1:7" s="3198" customFormat="1" ht="14.25" customHeight="1">
      <c r="A162" s="3209" t="s">
        <v>29</v>
      </c>
      <c r="B162" s="3209" t="s">
        <v>2983</v>
      </c>
      <c r="C162" s="3209">
        <v>9620</v>
      </c>
      <c r="D162" s="3209">
        <v>9570</v>
      </c>
      <c r="E162" s="3209">
        <v>12320</v>
      </c>
      <c r="F162" s="3209">
        <v>2010</v>
      </c>
      <c r="G162" s="3209">
        <v>6160</v>
      </c>
    </row>
    <row r="163" spans="1:7" s="3198" customFormat="1" ht="14.25" customHeight="1">
      <c r="A163" s="3209" t="s">
        <v>29</v>
      </c>
      <c r="B163" s="3209" t="s">
        <v>2988</v>
      </c>
      <c r="C163" s="3209">
        <v>9320</v>
      </c>
      <c r="D163" s="3209">
        <v>9270</v>
      </c>
      <c r="E163" s="3209">
        <v>11790</v>
      </c>
      <c r="F163" s="3209">
        <v>1920</v>
      </c>
      <c r="G163" s="3209">
        <v>5960</v>
      </c>
    </row>
    <row r="164" spans="1:7" s="3198" customFormat="1" ht="14.25" customHeight="1">
      <c r="A164" s="3209" t="s">
        <v>29</v>
      </c>
      <c r="B164" s="3209" t="s">
        <v>2993</v>
      </c>
      <c r="C164" s="3209"/>
      <c r="D164" s="3209"/>
      <c r="E164" s="3209"/>
      <c r="F164" s="3209">
        <v>1980</v>
      </c>
      <c r="G164" s="3209"/>
    </row>
    <row r="165" spans="1:7" s="3198" customFormat="1" ht="14.25" customHeight="1">
      <c r="A165" s="3209" t="s">
        <v>29</v>
      </c>
      <c r="B165" s="3209" t="s">
        <v>3063</v>
      </c>
      <c r="C165" s="3209">
        <v>11060</v>
      </c>
      <c r="D165" s="3209">
        <v>11030</v>
      </c>
      <c r="E165" s="3209">
        <v>13850</v>
      </c>
      <c r="F165" s="3209">
        <v>2170</v>
      </c>
      <c r="G165" s="3209">
        <v>7090</v>
      </c>
    </row>
    <row r="166" spans="1:7" s="3198" customFormat="1" ht="14.25" customHeight="1">
      <c r="A166" s="3209" t="s">
        <v>29</v>
      </c>
      <c r="B166" s="3209" t="s">
        <v>3003</v>
      </c>
      <c r="C166" s="3209">
        <v>11050</v>
      </c>
      <c r="D166" s="3209">
        <v>11010</v>
      </c>
      <c r="E166" s="3209">
        <v>13920</v>
      </c>
      <c r="F166" s="3209">
        <v>2140</v>
      </c>
      <c r="G166" s="3209">
        <v>7080</v>
      </c>
    </row>
    <row r="167" spans="1:7" s="3198" customFormat="1" ht="14.25" customHeight="1">
      <c r="A167" s="3209" t="s">
        <v>29</v>
      </c>
      <c r="B167" s="3209" t="s">
        <v>3007</v>
      </c>
      <c r="C167" s="3209">
        <v>10930</v>
      </c>
      <c r="D167" s="3209">
        <v>10890</v>
      </c>
      <c r="E167" s="3209">
        <v>13790</v>
      </c>
      <c r="F167" s="3209">
        <v>2010</v>
      </c>
      <c r="G167" s="3209">
        <v>7000</v>
      </c>
    </row>
    <row r="168" spans="1:7" s="3198" customFormat="1" ht="14.25" customHeight="1">
      <c r="A168" s="3209" t="s">
        <v>29</v>
      </c>
      <c r="B168" s="3209" t="s">
        <v>3012</v>
      </c>
      <c r="C168" s="3209">
        <v>9420</v>
      </c>
      <c r="D168" s="3209">
        <v>9380</v>
      </c>
      <c r="E168" s="3209">
        <v>11970</v>
      </c>
      <c r="F168" s="3209"/>
      <c r="G168" s="3209">
        <v>6040</v>
      </c>
    </row>
    <row r="169" spans="1:7" s="3198" customFormat="1" ht="14.25" customHeight="1">
      <c r="A169" s="3209" t="s">
        <v>29</v>
      </c>
      <c r="B169" s="3209" t="s">
        <v>3064</v>
      </c>
      <c r="C169" s="3209"/>
      <c r="D169" s="3209"/>
      <c r="E169" s="3209"/>
      <c r="F169" s="3209">
        <v>2880</v>
      </c>
      <c r="G169" s="3209"/>
    </row>
    <row r="170" spans="1:7" s="3198" customFormat="1" ht="14.25" customHeight="1">
      <c r="A170" s="3209" t="s">
        <v>29</v>
      </c>
      <c r="B170" s="3209" t="s">
        <v>3020</v>
      </c>
      <c r="C170" s="3209"/>
      <c r="D170" s="3209"/>
      <c r="E170" s="3209"/>
      <c r="F170" s="3209">
        <v>2880</v>
      </c>
      <c r="G170" s="3209"/>
    </row>
    <row r="171" spans="1:7" s="3198" customFormat="1" ht="14.25" customHeight="1">
      <c r="A171" s="3209" t="s">
        <v>29</v>
      </c>
      <c r="B171" s="3209" t="s">
        <v>3023</v>
      </c>
      <c r="C171" s="3209"/>
      <c r="D171" s="3209"/>
      <c r="E171" s="3209"/>
      <c r="F171" s="3209">
        <v>2880</v>
      </c>
      <c r="G171" s="3209"/>
    </row>
    <row r="172" spans="1:7" s="3198" customFormat="1" ht="14.25" customHeight="1">
      <c r="A172" s="3209" t="s">
        <v>29</v>
      </c>
      <c r="B172" s="3209" t="s">
        <v>3025</v>
      </c>
      <c r="C172" s="3209"/>
      <c r="D172" s="3209"/>
      <c r="E172" s="3209"/>
      <c r="F172" s="3209">
        <v>2880</v>
      </c>
      <c r="G172" s="3209"/>
    </row>
    <row r="173" spans="1:7" s="3198" customFormat="1" ht="14.25" customHeight="1">
      <c r="A173" s="3209" t="s">
        <v>29</v>
      </c>
      <c r="B173" s="3209" t="s">
        <v>3027</v>
      </c>
      <c r="C173" s="3209"/>
      <c r="D173" s="3209"/>
      <c r="E173" s="3209"/>
      <c r="F173" s="3209">
        <v>2150</v>
      </c>
      <c r="G173" s="3209"/>
    </row>
    <row r="174" spans="1:7" s="3198" customFormat="1" ht="14.25" customHeight="1">
      <c r="A174" s="3209" t="s">
        <v>29</v>
      </c>
      <c r="B174" s="3209" t="s">
        <v>3029</v>
      </c>
      <c r="C174" s="3209"/>
      <c r="D174" s="3209"/>
      <c r="E174" s="3209"/>
      <c r="F174" s="3209">
        <v>2030</v>
      </c>
      <c r="G174" s="3209"/>
    </row>
    <row r="175" spans="1:7" s="3198" customFormat="1" ht="14.25" customHeight="1">
      <c r="A175" s="3209" t="s">
        <v>29</v>
      </c>
      <c r="B175" s="3209" t="s">
        <v>3031</v>
      </c>
      <c r="C175" s="3209"/>
      <c r="D175" s="3209"/>
      <c r="E175" s="3209"/>
      <c r="F175" s="3209">
        <v>2780</v>
      </c>
      <c r="G175" s="3209"/>
    </row>
    <row r="176" spans="1:7" s="3198" customFormat="1" ht="14.25" customHeight="1">
      <c r="A176" s="3209" t="s">
        <v>29</v>
      </c>
      <c r="B176" s="3209" t="s">
        <v>3033</v>
      </c>
      <c r="C176" s="3209"/>
      <c r="D176" s="3209"/>
      <c r="E176" s="3209"/>
      <c r="F176" s="3209">
        <v>2780</v>
      </c>
      <c r="G176" s="3209"/>
    </row>
    <row r="177" spans="1:7" s="3198" customFormat="1" ht="14.25" customHeight="1">
      <c r="A177" s="3209" t="s">
        <v>29</v>
      </c>
      <c r="B177" s="3209" t="s">
        <v>3065</v>
      </c>
      <c r="C177" s="3209"/>
      <c r="D177" s="3209"/>
      <c r="E177" s="3209"/>
      <c r="F177" s="3209">
        <v>2780</v>
      </c>
      <c r="G177" s="3209"/>
    </row>
    <row r="178" spans="1:7" s="3198" customFormat="1" ht="14.25" customHeight="1">
      <c r="A178" s="3209" t="s">
        <v>29</v>
      </c>
      <c r="B178" s="3209" t="s">
        <v>3066</v>
      </c>
      <c r="C178" s="3209"/>
      <c r="D178" s="3209"/>
      <c r="E178" s="3209"/>
      <c r="F178" s="3209">
        <v>2060</v>
      </c>
      <c r="G178" s="3209"/>
    </row>
    <row r="179" spans="1:7" s="3198" customFormat="1" ht="14.25" customHeight="1">
      <c r="A179" s="3209" t="s">
        <v>29</v>
      </c>
      <c r="B179" s="3209" t="s">
        <v>3067</v>
      </c>
      <c r="C179" s="3209"/>
      <c r="D179" s="3209"/>
      <c r="E179" s="3209"/>
      <c r="F179" s="3209">
        <v>2120</v>
      </c>
      <c r="G179" s="3209"/>
    </row>
    <row r="180" spans="1:7" s="3198" customFormat="1" ht="14.25" customHeight="1">
      <c r="A180" s="3209" t="s">
        <v>29</v>
      </c>
      <c r="B180" s="3209" t="s">
        <v>3039</v>
      </c>
      <c r="C180" s="3209"/>
      <c r="D180" s="3209"/>
      <c r="E180" s="3209"/>
      <c r="F180" s="3209">
        <v>2340</v>
      </c>
      <c r="G180" s="3209"/>
    </row>
    <row r="181" spans="1:7" s="3198" customFormat="1" ht="14.25" customHeight="1">
      <c r="A181" s="3209" t="s">
        <v>29</v>
      </c>
      <c r="B181" s="3209" t="s">
        <v>3040</v>
      </c>
      <c r="C181" s="3209"/>
      <c r="D181" s="3209"/>
      <c r="E181" s="3209"/>
      <c r="F181" s="3209">
        <v>2340</v>
      </c>
      <c r="G181" s="3209"/>
    </row>
    <row r="182" spans="1:7" s="3198" customFormat="1" ht="14.25" customHeight="1">
      <c r="A182" s="3209" t="s">
        <v>29</v>
      </c>
      <c r="B182" s="3209" t="s">
        <v>3041</v>
      </c>
      <c r="C182" s="3209"/>
      <c r="D182" s="3209"/>
      <c r="E182" s="3209"/>
      <c r="F182" s="3209">
        <v>2340</v>
      </c>
      <c r="G182" s="3209"/>
    </row>
    <row r="183" spans="1:7" s="3198" customFormat="1" ht="14.25" customHeight="1">
      <c r="A183" s="3209" t="s">
        <v>29</v>
      </c>
      <c r="B183" s="3209" t="s">
        <v>3042</v>
      </c>
      <c r="C183" s="3209"/>
      <c r="D183" s="3209"/>
      <c r="E183" s="3209"/>
      <c r="F183" s="3209">
        <v>2340</v>
      </c>
      <c r="G183" s="3209"/>
    </row>
    <row r="184" spans="1:7" s="3198" customFormat="1" ht="14.25" customHeight="1">
      <c r="A184" s="3209" t="s">
        <v>29</v>
      </c>
      <c r="B184" s="3209" t="s">
        <v>3043</v>
      </c>
      <c r="C184" s="3209"/>
      <c r="D184" s="3209"/>
      <c r="E184" s="3209"/>
      <c r="F184" s="3209">
        <v>2340</v>
      </c>
      <c r="G184" s="3209"/>
    </row>
    <row r="185" spans="1:7" s="3198" customFormat="1" ht="14.25" customHeight="1">
      <c r="A185" s="3209" t="s">
        <v>29</v>
      </c>
      <c r="B185" s="3209" t="s">
        <v>3044</v>
      </c>
      <c r="C185" s="3209"/>
      <c r="D185" s="3209"/>
      <c r="E185" s="3209"/>
      <c r="F185" s="3209">
        <v>2530</v>
      </c>
      <c r="G185" s="3209"/>
    </row>
    <row r="186" spans="1:7" s="3198" customFormat="1" ht="14.25" customHeight="1">
      <c r="A186" s="3209" t="s">
        <v>29</v>
      </c>
      <c r="B186" s="3209" t="s">
        <v>3045</v>
      </c>
      <c r="C186" s="3209"/>
      <c r="D186" s="3209"/>
      <c r="E186" s="3209"/>
      <c r="F186" s="3209">
        <v>2550</v>
      </c>
      <c r="G186" s="3209"/>
    </row>
    <row r="187" spans="1:7" s="3198" customFormat="1" ht="14.25" customHeight="1">
      <c r="A187" s="3209" t="s">
        <v>29</v>
      </c>
      <c r="B187" s="3209" t="s">
        <v>3046</v>
      </c>
      <c r="C187" s="3209"/>
      <c r="D187" s="3209"/>
      <c r="E187" s="3209"/>
      <c r="F187" s="3209">
        <v>2070</v>
      </c>
      <c r="G187" s="3209"/>
    </row>
    <row r="188" spans="1:7" s="3198" customFormat="1" ht="14.25" customHeight="1">
      <c r="A188" s="3209" t="s">
        <v>29</v>
      </c>
      <c r="B188" s="3209" t="s">
        <v>3047</v>
      </c>
      <c r="C188" s="3209"/>
      <c r="D188" s="3209"/>
      <c r="E188" s="3209"/>
      <c r="F188" s="3209">
        <v>2340</v>
      </c>
      <c r="G188" s="3209"/>
    </row>
    <row r="189" spans="1:7" s="3198" customFormat="1" ht="14.25" customHeight="1" thickBot="1">
      <c r="A189" s="3217" t="s">
        <v>29</v>
      </c>
      <c r="B189" s="3220" t="s">
        <v>3048</v>
      </c>
      <c r="C189" s="3220"/>
      <c r="D189" s="3220"/>
      <c r="E189" s="3220"/>
      <c r="F189" s="3220">
        <v>2050</v>
      </c>
      <c r="G189" s="3220"/>
    </row>
    <row r="190" spans="1:7" s="3198" customFormat="1" ht="14.25" customHeight="1">
      <c r="A190" s="3214" t="s">
        <v>304</v>
      </c>
      <c r="B190" s="3205" t="s">
        <v>3068</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3069</v>
      </c>
      <c r="C199" s="3209">
        <v>8690</v>
      </c>
      <c r="D199" s="3209">
        <v>8630</v>
      </c>
      <c r="E199" s="3209">
        <v>11350</v>
      </c>
      <c r="F199" s="3209">
        <v>1600</v>
      </c>
      <c r="G199" s="3222">
        <v>5450</v>
      </c>
    </row>
    <row r="200" spans="1:7" s="3198" customFormat="1" ht="14.25" customHeight="1">
      <c r="A200" s="3209" t="s">
        <v>304</v>
      </c>
      <c r="B200" s="3209" t="s">
        <v>2880</v>
      </c>
      <c r="C200" s="3209"/>
      <c r="D200" s="3209"/>
      <c r="E200" s="3209"/>
      <c r="F200" s="3209">
        <v>1510</v>
      </c>
      <c r="G200" s="3222"/>
    </row>
    <row r="201" spans="1:7" s="3198" customFormat="1" ht="14.25" customHeight="1">
      <c r="A201" s="3209" t="s">
        <v>304</v>
      </c>
      <c r="B201" s="3209" t="s">
        <v>3070</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3071</v>
      </c>
      <c r="C203" s="3209">
        <v>8130</v>
      </c>
      <c r="D203" s="3209">
        <v>8070</v>
      </c>
      <c r="E203" s="3209">
        <v>10820</v>
      </c>
      <c r="F203" s="3209">
        <v>1690</v>
      </c>
      <c r="G203" s="3222">
        <v>5100</v>
      </c>
    </row>
    <row r="204" spans="1:7" s="3198" customFormat="1" ht="14.25" customHeight="1">
      <c r="A204" s="3209" t="s">
        <v>304</v>
      </c>
      <c r="B204" s="3209" t="s">
        <v>2891</v>
      </c>
      <c r="C204" s="3209">
        <v>8350</v>
      </c>
      <c r="D204" s="3209">
        <v>8290</v>
      </c>
      <c r="E204" s="3209">
        <v>11080</v>
      </c>
      <c r="F204" s="3209">
        <v>1450</v>
      </c>
      <c r="G204" s="3222">
        <v>5240</v>
      </c>
    </row>
    <row r="205" spans="1:7" s="3198" customFormat="1" ht="14.25" customHeight="1">
      <c r="A205" s="3209" t="s">
        <v>304</v>
      </c>
      <c r="B205" s="3209" t="s">
        <v>2893</v>
      </c>
      <c r="C205" s="3209">
        <v>7190</v>
      </c>
      <c r="D205" s="3209">
        <v>7130</v>
      </c>
      <c r="E205" s="3209">
        <v>9490</v>
      </c>
      <c r="F205" s="3209">
        <v>1470</v>
      </c>
      <c r="G205" s="3222">
        <v>4510</v>
      </c>
    </row>
    <row r="206" spans="1:7" s="3198" customFormat="1" ht="14.25" customHeight="1">
      <c r="A206" s="3209" t="s">
        <v>304</v>
      </c>
      <c r="B206" s="3209" t="s">
        <v>2896</v>
      </c>
      <c r="C206" s="3209">
        <v>7000</v>
      </c>
      <c r="D206" s="3209">
        <v>6950</v>
      </c>
      <c r="E206" s="3209">
        <v>9170</v>
      </c>
      <c r="F206" s="3209">
        <v>1400</v>
      </c>
      <c r="G206" s="3222">
        <v>4380</v>
      </c>
    </row>
    <row r="207" spans="1:7" s="3198" customFormat="1" ht="14.25" customHeight="1">
      <c r="A207" s="3209" t="s">
        <v>304</v>
      </c>
      <c r="B207" s="3209" t="s">
        <v>2898</v>
      </c>
      <c r="C207" s="3209">
        <v>6950</v>
      </c>
      <c r="D207" s="3209">
        <v>6900</v>
      </c>
      <c r="E207" s="3209">
        <v>9110</v>
      </c>
      <c r="F207" s="3209">
        <v>1790</v>
      </c>
      <c r="G207" s="3222">
        <v>4360</v>
      </c>
    </row>
    <row r="208" spans="1:7" s="3198" customFormat="1" ht="14.25" customHeight="1">
      <c r="A208" s="3209" t="s">
        <v>304</v>
      </c>
      <c r="B208" s="3209" t="s">
        <v>3072</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2908</v>
      </c>
      <c r="C210" s="3209">
        <v>8710</v>
      </c>
      <c r="D210" s="3209">
        <v>8660</v>
      </c>
      <c r="E210" s="3209">
        <v>11440</v>
      </c>
      <c r="F210" s="3209">
        <v>1740</v>
      </c>
      <c r="G210" s="3222">
        <v>5470</v>
      </c>
    </row>
    <row r="211" spans="1:7" s="3198" customFormat="1" ht="14.25" customHeight="1">
      <c r="A211" s="3209" t="s">
        <v>304</v>
      </c>
      <c r="B211" s="3209" t="s">
        <v>3073</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3074</v>
      </c>
      <c r="C214" s="3209">
        <v>8090</v>
      </c>
      <c r="D214" s="3209">
        <v>8030</v>
      </c>
      <c r="E214" s="3209">
        <v>10780</v>
      </c>
      <c r="F214" s="3209">
        <v>1570</v>
      </c>
      <c r="G214" s="3222">
        <v>5070</v>
      </c>
    </row>
    <row r="215" spans="1:7" s="3198" customFormat="1" ht="14.25" customHeight="1">
      <c r="A215" s="3209" t="s">
        <v>304</v>
      </c>
      <c r="B215" s="3209" t="s">
        <v>3075</v>
      </c>
      <c r="C215" s="3209">
        <v>7950</v>
      </c>
      <c r="D215" s="3209">
        <v>7900</v>
      </c>
      <c r="E215" s="3209">
        <v>10560</v>
      </c>
      <c r="F215" s="3209">
        <v>1630</v>
      </c>
      <c r="G215" s="3222">
        <v>4990</v>
      </c>
    </row>
    <row r="216" spans="1:7" s="3198" customFormat="1" ht="14.25" customHeight="1">
      <c r="A216" s="3209" t="s">
        <v>304</v>
      </c>
      <c r="B216" s="3209" t="s">
        <v>3076</v>
      </c>
      <c r="C216" s="3209">
        <v>8490</v>
      </c>
      <c r="D216" s="3209">
        <v>8440</v>
      </c>
      <c r="E216" s="3209">
        <v>11260</v>
      </c>
      <c r="F216" s="3209">
        <v>1690</v>
      </c>
      <c r="G216" s="3222">
        <v>5330</v>
      </c>
    </row>
    <row r="217" spans="1:7" s="3198" customFormat="1" ht="14.25" customHeight="1">
      <c r="A217" s="3209" t="s">
        <v>304</v>
      </c>
      <c r="B217" s="3209" t="s">
        <v>2941</v>
      </c>
      <c r="C217" s="3209">
        <v>8200</v>
      </c>
      <c r="D217" s="3209">
        <v>8150</v>
      </c>
      <c r="E217" s="3209">
        <v>10910</v>
      </c>
      <c r="F217" s="3209">
        <v>1670</v>
      </c>
      <c r="G217" s="3222">
        <v>5150</v>
      </c>
    </row>
    <row r="218" spans="1:7" s="3198" customFormat="1" ht="14.25" customHeight="1">
      <c r="A218" s="3209" t="s">
        <v>304</v>
      </c>
      <c r="B218" s="3209" t="s">
        <v>3077</v>
      </c>
      <c r="C218" s="3209"/>
      <c r="D218" s="3209"/>
      <c r="E218" s="3209"/>
      <c r="F218" s="3209">
        <v>2040</v>
      </c>
      <c r="G218" s="3222"/>
    </row>
    <row r="219" spans="1:7" s="3198" customFormat="1" ht="14.25" customHeight="1">
      <c r="A219" s="3209" t="s">
        <v>304</v>
      </c>
      <c r="B219" s="3209" t="s">
        <v>3078</v>
      </c>
      <c r="C219" s="3209"/>
      <c r="D219" s="3209"/>
      <c r="E219" s="3209"/>
      <c r="F219" s="3209">
        <v>2040</v>
      </c>
      <c r="G219" s="3222"/>
    </row>
    <row r="220" spans="1:7" s="3198" customFormat="1" ht="14.25" customHeight="1">
      <c r="A220" s="3209" t="s">
        <v>304</v>
      </c>
      <c r="B220" s="3209" t="s">
        <v>3079</v>
      </c>
      <c r="C220" s="3209"/>
      <c r="D220" s="3209"/>
      <c r="E220" s="3209"/>
      <c r="F220" s="3209">
        <v>2040</v>
      </c>
      <c r="G220" s="3222"/>
    </row>
    <row r="221" spans="1:7" s="3198" customFormat="1" ht="14.25" customHeight="1">
      <c r="A221" s="3209" t="s">
        <v>304</v>
      </c>
      <c r="B221" s="3209" t="s">
        <v>3080</v>
      </c>
      <c r="C221" s="3209"/>
      <c r="D221" s="3209"/>
      <c r="E221" s="3209"/>
      <c r="F221" s="3209">
        <v>2040</v>
      </c>
      <c r="G221" s="3222"/>
    </row>
    <row r="222" spans="1:7" s="3198" customFormat="1" ht="14.25" customHeight="1">
      <c r="A222" s="3209" t="s">
        <v>304</v>
      </c>
      <c r="B222" s="3209" t="s">
        <v>3081</v>
      </c>
      <c r="C222" s="3209"/>
      <c r="D222" s="3209"/>
      <c r="E222" s="3209"/>
      <c r="F222" s="3209">
        <v>2040</v>
      </c>
      <c r="G222" s="3222"/>
    </row>
    <row r="223" spans="1:7" s="3198" customFormat="1" ht="14.25" customHeight="1">
      <c r="A223" s="3209" t="s">
        <v>304</v>
      </c>
      <c r="B223" s="3209" t="s">
        <v>3082</v>
      </c>
      <c r="C223" s="3209"/>
      <c r="D223" s="3209"/>
      <c r="E223" s="3209"/>
      <c r="F223" s="3209">
        <v>1930</v>
      </c>
      <c r="G223" s="3222"/>
    </row>
    <row r="224" spans="1:7" s="3198" customFormat="1" ht="14.25" customHeight="1">
      <c r="A224" s="3209" t="s">
        <v>304</v>
      </c>
      <c r="B224" s="3209" t="s">
        <v>3083</v>
      </c>
      <c r="C224" s="3209"/>
      <c r="D224" s="3209"/>
      <c r="E224" s="3209"/>
      <c r="F224" s="3209">
        <v>1930</v>
      </c>
      <c r="G224" s="3222"/>
    </row>
    <row r="225" spans="1:7" s="3198" customFormat="1" ht="14.25" customHeight="1">
      <c r="A225" s="3209" t="s">
        <v>304</v>
      </c>
      <c r="B225" s="3209" t="s">
        <v>3084</v>
      </c>
      <c r="C225" s="3209"/>
      <c r="D225" s="3209"/>
      <c r="E225" s="3209"/>
      <c r="F225" s="3209">
        <v>1930</v>
      </c>
      <c r="G225" s="3222"/>
    </row>
    <row r="226" spans="1:7" s="3198" customFormat="1" ht="14.25" customHeight="1">
      <c r="A226" s="3209" t="s">
        <v>304</v>
      </c>
      <c r="B226" s="3209" t="s">
        <v>3085</v>
      </c>
      <c r="C226" s="3209"/>
      <c r="D226" s="3209"/>
      <c r="E226" s="3209"/>
      <c r="F226" s="3209">
        <v>1700</v>
      </c>
      <c r="G226" s="3222"/>
    </row>
    <row r="227" spans="1:7" s="3198" customFormat="1" ht="14.25" customHeight="1">
      <c r="A227" s="3209" t="s">
        <v>304</v>
      </c>
      <c r="B227" s="3209" t="s">
        <v>3086</v>
      </c>
      <c r="C227" s="3209"/>
      <c r="D227" s="3209"/>
      <c r="E227" s="3209"/>
      <c r="F227" s="3209">
        <v>1520</v>
      </c>
      <c r="G227" s="3222"/>
    </row>
    <row r="228" spans="1:7" s="3198" customFormat="1" ht="14.25" customHeight="1">
      <c r="A228" s="3209" t="s">
        <v>304</v>
      </c>
      <c r="B228" s="3209" t="s">
        <v>3087</v>
      </c>
      <c r="C228" s="3209"/>
      <c r="D228" s="3209"/>
      <c r="E228" s="3209"/>
      <c r="F228" s="3209">
        <v>1520</v>
      </c>
      <c r="G228" s="3222"/>
    </row>
    <row r="229" spans="1:7" s="3198" customFormat="1" ht="14.25" customHeight="1">
      <c r="A229" s="3209" t="s">
        <v>304</v>
      </c>
      <c r="B229" s="3209" t="s">
        <v>3004</v>
      </c>
      <c r="C229" s="3209"/>
      <c r="D229" s="3209"/>
      <c r="E229" s="3209"/>
      <c r="F229" s="3209">
        <v>1520</v>
      </c>
      <c r="G229" s="3222"/>
    </row>
    <row r="230" spans="1:7" s="3198" customFormat="1" ht="14.25" customHeight="1">
      <c r="A230" s="3209" t="s">
        <v>304</v>
      </c>
      <c r="B230" s="3209" t="s">
        <v>3088</v>
      </c>
      <c r="C230" s="3209"/>
      <c r="D230" s="3209"/>
      <c r="E230" s="3209"/>
      <c r="F230" s="3209">
        <v>1820</v>
      </c>
      <c r="G230" s="3222"/>
    </row>
    <row r="231" spans="1:7" s="3198" customFormat="1" ht="14.25" customHeight="1">
      <c r="A231" s="3209" t="s">
        <v>304</v>
      </c>
      <c r="B231" s="3209" t="s">
        <v>3089</v>
      </c>
      <c r="C231" s="3209"/>
      <c r="D231" s="3209"/>
      <c r="E231" s="3209"/>
      <c r="F231" s="3209">
        <v>1760</v>
      </c>
      <c r="G231" s="3222"/>
    </row>
    <row r="232" spans="1:7" s="3198" customFormat="1" ht="14.25" customHeight="1">
      <c r="A232" s="3209" t="s">
        <v>304</v>
      </c>
      <c r="B232" s="3209" t="s">
        <v>3090</v>
      </c>
      <c r="C232" s="3209"/>
      <c r="D232" s="3209"/>
      <c r="E232" s="3209"/>
      <c r="F232" s="3209">
        <v>1840</v>
      </c>
      <c r="G232" s="3222"/>
    </row>
    <row r="233" spans="1:7" s="3198" customFormat="1" ht="14.25" customHeight="1" thickBot="1">
      <c r="A233" s="3223" t="s">
        <v>304</v>
      </c>
      <c r="B233" s="3216" t="s">
        <v>3021</v>
      </c>
      <c r="C233" s="3216"/>
      <c r="D233" s="3216"/>
      <c r="E233" s="3216"/>
      <c r="F233" s="3216">
        <v>1770</v>
      </c>
      <c r="G233" s="3224"/>
    </row>
    <row r="234" spans="1:7" s="3198" customFormat="1" ht="14.25" customHeight="1">
      <c r="A234" s="3214" t="s">
        <v>305</v>
      </c>
      <c r="B234" s="3205" t="s">
        <v>3091</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2862</v>
      </c>
      <c r="C238" s="3209">
        <v>6920</v>
      </c>
      <c r="D238" s="3209">
        <v>6890</v>
      </c>
      <c r="E238" s="3209">
        <v>8640</v>
      </c>
      <c r="F238" s="3209">
        <v>1310</v>
      </c>
      <c r="G238" s="3209">
        <v>4230</v>
      </c>
    </row>
    <row r="239" spans="1:7" s="3198" customFormat="1" ht="14.25" customHeight="1">
      <c r="A239" s="3209" t="s">
        <v>305</v>
      </c>
      <c r="B239" s="3209" t="s">
        <v>3092</v>
      </c>
      <c r="C239" s="3209">
        <v>6780</v>
      </c>
      <c r="D239" s="3209">
        <v>6750</v>
      </c>
      <c r="E239" s="3209">
        <v>8440</v>
      </c>
      <c r="F239" s="3209">
        <v>1160</v>
      </c>
      <c r="G239" s="3209">
        <v>4140</v>
      </c>
    </row>
    <row r="240" spans="1:7" s="3198" customFormat="1" ht="14.25" customHeight="1">
      <c r="A240" s="3209" t="s">
        <v>305</v>
      </c>
      <c r="B240" s="3209" t="s">
        <v>3093</v>
      </c>
      <c r="C240" s="3209">
        <v>5420</v>
      </c>
      <c r="D240" s="3209">
        <v>5380</v>
      </c>
      <c r="E240" s="3209">
        <v>6640</v>
      </c>
      <c r="F240" s="3209">
        <v>1020</v>
      </c>
      <c r="G240" s="3209">
        <v>3300</v>
      </c>
    </row>
    <row r="241" spans="1:7" s="3198" customFormat="1" ht="14.25" customHeight="1">
      <c r="A241" s="3209" t="s">
        <v>305</v>
      </c>
      <c r="B241" s="3209" t="s">
        <v>3094</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3095</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3096</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3097</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3098</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3099</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2924</v>
      </c>
      <c r="C258" s="3209">
        <v>6190</v>
      </c>
      <c r="D258" s="3209">
        <v>6160</v>
      </c>
      <c r="E258" s="3209">
        <v>7680</v>
      </c>
      <c r="F258" s="3209">
        <v>1170</v>
      </c>
      <c r="G258" s="3209">
        <v>3780</v>
      </c>
    </row>
    <row r="259" spans="1:7" s="3198" customFormat="1" ht="14.25" customHeight="1">
      <c r="A259" s="3209" t="s">
        <v>305</v>
      </c>
      <c r="B259" s="3209" t="s">
        <v>3100</v>
      </c>
      <c r="C259" s="3209">
        <v>7610</v>
      </c>
      <c r="D259" s="3209">
        <v>7570</v>
      </c>
      <c r="E259" s="3209">
        <v>9350</v>
      </c>
      <c r="F259" s="3209">
        <v>1350</v>
      </c>
      <c r="G259" s="3209">
        <v>4650</v>
      </c>
    </row>
    <row r="260" spans="1:7" s="3198" customFormat="1" ht="14.25" customHeight="1">
      <c r="A260" s="3209" t="s">
        <v>305</v>
      </c>
      <c r="B260" s="3209" t="s">
        <v>3101</v>
      </c>
      <c r="C260" s="3209">
        <v>6920</v>
      </c>
      <c r="D260" s="3209">
        <v>6880</v>
      </c>
      <c r="E260" s="3209">
        <v>8380</v>
      </c>
      <c r="F260" s="3209">
        <v>1160</v>
      </c>
      <c r="G260" s="3209">
        <v>4220</v>
      </c>
    </row>
    <row r="261" spans="1:7" s="3198" customFormat="1" ht="14.25" customHeight="1">
      <c r="A261" s="3209" t="s">
        <v>305</v>
      </c>
      <c r="B261" s="3209" t="s">
        <v>3102</v>
      </c>
      <c r="C261" s="3209">
        <v>6850</v>
      </c>
      <c r="D261" s="3209">
        <v>6810</v>
      </c>
      <c r="E261" s="3209">
        <v>8290</v>
      </c>
      <c r="F261" s="3209">
        <v>1130</v>
      </c>
      <c r="G261" s="3209">
        <v>4180</v>
      </c>
    </row>
    <row r="262" spans="1:7" s="3198" customFormat="1" ht="14.25" customHeight="1">
      <c r="A262" s="3209" t="s">
        <v>305</v>
      </c>
      <c r="B262" s="3209" t="s">
        <v>3103</v>
      </c>
      <c r="C262" s="3209">
        <v>5860</v>
      </c>
      <c r="D262" s="3209">
        <v>5820</v>
      </c>
      <c r="E262" s="3209">
        <v>7640</v>
      </c>
      <c r="F262" s="3209">
        <v>1070</v>
      </c>
      <c r="G262" s="3209">
        <v>3570</v>
      </c>
    </row>
    <row r="263" spans="1:7" s="3198" customFormat="1" ht="14.25" customHeight="1">
      <c r="A263" s="3209" t="s">
        <v>305</v>
      </c>
      <c r="B263" s="3209" t="s">
        <v>3104</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3105</v>
      </c>
      <c r="C265" s="3209"/>
      <c r="D265" s="3209"/>
      <c r="E265" s="3209"/>
      <c r="F265" s="3209">
        <v>1500</v>
      </c>
      <c r="G265" s="3209"/>
    </row>
    <row r="266" spans="1:7" s="3198" customFormat="1" ht="14.25" customHeight="1">
      <c r="A266" s="3209" t="s">
        <v>305</v>
      </c>
      <c r="B266" s="3209" t="s">
        <v>3106</v>
      </c>
      <c r="C266" s="3209"/>
      <c r="D266" s="3209"/>
      <c r="E266" s="3209"/>
      <c r="F266" s="3209">
        <v>1500</v>
      </c>
      <c r="G266" s="3209"/>
    </row>
    <row r="267" spans="1:7" s="3198" customFormat="1" ht="14.25" customHeight="1">
      <c r="A267" s="3209" t="s">
        <v>305</v>
      </c>
      <c r="B267" s="3209" t="s">
        <v>3107</v>
      </c>
      <c r="C267" s="3209"/>
      <c r="D267" s="3209"/>
      <c r="E267" s="3209"/>
      <c r="F267" s="3209">
        <v>1500</v>
      </c>
      <c r="G267" s="3209"/>
    </row>
    <row r="268" spans="1:7" s="3198" customFormat="1" ht="14.25" customHeight="1">
      <c r="A268" s="3209" t="s">
        <v>305</v>
      </c>
      <c r="B268" s="3209" t="s">
        <v>3108</v>
      </c>
      <c r="C268" s="3209"/>
      <c r="D268" s="3209"/>
      <c r="E268" s="3209"/>
      <c r="F268" s="3209">
        <v>1290</v>
      </c>
      <c r="G268" s="3209"/>
    </row>
    <row r="269" spans="1:7" s="3198" customFormat="1" ht="14.25" customHeight="1">
      <c r="A269" s="3209" t="s">
        <v>305</v>
      </c>
      <c r="B269" s="3209" t="s">
        <v>3109</v>
      </c>
      <c r="C269" s="3209"/>
      <c r="D269" s="3209"/>
      <c r="E269" s="3209"/>
      <c r="F269" s="3209">
        <v>1150</v>
      </c>
      <c r="G269" s="3209"/>
    </row>
    <row r="270" spans="1:7" s="3198" customFormat="1" ht="14.25" customHeight="1">
      <c r="A270" s="3209" t="s">
        <v>305</v>
      </c>
      <c r="B270" s="3209" t="s">
        <v>3110</v>
      </c>
      <c r="C270" s="3209"/>
      <c r="D270" s="3209"/>
      <c r="E270" s="3209"/>
      <c r="F270" s="3209">
        <v>1380</v>
      </c>
      <c r="G270" s="3209"/>
    </row>
    <row r="271" spans="1:7" s="3198" customFormat="1" ht="14.25" customHeight="1">
      <c r="A271" s="3209" t="s">
        <v>305</v>
      </c>
      <c r="B271" s="3209" t="s">
        <v>3111</v>
      </c>
      <c r="C271" s="3209"/>
      <c r="D271" s="3209"/>
      <c r="E271" s="3209"/>
      <c r="F271" s="3209">
        <v>1460</v>
      </c>
      <c r="G271" s="3209"/>
    </row>
    <row r="272" spans="1:7" s="3198" customFormat="1" ht="14.25" customHeight="1">
      <c r="A272" s="3209" t="s">
        <v>305</v>
      </c>
      <c r="B272" s="3209" t="s">
        <v>3112</v>
      </c>
      <c r="C272" s="3209"/>
      <c r="D272" s="3209"/>
      <c r="E272" s="3209"/>
      <c r="F272" s="3209">
        <v>1460</v>
      </c>
      <c r="G272" s="3209"/>
    </row>
    <row r="273" spans="1:7" s="3198" customFormat="1" ht="14.25" customHeight="1">
      <c r="A273" s="3209" t="s">
        <v>305</v>
      </c>
      <c r="B273" s="3209" t="s">
        <v>3005</v>
      </c>
      <c r="C273" s="3209"/>
      <c r="D273" s="3209"/>
      <c r="E273" s="3209"/>
      <c r="F273" s="3209">
        <v>1490</v>
      </c>
      <c r="G273" s="3209"/>
    </row>
    <row r="274" spans="1:7" s="3198" customFormat="1" ht="14.25" customHeight="1">
      <c r="A274" s="3209" t="s">
        <v>305</v>
      </c>
      <c r="B274" s="3209" t="s">
        <v>3113</v>
      </c>
      <c r="C274" s="3209"/>
      <c r="D274" s="3209"/>
      <c r="E274" s="3209"/>
      <c r="F274" s="3209">
        <v>1490</v>
      </c>
      <c r="G274" s="3209"/>
    </row>
    <row r="275" spans="1:7" s="3198" customFormat="1" ht="14.25" customHeight="1">
      <c r="A275" s="3209" t="s">
        <v>305</v>
      </c>
      <c r="B275" s="3209" t="s">
        <v>3114</v>
      </c>
      <c r="C275" s="3209"/>
      <c r="D275" s="3209"/>
      <c r="E275" s="3209"/>
      <c r="F275" s="3209">
        <v>1220</v>
      </c>
      <c r="G275" s="3209"/>
    </row>
    <row r="276" spans="1:7" s="3198" customFormat="1" ht="14.25" customHeight="1" thickBot="1">
      <c r="A276" s="3217" t="s">
        <v>305</v>
      </c>
      <c r="B276" s="3219" t="s">
        <v>3115</v>
      </c>
      <c r="C276" s="3220"/>
      <c r="D276" s="3220"/>
      <c r="E276" s="3220"/>
      <c r="F276" s="3220">
        <v>1380</v>
      </c>
      <c r="G276" s="3220"/>
    </row>
    <row r="277" spans="1:7" s="3198" customFormat="1" ht="14.25" customHeight="1">
      <c r="A277" s="3214" t="s">
        <v>306</v>
      </c>
      <c r="B277" s="3205" t="s">
        <v>3116</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3117</v>
      </c>
      <c r="C279" s="3209">
        <v>4760</v>
      </c>
      <c r="D279" s="3209">
        <v>4720</v>
      </c>
      <c r="E279" s="3209">
        <v>5540</v>
      </c>
      <c r="F279" s="3209">
        <v>810</v>
      </c>
      <c r="G279" s="3222">
        <v>2850</v>
      </c>
    </row>
    <row r="280" spans="1:7" s="3198" customFormat="1" ht="14.25" customHeight="1">
      <c r="A280" s="3209" t="s">
        <v>306</v>
      </c>
      <c r="B280" s="3209" t="s">
        <v>3118</v>
      </c>
      <c r="C280" s="3209">
        <v>4010</v>
      </c>
      <c r="D280" s="3209">
        <v>3950</v>
      </c>
      <c r="E280" s="3209">
        <v>4710</v>
      </c>
      <c r="F280" s="3209">
        <v>800</v>
      </c>
      <c r="G280" s="3222">
        <v>2390</v>
      </c>
    </row>
    <row r="281" spans="1:7" s="3198" customFormat="1" ht="14.25" customHeight="1">
      <c r="A281" s="3209" t="s">
        <v>306</v>
      </c>
      <c r="B281" s="3209" t="s">
        <v>3119</v>
      </c>
      <c r="C281" s="3209">
        <v>4480</v>
      </c>
      <c r="D281" s="3209">
        <v>4420</v>
      </c>
      <c r="E281" s="3209">
        <v>5230</v>
      </c>
      <c r="F281" s="3209">
        <v>870</v>
      </c>
      <c r="G281" s="3222">
        <v>2660</v>
      </c>
    </row>
    <row r="282" spans="1:7" s="3198" customFormat="1" ht="14.25" customHeight="1">
      <c r="A282" s="3209" t="s">
        <v>306</v>
      </c>
      <c r="B282" s="3209" t="s">
        <v>3120</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3121</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3122</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2897</v>
      </c>
      <c r="C293" s="3209">
        <v>5320</v>
      </c>
      <c r="D293" s="3209">
        <v>5270</v>
      </c>
      <c r="E293" s="3209">
        <v>6160</v>
      </c>
      <c r="F293" s="3209">
        <v>990</v>
      </c>
      <c r="G293" s="3222">
        <v>3170</v>
      </c>
    </row>
    <row r="294" spans="1:7" s="3198" customFormat="1" ht="14.25" customHeight="1">
      <c r="A294" s="3209" t="s">
        <v>306</v>
      </c>
      <c r="B294" s="3209" t="s">
        <v>3123</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2916</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3124</v>
      </c>
      <c r="C302" s="3209">
        <v>5520</v>
      </c>
      <c r="D302" s="3209">
        <v>5470</v>
      </c>
      <c r="E302" s="3209">
        <v>6410</v>
      </c>
      <c r="F302" s="3209">
        <v>950</v>
      </c>
      <c r="G302" s="3222">
        <v>3300</v>
      </c>
    </row>
    <row r="303" spans="1:7" s="3198" customFormat="1" ht="14.25" customHeight="1">
      <c r="A303" s="3209" t="s">
        <v>306</v>
      </c>
      <c r="B303" s="3209" t="s">
        <v>2936</v>
      </c>
      <c r="C303" s="3209">
        <v>5630</v>
      </c>
      <c r="D303" s="3209">
        <v>5590</v>
      </c>
      <c r="E303" s="3209">
        <v>6550</v>
      </c>
      <c r="F303" s="3209">
        <v>1010</v>
      </c>
      <c r="G303" s="3222">
        <v>3370</v>
      </c>
    </row>
    <row r="304" spans="1:7" s="3198" customFormat="1" ht="14.25" customHeight="1">
      <c r="A304" s="3209" t="s">
        <v>306</v>
      </c>
      <c r="B304" s="3209" t="s">
        <v>2943</v>
      </c>
      <c r="C304" s="3209">
        <v>5680</v>
      </c>
      <c r="D304" s="3209">
        <v>5620</v>
      </c>
      <c r="E304" s="3209">
        <v>6620</v>
      </c>
      <c r="F304" s="3209">
        <v>1050</v>
      </c>
      <c r="G304" s="3222">
        <v>3390</v>
      </c>
    </row>
    <row r="305" spans="1:7" s="3198" customFormat="1" ht="14.25" customHeight="1">
      <c r="A305" s="3209" t="s">
        <v>306</v>
      </c>
      <c r="B305" s="3209" t="s">
        <v>2949</v>
      </c>
      <c r="C305" s="3209">
        <v>5590</v>
      </c>
      <c r="D305" s="3209">
        <v>5530</v>
      </c>
      <c r="E305" s="3209">
        <v>6460</v>
      </c>
      <c r="F305" s="3209">
        <v>900</v>
      </c>
      <c r="G305" s="3222">
        <v>3340</v>
      </c>
    </row>
    <row r="306" spans="1:7" s="3198" customFormat="1" ht="14.25" customHeight="1">
      <c r="A306" s="3209" t="s">
        <v>306</v>
      </c>
      <c r="B306" s="3209" t="s">
        <v>3125</v>
      </c>
      <c r="C306" s="3209">
        <v>5560</v>
      </c>
      <c r="D306" s="3209">
        <v>5510</v>
      </c>
      <c r="E306" s="3209">
        <v>6440</v>
      </c>
      <c r="F306" s="3209">
        <v>900</v>
      </c>
      <c r="G306" s="3222">
        <v>3320</v>
      </c>
    </row>
    <row r="307" spans="1:7" s="3198" customFormat="1" ht="14.25" customHeight="1">
      <c r="A307" s="3209" t="s">
        <v>306</v>
      </c>
      <c r="B307" s="3209" t="s">
        <v>2961</v>
      </c>
      <c r="C307" s="3209">
        <v>5650</v>
      </c>
      <c r="D307" s="3209">
        <v>5600</v>
      </c>
      <c r="E307" s="3209">
        <v>6590</v>
      </c>
      <c r="F307" s="3209">
        <v>930</v>
      </c>
      <c r="G307" s="3222">
        <v>3380</v>
      </c>
    </row>
    <row r="308" spans="1:7" s="3198" customFormat="1" ht="14.25" customHeight="1">
      <c r="A308" s="3209" t="s">
        <v>306</v>
      </c>
      <c r="B308" s="3209" t="s">
        <v>3126</v>
      </c>
      <c r="C308" s="3209">
        <v>5620</v>
      </c>
      <c r="D308" s="3209">
        <v>5580</v>
      </c>
      <c r="E308" s="3209">
        <v>6540</v>
      </c>
      <c r="F308" s="3209">
        <v>910</v>
      </c>
      <c r="G308" s="3222">
        <v>3370</v>
      </c>
    </row>
    <row r="309" spans="1:7" s="3198" customFormat="1" ht="14.25" customHeight="1">
      <c r="A309" s="3209" t="s">
        <v>306</v>
      </c>
      <c r="B309" s="3209" t="s">
        <v>3127</v>
      </c>
      <c r="C309" s="3209">
        <v>5060</v>
      </c>
      <c r="D309" s="3209">
        <v>5020</v>
      </c>
      <c r="E309" s="3209">
        <v>6370</v>
      </c>
      <c r="F309" s="3209">
        <v>800</v>
      </c>
      <c r="G309" s="3222">
        <v>3020</v>
      </c>
    </row>
    <row r="310" spans="1:7" s="3198" customFormat="1" ht="14.25" customHeight="1">
      <c r="A310" s="3209" t="s">
        <v>306</v>
      </c>
      <c r="B310" s="3209" t="s">
        <v>2976</v>
      </c>
      <c r="C310" s="3209">
        <v>5150</v>
      </c>
      <c r="D310" s="3209">
        <v>5110</v>
      </c>
      <c r="E310" s="3209">
        <v>6500</v>
      </c>
      <c r="F310" s="3209">
        <v>880</v>
      </c>
      <c r="G310" s="3222">
        <v>3080</v>
      </c>
    </row>
    <row r="311" spans="1:7" s="3198" customFormat="1" ht="14.25" customHeight="1">
      <c r="A311" s="3209" t="s">
        <v>306</v>
      </c>
      <c r="B311" s="3209" t="s">
        <v>3128</v>
      </c>
      <c r="C311" s="3209">
        <v>4750</v>
      </c>
      <c r="D311" s="3209">
        <v>4710</v>
      </c>
      <c r="E311" s="3209">
        <v>5510</v>
      </c>
      <c r="F311" s="3209">
        <v>880</v>
      </c>
      <c r="G311" s="3222">
        <v>2840</v>
      </c>
    </row>
    <row r="312" spans="1:7" s="3198" customFormat="1" ht="14.25" customHeight="1">
      <c r="A312" s="3209" t="s">
        <v>306</v>
      </c>
      <c r="B312" s="3209" t="s">
        <v>2986</v>
      </c>
      <c r="C312" s="3209">
        <v>4690</v>
      </c>
      <c r="D312" s="3209">
        <v>4640</v>
      </c>
      <c r="E312" s="3209">
        <v>5420</v>
      </c>
      <c r="F312" s="3209">
        <v>800</v>
      </c>
      <c r="G312" s="3222">
        <v>2800</v>
      </c>
    </row>
    <row r="313" spans="1:7" s="3198" customFormat="1" ht="14.25" customHeight="1">
      <c r="A313" s="3209" t="s">
        <v>306</v>
      </c>
      <c r="B313" s="3209" t="s">
        <v>2991</v>
      </c>
      <c r="C313" s="3209">
        <v>4810</v>
      </c>
      <c r="D313" s="3209">
        <v>4760</v>
      </c>
      <c r="E313" s="3209">
        <v>5550</v>
      </c>
      <c r="F313" s="3209">
        <v>920</v>
      </c>
      <c r="G313" s="3222">
        <v>2870</v>
      </c>
    </row>
    <row r="314" spans="1:7" s="3198" customFormat="1" ht="14.25" customHeight="1">
      <c r="A314" s="3209" t="s">
        <v>306</v>
      </c>
      <c r="B314" s="3209" t="s">
        <v>3129</v>
      </c>
      <c r="C314" s="3209"/>
      <c r="D314" s="3209"/>
      <c r="E314" s="3209"/>
      <c r="F314" s="3209">
        <v>1020</v>
      </c>
      <c r="G314" s="3222"/>
    </row>
    <row r="315" spans="1:7" s="3198" customFormat="1" ht="14.25" customHeight="1">
      <c r="A315" s="3209" t="s">
        <v>306</v>
      </c>
      <c r="B315" s="3209" t="s">
        <v>3130</v>
      </c>
      <c r="C315" s="3209"/>
      <c r="D315" s="3209"/>
      <c r="E315" s="3209"/>
      <c r="F315" s="3209">
        <v>1050</v>
      </c>
      <c r="G315" s="3222"/>
    </row>
    <row r="316" spans="1:7" s="3198" customFormat="1" ht="14.25" customHeight="1">
      <c r="A316" s="3209" t="s">
        <v>306</v>
      </c>
      <c r="B316" s="3209" t="s">
        <v>3006</v>
      </c>
      <c r="C316" s="3209"/>
      <c r="D316" s="3209"/>
      <c r="E316" s="3209"/>
      <c r="F316" s="3209">
        <v>900</v>
      </c>
      <c r="G316" s="3222"/>
    </row>
    <row r="317" spans="1:7" s="3198" customFormat="1" ht="14.25" customHeight="1">
      <c r="A317" s="3209" t="s">
        <v>306</v>
      </c>
      <c r="B317" s="3209" t="s">
        <v>3131</v>
      </c>
      <c r="C317" s="3209"/>
      <c r="D317" s="3209"/>
      <c r="E317" s="3209"/>
      <c r="F317" s="3209">
        <v>920</v>
      </c>
      <c r="G317" s="3222"/>
    </row>
    <row r="318" spans="1:7" s="3198" customFormat="1" ht="14.25" customHeight="1">
      <c r="A318" s="3209" t="s">
        <v>306</v>
      </c>
      <c r="B318" s="3209" t="s">
        <v>3132</v>
      </c>
      <c r="C318" s="3209"/>
      <c r="D318" s="3209"/>
      <c r="E318" s="3209"/>
      <c r="F318" s="3209">
        <v>1080</v>
      </c>
      <c r="G318" s="3222"/>
    </row>
    <row r="319" spans="1:7" s="3198" customFormat="1" ht="14.25" customHeight="1">
      <c r="A319" s="3209" t="s">
        <v>306</v>
      </c>
      <c r="B319" s="3209" t="s">
        <v>3019</v>
      </c>
      <c r="C319" s="3209"/>
      <c r="D319" s="3209"/>
      <c r="E319" s="3209"/>
      <c r="F319" s="3209">
        <v>1020</v>
      </c>
      <c r="G319" s="3222"/>
    </row>
    <row r="320" spans="1:7" s="3198" customFormat="1" ht="14.25" customHeight="1">
      <c r="A320" s="3209" t="s">
        <v>306</v>
      </c>
      <c r="B320" s="3209" t="s">
        <v>3022</v>
      </c>
      <c r="C320" s="3209"/>
      <c r="D320" s="3209"/>
      <c r="E320" s="3209"/>
      <c r="F320" s="3209">
        <v>1050</v>
      </c>
      <c r="G320" s="3222"/>
    </row>
    <row r="321" spans="1:7" s="3198" customFormat="1" ht="14.25" customHeight="1">
      <c r="A321" s="3209" t="s">
        <v>306</v>
      </c>
      <c r="B321" s="3209" t="s">
        <v>3024</v>
      </c>
      <c r="C321" s="3209"/>
      <c r="D321" s="3209"/>
      <c r="E321" s="3209"/>
      <c r="F321" s="3209">
        <v>960</v>
      </c>
      <c r="G321" s="3222"/>
    </row>
    <row r="322" spans="1:7" s="3198" customFormat="1" ht="14.25" customHeight="1">
      <c r="A322" s="3209" t="s">
        <v>306</v>
      </c>
      <c r="B322" s="3209" t="s">
        <v>3026</v>
      </c>
      <c r="C322" s="3209"/>
      <c r="D322" s="3209"/>
      <c r="E322" s="3209"/>
      <c r="F322" s="3209">
        <v>960</v>
      </c>
      <c r="G322" s="3222"/>
    </row>
    <row r="323" spans="1:7" s="3198" customFormat="1" ht="14.25" customHeight="1">
      <c r="A323" s="3209" t="s">
        <v>306</v>
      </c>
      <c r="B323" s="3209" t="s">
        <v>3028</v>
      </c>
      <c r="C323" s="3209"/>
      <c r="D323" s="3209"/>
      <c r="E323" s="3209"/>
      <c r="F323" s="3209">
        <v>880</v>
      </c>
      <c r="G323" s="3222"/>
    </row>
    <row r="324" spans="1:7" s="3198" customFormat="1" ht="14.25" customHeight="1">
      <c r="A324" s="3209" t="s">
        <v>306</v>
      </c>
      <c r="B324" s="3209" t="s">
        <v>3030</v>
      </c>
      <c r="C324" s="3209"/>
      <c r="D324" s="3209"/>
      <c r="E324" s="3209"/>
      <c r="F324" s="3209">
        <v>930</v>
      </c>
      <c r="G324" s="3222"/>
    </row>
    <row r="325" spans="1:7" s="3198" customFormat="1" ht="14.25" customHeight="1">
      <c r="A325" s="3209" t="s">
        <v>306</v>
      </c>
      <c r="B325" s="3210" t="s">
        <v>3032</v>
      </c>
      <c r="C325" s="3209"/>
      <c r="D325" s="3209"/>
      <c r="E325" s="3209"/>
      <c r="F325" s="3209">
        <v>900</v>
      </c>
      <c r="G325" s="3222"/>
    </row>
    <row r="326" spans="1:7" s="3198" customFormat="1" ht="14.25" customHeight="1" thickBot="1">
      <c r="A326" s="3223" t="s">
        <v>306</v>
      </c>
      <c r="B326" s="3216" t="s">
        <v>3034</v>
      </c>
      <c r="C326" s="3216"/>
      <c r="D326" s="3216"/>
      <c r="E326" s="3216"/>
      <c r="F326" s="3216">
        <v>790</v>
      </c>
      <c r="G326" s="3224"/>
    </row>
    <row r="327" spans="1:7" s="3198" customFormat="1" ht="14.25" customHeight="1">
      <c r="A327" s="3214" t="s">
        <v>307</v>
      </c>
      <c r="B327" s="3205" t="s">
        <v>3133</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3134</v>
      </c>
      <c r="C329" s="3209">
        <v>2730</v>
      </c>
      <c r="D329" s="3209">
        <v>2690</v>
      </c>
      <c r="E329" s="3209">
        <v>3100</v>
      </c>
      <c r="F329" s="3209">
        <v>660</v>
      </c>
      <c r="G329" s="3209">
        <v>1610</v>
      </c>
    </row>
    <row r="330" spans="1:7" s="3198" customFormat="1" ht="14.25" customHeight="1">
      <c r="A330" s="3209" t="s">
        <v>307</v>
      </c>
      <c r="B330" s="3209" t="s">
        <v>3135</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2868</v>
      </c>
      <c r="C332" s="3209">
        <v>3520</v>
      </c>
      <c r="D332" s="3209">
        <v>3480</v>
      </c>
      <c r="E332" s="3209">
        <v>3830</v>
      </c>
      <c r="F332" s="3209">
        <v>720</v>
      </c>
      <c r="G332" s="3209">
        <v>2090</v>
      </c>
    </row>
    <row r="333" spans="1:7" s="3198" customFormat="1" ht="14.25" customHeight="1">
      <c r="A333" s="3209" t="s">
        <v>307</v>
      </c>
      <c r="B333" s="3209" t="s">
        <v>3136</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2878</v>
      </c>
      <c r="C336" s="3209">
        <v>3570</v>
      </c>
      <c r="D336" s="3209">
        <v>3530</v>
      </c>
      <c r="E336" s="3209">
        <v>3880</v>
      </c>
      <c r="F336" s="3209">
        <v>770</v>
      </c>
      <c r="G336" s="3209">
        <v>2110</v>
      </c>
    </row>
    <row r="337" spans="1:10" s="3198" customFormat="1" ht="14.25" customHeight="1">
      <c r="A337" s="3209" t="s">
        <v>307</v>
      </c>
      <c r="B337" s="3209" t="s">
        <v>3137</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3138</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3139</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2903</v>
      </c>
      <c r="C345" s="3209">
        <v>3190</v>
      </c>
      <c r="D345" s="3209">
        <v>3140</v>
      </c>
      <c r="E345" s="3209">
        <v>3450</v>
      </c>
      <c r="F345" s="3209">
        <v>720</v>
      </c>
      <c r="G345" s="3209">
        <v>1880</v>
      </c>
      <c r="J345" s="3198"/>
    </row>
    <row r="346" spans="1:10">
      <c r="A346" s="3209" t="s">
        <v>307</v>
      </c>
      <c r="B346" s="3209" t="s">
        <v>3140</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2912</v>
      </c>
      <c r="C348" s="3209">
        <v>4000</v>
      </c>
      <c r="D348" s="3209">
        <v>3950</v>
      </c>
      <c r="E348" s="3209">
        <v>4430</v>
      </c>
      <c r="F348" s="3209">
        <v>760</v>
      </c>
      <c r="G348" s="3209">
        <v>2360</v>
      </c>
      <c r="J348" s="3198"/>
    </row>
    <row r="349" spans="1:10">
      <c r="A349" s="3209" t="s">
        <v>307</v>
      </c>
      <c r="B349" s="3209" t="s">
        <v>2917</v>
      </c>
      <c r="C349" s="3209">
        <v>3820</v>
      </c>
      <c r="D349" s="3209">
        <v>3780</v>
      </c>
      <c r="E349" s="3209">
        <v>4170</v>
      </c>
      <c r="F349" s="3209">
        <v>710</v>
      </c>
      <c r="G349" s="3209">
        <v>2260</v>
      </c>
      <c r="J349" s="3198"/>
    </row>
    <row r="350" spans="1:10">
      <c r="A350" s="3209" t="s">
        <v>307</v>
      </c>
      <c r="B350" s="3209" t="s">
        <v>3141</v>
      </c>
      <c r="C350" s="3209">
        <v>3760</v>
      </c>
      <c r="D350" s="3209">
        <v>3730</v>
      </c>
      <c r="E350" s="3209">
        <v>4100</v>
      </c>
      <c r="F350" s="3209">
        <v>800</v>
      </c>
      <c r="G350" s="3209">
        <v>2230</v>
      </c>
      <c r="J350" s="3198"/>
    </row>
    <row r="351" spans="1:10">
      <c r="A351" s="3209" t="s">
        <v>307</v>
      </c>
      <c r="B351" s="3209" t="s">
        <v>2925</v>
      </c>
      <c r="C351" s="3209">
        <v>3610</v>
      </c>
      <c r="D351" s="3209">
        <v>3580</v>
      </c>
      <c r="E351" s="3209">
        <v>3930</v>
      </c>
      <c r="F351" s="3209">
        <v>700</v>
      </c>
      <c r="G351" s="3209">
        <v>2140</v>
      </c>
      <c r="J351" s="3198"/>
    </row>
    <row r="352" spans="1:10">
      <c r="A352" s="3209" t="s">
        <v>307</v>
      </c>
      <c r="B352" s="3209" t="s">
        <v>2930</v>
      </c>
      <c r="C352" s="3209">
        <v>3670</v>
      </c>
      <c r="D352" s="3209">
        <v>3630</v>
      </c>
      <c r="E352" s="3209">
        <v>4000</v>
      </c>
      <c r="F352" s="3209">
        <v>750</v>
      </c>
      <c r="G352" s="3209">
        <v>2180</v>
      </c>
    </row>
    <row r="353" spans="1:7" s="3202" customFormat="1">
      <c r="A353" s="3209" t="s">
        <v>307</v>
      </c>
      <c r="B353" s="3209" t="s">
        <v>3142</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2950</v>
      </c>
      <c r="C355" s="3209">
        <v>3650</v>
      </c>
      <c r="D355" s="3209">
        <v>3610</v>
      </c>
      <c r="E355" s="3209">
        <v>4200</v>
      </c>
      <c r="F355" s="3209">
        <v>640</v>
      </c>
      <c r="G355" s="3209">
        <v>2160</v>
      </c>
    </row>
    <row r="356" spans="1:7" s="3202" customFormat="1">
      <c r="A356" s="3209" t="s">
        <v>307</v>
      </c>
      <c r="B356" s="3209" t="s">
        <v>2957</v>
      </c>
      <c r="C356" s="3209">
        <v>3260</v>
      </c>
      <c r="D356" s="3209">
        <v>3230</v>
      </c>
      <c r="E356" s="3209">
        <v>3740</v>
      </c>
      <c r="F356" s="3209">
        <v>600</v>
      </c>
      <c r="G356" s="3209">
        <v>1930</v>
      </c>
    </row>
    <row r="357" spans="1:7" s="3202" customFormat="1" ht="12" thickBot="1">
      <c r="A357" s="3217" t="s">
        <v>307</v>
      </c>
      <c r="B357" s="3220" t="s">
        <v>3143</v>
      </c>
      <c r="C357" s="3220">
        <v>3690</v>
      </c>
      <c r="D357" s="3220">
        <v>3650</v>
      </c>
      <c r="E357" s="3220">
        <v>4020</v>
      </c>
      <c r="F357" s="3220">
        <v>700</v>
      </c>
      <c r="G357" s="3220">
        <v>2190</v>
      </c>
    </row>
    <row r="358" spans="1:7" s="3202" customFormat="1">
      <c r="A358" s="3214" t="s">
        <v>3144</v>
      </c>
      <c r="B358" s="3205" t="s">
        <v>3145</v>
      </c>
      <c r="C358" s="3205">
        <v>2080</v>
      </c>
      <c r="D358" s="3205">
        <v>2040</v>
      </c>
      <c r="E358" s="3205">
        <v>2010</v>
      </c>
      <c r="F358" s="3205">
        <v>530</v>
      </c>
      <c r="G358" s="3221">
        <v>1230</v>
      </c>
    </row>
    <row r="359" spans="1:7" s="3202" customFormat="1">
      <c r="A359" s="3209" t="s">
        <v>3144</v>
      </c>
      <c r="B359" s="3209" t="s">
        <v>3146</v>
      </c>
      <c r="C359" s="3209">
        <v>1850</v>
      </c>
      <c r="D359" s="3209">
        <v>1820</v>
      </c>
      <c r="E359" s="3209">
        <v>1780</v>
      </c>
      <c r="F359" s="3209">
        <v>520</v>
      </c>
      <c r="G359" s="3222">
        <v>1100</v>
      </c>
    </row>
    <row r="360" spans="1:7" s="3202" customFormat="1">
      <c r="A360" s="3209" t="s">
        <v>3144</v>
      </c>
      <c r="B360" s="3209" t="s">
        <v>3147</v>
      </c>
      <c r="C360" s="3209">
        <v>2020</v>
      </c>
      <c r="D360" s="3209">
        <v>1990</v>
      </c>
      <c r="E360" s="3209">
        <v>1950</v>
      </c>
      <c r="F360" s="3209">
        <v>500</v>
      </c>
      <c r="G360" s="3222">
        <v>1200</v>
      </c>
    </row>
    <row r="361" spans="1:7" s="3202" customFormat="1">
      <c r="A361" s="3209" t="s">
        <v>3144</v>
      </c>
      <c r="B361" s="3209" t="s">
        <v>153</v>
      </c>
      <c r="C361" s="3209">
        <v>2260</v>
      </c>
      <c r="D361" s="3209">
        <v>2220</v>
      </c>
      <c r="E361" s="3209">
        <v>2180</v>
      </c>
      <c r="F361" s="3209">
        <v>580</v>
      </c>
      <c r="G361" s="3222">
        <v>1340</v>
      </c>
    </row>
    <row r="362" spans="1:7" s="3202" customFormat="1">
      <c r="A362" s="3209" t="s">
        <v>3144</v>
      </c>
      <c r="B362" s="3209" t="s">
        <v>3148</v>
      </c>
      <c r="C362" s="3209">
        <v>2650</v>
      </c>
      <c r="D362" s="3209">
        <v>2610</v>
      </c>
      <c r="E362" s="3209">
        <v>2570</v>
      </c>
      <c r="F362" s="3209">
        <v>630</v>
      </c>
      <c r="G362" s="3222">
        <v>1570</v>
      </c>
    </row>
    <row r="363" spans="1:7" s="3202" customFormat="1">
      <c r="A363" s="3209" t="s">
        <v>3144</v>
      </c>
      <c r="B363" s="3209" t="s">
        <v>2869</v>
      </c>
      <c r="C363" s="3209">
        <v>2390</v>
      </c>
      <c r="D363" s="3209">
        <v>2360</v>
      </c>
      <c r="E363" s="3209">
        <v>2320</v>
      </c>
      <c r="F363" s="3209">
        <v>600</v>
      </c>
      <c r="G363" s="3222">
        <v>1420</v>
      </c>
    </row>
    <row r="364" spans="1:7" s="3202" customFormat="1">
      <c r="A364" s="3209" t="s">
        <v>3144</v>
      </c>
      <c r="B364" s="3209" t="s">
        <v>3149</v>
      </c>
      <c r="C364" s="3209">
        <v>2050</v>
      </c>
      <c r="D364" s="3209">
        <v>2030</v>
      </c>
      <c r="E364" s="3209">
        <v>1990</v>
      </c>
      <c r="F364" s="3209">
        <v>550</v>
      </c>
      <c r="G364" s="3222">
        <v>1220</v>
      </c>
    </row>
    <row r="365" spans="1:7" s="3202" customFormat="1">
      <c r="A365" s="3209" t="s">
        <v>3144</v>
      </c>
      <c r="B365" s="3209" t="s">
        <v>200</v>
      </c>
      <c r="C365" s="3209">
        <v>2140</v>
      </c>
      <c r="D365" s="3209">
        <v>2100</v>
      </c>
      <c r="E365" s="3209">
        <v>2060</v>
      </c>
      <c r="F365" s="3209">
        <v>540</v>
      </c>
      <c r="G365" s="3222">
        <v>1270</v>
      </c>
    </row>
    <row r="366" spans="1:7" s="3202" customFormat="1">
      <c r="A366" s="3209" t="s">
        <v>3144</v>
      </c>
      <c r="B366" s="3209" t="s">
        <v>2876</v>
      </c>
      <c r="C366" s="3209">
        <v>2410</v>
      </c>
      <c r="D366" s="3209">
        <v>2370</v>
      </c>
      <c r="E366" s="3209">
        <v>2330</v>
      </c>
      <c r="F366" s="3209">
        <v>570</v>
      </c>
      <c r="G366" s="3222">
        <v>1440</v>
      </c>
    </row>
    <row r="367" spans="1:7" s="3202" customFormat="1">
      <c r="A367" s="3209" t="s">
        <v>3144</v>
      </c>
      <c r="B367" s="3209" t="s">
        <v>3150</v>
      </c>
      <c r="C367" s="3209">
        <v>2300</v>
      </c>
      <c r="D367" s="3209">
        <v>2260</v>
      </c>
      <c r="E367" s="3209">
        <v>2220</v>
      </c>
      <c r="F367" s="3209">
        <v>560</v>
      </c>
      <c r="G367" s="3222">
        <v>1370</v>
      </c>
    </row>
    <row r="368" spans="1:7" s="3202" customFormat="1">
      <c r="A368" s="3209" t="s">
        <v>3144</v>
      </c>
      <c r="B368" s="3209" t="s">
        <v>3151</v>
      </c>
      <c r="C368" s="3209">
        <v>2430</v>
      </c>
      <c r="D368" s="3209">
        <v>2390</v>
      </c>
      <c r="E368" s="3209">
        <v>2350</v>
      </c>
      <c r="F368" s="3209">
        <v>570</v>
      </c>
      <c r="G368" s="3222">
        <v>1450</v>
      </c>
    </row>
    <row r="369" spans="1:7" s="3202" customFormat="1">
      <c r="A369" s="3209" t="s">
        <v>3144</v>
      </c>
      <c r="B369" s="3209" t="s">
        <v>214</v>
      </c>
      <c r="C369" s="3209">
        <v>2320</v>
      </c>
      <c r="D369" s="3209">
        <v>2290</v>
      </c>
      <c r="E369" s="3209">
        <v>2250</v>
      </c>
      <c r="F369" s="3209">
        <v>550</v>
      </c>
      <c r="G369" s="3222">
        <v>1380</v>
      </c>
    </row>
    <row r="370" spans="1:7" s="3202" customFormat="1">
      <c r="A370" s="3209" t="s">
        <v>3144</v>
      </c>
      <c r="B370" s="3209" t="s">
        <v>221</v>
      </c>
      <c r="C370" s="3209">
        <v>2190</v>
      </c>
      <c r="D370" s="3209">
        <v>2170</v>
      </c>
      <c r="E370" s="3209">
        <v>2130</v>
      </c>
      <c r="F370" s="3209">
        <v>530</v>
      </c>
      <c r="G370" s="3222">
        <v>1310</v>
      </c>
    </row>
    <row r="371" spans="1:7" s="3202" customFormat="1">
      <c r="A371" s="3209" t="s">
        <v>3144</v>
      </c>
      <c r="B371" s="3209" t="s">
        <v>229</v>
      </c>
      <c r="C371" s="3209">
        <v>2460</v>
      </c>
      <c r="D371" s="3209">
        <v>2420</v>
      </c>
      <c r="E371" s="3209">
        <v>2370</v>
      </c>
      <c r="F371" s="3209">
        <v>560</v>
      </c>
      <c r="G371" s="3222">
        <v>1470</v>
      </c>
    </row>
    <row r="372" spans="1:7" s="3202" customFormat="1">
      <c r="A372" s="3209" t="s">
        <v>3144</v>
      </c>
      <c r="B372" s="3209" t="s">
        <v>3152</v>
      </c>
      <c r="C372" s="3209">
        <v>2250</v>
      </c>
      <c r="D372" s="3209">
        <v>2210</v>
      </c>
      <c r="E372" s="3209">
        <v>2180</v>
      </c>
      <c r="F372" s="3209">
        <v>550</v>
      </c>
      <c r="G372" s="3222">
        <v>1340</v>
      </c>
    </row>
    <row r="373" spans="1:7" s="3202" customFormat="1">
      <c r="A373" s="3209" t="s">
        <v>3144</v>
      </c>
      <c r="B373" s="3209" t="s">
        <v>258</v>
      </c>
      <c r="C373" s="3209">
        <v>2210</v>
      </c>
      <c r="D373" s="3209">
        <v>2190</v>
      </c>
      <c r="E373" s="3209">
        <v>2150</v>
      </c>
      <c r="F373" s="3209">
        <v>530</v>
      </c>
      <c r="G373" s="3222">
        <v>1320</v>
      </c>
    </row>
    <row r="374" spans="1:7" s="3202" customFormat="1">
      <c r="A374" s="3209" t="s">
        <v>3144</v>
      </c>
      <c r="B374" s="3209" t="s">
        <v>266</v>
      </c>
      <c r="C374" s="3209">
        <v>2320</v>
      </c>
      <c r="D374" s="3209">
        <v>2280</v>
      </c>
      <c r="E374" s="3209">
        <v>2230</v>
      </c>
      <c r="F374" s="3209">
        <v>580</v>
      </c>
      <c r="G374" s="3222">
        <v>1380</v>
      </c>
    </row>
    <row r="375" spans="1:7" s="3202" customFormat="1">
      <c r="A375" s="3209" t="s">
        <v>3144</v>
      </c>
      <c r="B375" s="3209" t="s">
        <v>3153</v>
      </c>
      <c r="C375" s="3209">
        <v>2090</v>
      </c>
      <c r="D375" s="3209">
        <v>2050</v>
      </c>
      <c r="E375" s="3209">
        <v>2020</v>
      </c>
      <c r="F375" s="3209">
        <v>520</v>
      </c>
      <c r="G375" s="3222">
        <v>1240</v>
      </c>
    </row>
    <row r="376" spans="1:7" s="3202" customFormat="1">
      <c r="A376" s="3209" t="s">
        <v>3144</v>
      </c>
      <c r="B376" s="3209" t="s">
        <v>277</v>
      </c>
      <c r="C376" s="3209">
        <v>2010</v>
      </c>
      <c r="D376" s="3209">
        <v>1980</v>
      </c>
      <c r="E376" s="3209">
        <v>1940</v>
      </c>
      <c r="F376" s="3209">
        <v>540</v>
      </c>
      <c r="G376" s="3222">
        <v>1190</v>
      </c>
    </row>
    <row r="377" spans="1:7" s="3202" customFormat="1" ht="12" thickBot="1">
      <c r="A377" s="3217" t="s">
        <v>3144</v>
      </c>
      <c r="B377" s="3220" t="s">
        <v>2906</v>
      </c>
      <c r="C377" s="3220">
        <v>1930</v>
      </c>
      <c r="D377" s="3220">
        <v>1890</v>
      </c>
      <c r="E377" s="3220">
        <v>1860</v>
      </c>
      <c r="F377" s="3220">
        <v>530</v>
      </c>
      <c r="G377" s="3225">
        <v>1150</v>
      </c>
    </row>
    <row r="378" spans="1:7" s="3202" customFormat="1">
      <c r="A378" s="3226" t="s">
        <v>3154</v>
      </c>
      <c r="B378" s="3205" t="s">
        <v>3155</v>
      </c>
      <c r="C378" s="3205">
        <v>1520</v>
      </c>
      <c r="D378" s="3205">
        <v>1490</v>
      </c>
      <c r="E378" s="3205">
        <v>1460</v>
      </c>
      <c r="F378" s="3205">
        <v>460</v>
      </c>
      <c r="G378" s="3221">
        <v>940</v>
      </c>
    </row>
    <row r="379" spans="1:7" s="3202" customFormat="1">
      <c r="A379" s="3227" t="s">
        <v>3154</v>
      </c>
      <c r="B379" s="3209" t="s">
        <v>3156</v>
      </c>
      <c r="C379" s="3209">
        <v>1500</v>
      </c>
      <c r="D379" s="3209">
        <v>1470</v>
      </c>
      <c r="E379" s="3209">
        <v>1430</v>
      </c>
      <c r="F379" s="3209">
        <v>460</v>
      </c>
      <c r="G379" s="3222">
        <v>920</v>
      </c>
    </row>
    <row r="380" spans="1:7" s="3202" customFormat="1">
      <c r="A380" s="3227" t="s">
        <v>3154</v>
      </c>
      <c r="B380" s="3209" t="s">
        <v>3157</v>
      </c>
      <c r="C380" s="3209">
        <v>1620</v>
      </c>
      <c r="D380" s="3209">
        <v>1590</v>
      </c>
      <c r="E380" s="3209">
        <v>1560</v>
      </c>
      <c r="F380" s="3209">
        <v>480</v>
      </c>
      <c r="G380" s="3222">
        <v>1000</v>
      </c>
    </row>
    <row r="381" spans="1:7" s="3202" customFormat="1">
      <c r="A381" s="3227" t="s">
        <v>3154</v>
      </c>
      <c r="B381" s="3209" t="s">
        <v>3158</v>
      </c>
      <c r="C381" s="3209">
        <v>1460</v>
      </c>
      <c r="D381" s="3209">
        <v>1430</v>
      </c>
      <c r="E381" s="3209">
        <v>1390</v>
      </c>
      <c r="F381" s="3209">
        <v>450</v>
      </c>
      <c r="G381" s="3222">
        <v>900</v>
      </c>
    </row>
    <row r="382" spans="1:7" s="3202" customFormat="1">
      <c r="A382" s="3227" t="s">
        <v>3154</v>
      </c>
      <c r="B382" s="3209" t="s">
        <v>3159</v>
      </c>
      <c r="C382" s="3209">
        <v>1310</v>
      </c>
      <c r="D382" s="3209">
        <v>1280</v>
      </c>
      <c r="E382" s="3209">
        <v>1250</v>
      </c>
      <c r="F382" s="3209">
        <v>440</v>
      </c>
      <c r="G382" s="3222">
        <v>800</v>
      </c>
    </row>
    <row r="383" spans="1:7" s="3202" customFormat="1">
      <c r="A383" s="3227" t="s">
        <v>3154</v>
      </c>
      <c r="B383" s="3209" t="s">
        <v>3160</v>
      </c>
      <c r="C383" s="3209">
        <v>1260</v>
      </c>
      <c r="D383" s="3209">
        <v>1230</v>
      </c>
      <c r="E383" s="3209">
        <v>1200</v>
      </c>
      <c r="F383" s="3209">
        <v>420</v>
      </c>
      <c r="G383" s="3222">
        <v>770</v>
      </c>
    </row>
    <row r="384" spans="1:7" s="3202" customFormat="1" ht="12" thickBot="1">
      <c r="A384" s="3228" t="s">
        <v>3154</v>
      </c>
      <c r="B384" s="3216" t="s">
        <v>3161</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906" t="s">
        <v>3162</v>
      </c>
      <c r="B1" s="3906"/>
    </row>
    <row r="2" spans="1:7" ht="14.25" thickBot="1">
      <c r="A2" s="3231"/>
      <c r="B2" s="3231"/>
    </row>
    <row r="3" spans="1:7" ht="14.25" thickBot="1">
      <c r="A3" s="3231"/>
      <c r="B3" s="3231"/>
      <c r="C3" s="3232" t="s">
        <v>2792</v>
      </c>
      <c r="D3" s="3232" t="s">
        <v>2848</v>
      </c>
      <c r="E3" s="3232" t="s">
        <v>2794</v>
      </c>
      <c r="F3" s="3232" t="s">
        <v>2849</v>
      </c>
      <c r="G3" s="3232" t="s">
        <v>2612</v>
      </c>
    </row>
    <row r="4" spans="1:7" ht="14.25" thickBot="1">
      <c r="A4" s="3233" t="s">
        <v>2847</v>
      </c>
      <c r="B4" s="3234" t="s">
        <v>2853</v>
      </c>
      <c r="C4" s="3232"/>
      <c r="D4" s="3232"/>
      <c r="E4" s="3232"/>
      <c r="F4" s="3232"/>
      <c r="G4" s="3232"/>
    </row>
    <row r="5" spans="1:7">
      <c r="A5" s="3235" t="s">
        <v>2821</v>
      </c>
      <c r="B5" s="3236" t="s">
        <v>2835</v>
      </c>
      <c r="C5" s="3237">
        <v>9.8000000000000004E-2</v>
      </c>
      <c r="D5" s="3237">
        <v>8.6999999999999994E-2</v>
      </c>
      <c r="E5" s="3237">
        <v>8.6999999999999994E-2</v>
      </c>
      <c r="F5" s="3237">
        <v>9.8000000000000004E-2</v>
      </c>
      <c r="G5" s="3238">
        <v>9.5000000000000001E-2</v>
      </c>
    </row>
    <row r="6" spans="1:7">
      <c r="A6" s="3239" t="s">
        <v>144</v>
      </c>
      <c r="B6" s="3240" t="s">
        <v>2850</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2836</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2886</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2904</v>
      </c>
      <c r="C29" s="3249"/>
      <c r="D29" s="3245">
        <v>5.1999999999999998E-2</v>
      </c>
      <c r="E29" s="3245">
        <v>7.0000000000000007E-2</v>
      </c>
      <c r="F29" s="3249"/>
      <c r="G29" s="3247">
        <v>7.0999999999999994E-2</v>
      </c>
    </row>
    <row r="30" spans="1:7">
      <c r="A30" s="3250" t="s">
        <v>296</v>
      </c>
      <c r="B30" s="3236" t="s">
        <v>2837</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2823</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2907</v>
      </c>
      <c r="C50" s="3241">
        <v>9.8000000000000004E-2</v>
      </c>
      <c r="D50" s="3241">
        <v>7.2999999999999995E-2</v>
      </c>
      <c r="E50" s="3241">
        <v>7.0999999999999994E-2</v>
      </c>
      <c r="F50" s="3252"/>
      <c r="G50" s="3242">
        <v>7.2999999999999995E-2</v>
      </c>
    </row>
    <row r="51" spans="1:7">
      <c r="A51" s="3251" t="s">
        <v>296</v>
      </c>
      <c r="B51" s="3240" t="s">
        <v>2909</v>
      </c>
      <c r="C51" s="3241">
        <v>9.9000000000000005E-2</v>
      </c>
      <c r="D51" s="3241">
        <v>8.5000000000000006E-2</v>
      </c>
      <c r="E51" s="3241">
        <v>6.3E-2</v>
      </c>
      <c r="F51" s="3252"/>
      <c r="G51" s="3242">
        <v>9.6000000000000002E-2</v>
      </c>
    </row>
    <row r="52" spans="1:7">
      <c r="A52" s="3251" t="s">
        <v>296</v>
      </c>
      <c r="B52" s="3240" t="s">
        <v>2913</v>
      </c>
      <c r="C52" s="3241">
        <v>7.3999999999999996E-2</v>
      </c>
      <c r="D52" s="3241">
        <v>9.6000000000000002E-2</v>
      </c>
      <c r="E52" s="3241">
        <v>0.05</v>
      </c>
      <c r="F52" s="3252"/>
      <c r="G52" s="3242">
        <v>9.8000000000000004E-2</v>
      </c>
    </row>
    <row r="53" spans="1:7">
      <c r="A53" s="3251" t="s">
        <v>296</v>
      </c>
      <c r="B53" s="3240" t="s">
        <v>2918</v>
      </c>
      <c r="C53" s="3241">
        <v>8.5999999999999993E-2</v>
      </c>
      <c r="D53" s="3252"/>
      <c r="E53" s="3241">
        <v>9.1999999999999998E-2</v>
      </c>
      <c r="F53" s="3252"/>
      <c r="G53" s="3253"/>
    </row>
    <row r="54" spans="1:7" ht="14.25" thickBot="1">
      <c r="A54" s="3254" t="s">
        <v>296</v>
      </c>
      <c r="B54" s="3244" t="s">
        <v>2921</v>
      </c>
      <c r="C54" s="3245">
        <v>9.6000000000000002E-2</v>
      </c>
      <c r="D54" s="3246"/>
      <c r="E54" s="3255"/>
      <c r="F54" s="3246"/>
      <c r="G54" s="3256"/>
    </row>
    <row r="55" spans="1:7">
      <c r="A55" s="3250" t="s">
        <v>110</v>
      </c>
      <c r="B55" s="3236" t="s">
        <v>2838</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2919</v>
      </c>
      <c r="C78" s="3241">
        <v>0.1</v>
      </c>
      <c r="D78" s="3241">
        <v>8.5000000000000006E-2</v>
      </c>
      <c r="E78" s="3241">
        <v>9.6000000000000002E-2</v>
      </c>
      <c r="F78" s="3252"/>
      <c r="G78" s="3242">
        <v>9.6000000000000002E-2</v>
      </c>
    </row>
    <row r="79" spans="1:7">
      <c r="A79" s="3251" t="s">
        <v>110</v>
      </c>
      <c r="B79" s="3240" t="s">
        <v>2922</v>
      </c>
      <c r="C79" s="3241">
        <v>0.05</v>
      </c>
      <c r="D79" s="3241">
        <v>9.6000000000000002E-2</v>
      </c>
      <c r="E79" s="3241">
        <v>9.5000000000000001E-2</v>
      </c>
      <c r="F79" s="3252"/>
      <c r="G79" s="3242">
        <v>9.8000000000000004E-2</v>
      </c>
    </row>
    <row r="80" spans="1:7">
      <c r="A80" s="3251" t="s">
        <v>110</v>
      </c>
      <c r="B80" s="3240" t="s">
        <v>2926</v>
      </c>
      <c r="C80" s="3241">
        <v>8.5999999999999993E-2</v>
      </c>
      <c r="D80" s="3257"/>
      <c r="E80" s="3241">
        <v>0.1</v>
      </c>
      <c r="F80" s="3252"/>
      <c r="G80" s="3253"/>
    </row>
    <row r="81" spans="1:7">
      <c r="A81" s="3251" t="s">
        <v>110</v>
      </c>
      <c r="B81" s="3240" t="s">
        <v>2931</v>
      </c>
      <c r="C81" s="3241">
        <v>9.6000000000000002E-2</v>
      </c>
      <c r="D81" s="3252"/>
      <c r="E81" s="3241">
        <v>9.8000000000000004E-2</v>
      </c>
      <c r="F81" s="3252"/>
      <c r="G81" s="3253"/>
    </row>
    <row r="82" spans="1:7">
      <c r="A82" s="3251" t="s">
        <v>110</v>
      </c>
      <c r="B82" s="3240" t="s">
        <v>2938</v>
      </c>
      <c r="C82" s="3257"/>
      <c r="D82" s="3252"/>
      <c r="E82" s="3241">
        <v>7.6999999999999999E-2</v>
      </c>
      <c r="F82" s="3252"/>
      <c r="G82" s="3253"/>
    </row>
    <row r="83" spans="1:7">
      <c r="A83" s="3251" t="s">
        <v>110</v>
      </c>
      <c r="B83" s="3240" t="s">
        <v>2944</v>
      </c>
      <c r="C83" s="3252"/>
      <c r="D83" s="3252"/>
      <c r="E83" s="3252"/>
      <c r="F83" s="3241">
        <v>0.1</v>
      </c>
      <c r="G83" s="3258"/>
    </row>
    <row r="84" spans="1:7">
      <c r="A84" s="3251" t="s">
        <v>110</v>
      </c>
      <c r="B84" s="3240" t="s">
        <v>2951</v>
      </c>
      <c r="C84" s="3252"/>
      <c r="D84" s="3252"/>
      <c r="E84" s="3252"/>
      <c r="F84" s="3241">
        <v>0.1</v>
      </c>
      <c r="G84" s="3258"/>
    </row>
    <row r="85" spans="1:7">
      <c r="A85" s="3251" t="s">
        <v>110</v>
      </c>
      <c r="B85" s="3240" t="s">
        <v>2958</v>
      </c>
      <c r="C85" s="3252"/>
      <c r="D85" s="3252"/>
      <c r="E85" s="3252"/>
      <c r="F85" s="3241">
        <v>0.1</v>
      </c>
      <c r="G85" s="3258"/>
    </row>
    <row r="86" spans="1:7" ht="14.25" thickBot="1">
      <c r="A86" s="3254" t="s">
        <v>110</v>
      </c>
      <c r="B86" s="3244" t="s">
        <v>2963</v>
      </c>
      <c r="C86" s="3245">
        <v>9.8000000000000004E-2</v>
      </c>
      <c r="D86" s="3245">
        <v>9.8000000000000004E-2</v>
      </c>
      <c r="E86" s="3245">
        <v>9.6000000000000002E-2</v>
      </c>
      <c r="F86" s="3255"/>
      <c r="G86" s="3247">
        <v>0.1</v>
      </c>
    </row>
    <row r="87" spans="1:7">
      <c r="A87" s="3250" t="s">
        <v>303</v>
      </c>
      <c r="B87" s="3236" t="s">
        <v>2839</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2932</v>
      </c>
      <c r="C113" s="3241">
        <v>0.1</v>
      </c>
      <c r="D113" s="3241">
        <v>0.1</v>
      </c>
      <c r="E113" s="3252"/>
      <c r="F113" s="3252"/>
      <c r="G113" s="3242">
        <v>0.1</v>
      </c>
    </row>
    <row r="114" spans="1:7">
      <c r="A114" s="3251" t="s">
        <v>303</v>
      </c>
      <c r="B114" s="3240" t="s">
        <v>2939</v>
      </c>
      <c r="C114" s="3241">
        <v>9.7000000000000003E-2</v>
      </c>
      <c r="D114" s="3241">
        <v>9.7000000000000003E-2</v>
      </c>
      <c r="E114" s="3252"/>
      <c r="F114" s="3252"/>
      <c r="G114" s="3242">
        <v>9.9000000000000005E-2</v>
      </c>
    </row>
    <row r="115" spans="1:7">
      <c r="A115" s="3251" t="s">
        <v>303</v>
      </c>
      <c r="B115" s="3240" t="s">
        <v>2945</v>
      </c>
      <c r="C115" s="3241">
        <v>0.1</v>
      </c>
      <c r="D115" s="3241">
        <v>0.1</v>
      </c>
      <c r="E115" s="3252"/>
      <c r="F115" s="3252"/>
      <c r="G115" s="3242">
        <v>0.1</v>
      </c>
    </row>
    <row r="116" spans="1:7">
      <c r="A116" s="3251" t="s">
        <v>303</v>
      </c>
      <c r="B116" s="3240" t="s">
        <v>2952</v>
      </c>
      <c r="C116" s="3241">
        <v>0.1</v>
      </c>
      <c r="D116" s="3241">
        <v>0.1</v>
      </c>
      <c r="E116" s="3252"/>
      <c r="F116" s="3252"/>
      <c r="G116" s="3242">
        <v>0.1</v>
      </c>
    </row>
    <row r="117" spans="1:7">
      <c r="A117" s="3251" t="s">
        <v>303</v>
      </c>
      <c r="B117" s="3240" t="s">
        <v>2959</v>
      </c>
      <c r="C117" s="3241">
        <v>9.7000000000000003E-2</v>
      </c>
      <c r="D117" s="3241">
        <v>9.7000000000000003E-2</v>
      </c>
      <c r="E117" s="3252"/>
      <c r="F117" s="3252"/>
      <c r="G117" s="3242">
        <v>9.7000000000000003E-2</v>
      </c>
    </row>
    <row r="118" spans="1:7">
      <c r="A118" s="3251" t="s">
        <v>303</v>
      </c>
      <c r="B118" s="3240" t="s">
        <v>2964</v>
      </c>
      <c r="C118" s="3241">
        <v>0.1</v>
      </c>
      <c r="D118" s="3241">
        <v>0.1</v>
      </c>
      <c r="E118" s="3252"/>
      <c r="F118" s="3252"/>
      <c r="G118" s="3242">
        <v>0.1</v>
      </c>
    </row>
    <row r="119" spans="1:7">
      <c r="A119" s="3251" t="s">
        <v>303</v>
      </c>
      <c r="B119" s="3240" t="s">
        <v>2968</v>
      </c>
      <c r="C119" s="3241">
        <v>5.0999999999999997E-2</v>
      </c>
      <c r="D119" s="3241">
        <v>5.1999999999999998E-2</v>
      </c>
      <c r="E119" s="3252"/>
      <c r="F119" s="3257"/>
      <c r="G119" s="3242">
        <v>0.06</v>
      </c>
    </row>
    <row r="120" spans="1:7">
      <c r="A120" s="3251" t="s">
        <v>303</v>
      </c>
      <c r="B120" s="3240" t="s">
        <v>2972</v>
      </c>
      <c r="C120" s="3252"/>
      <c r="D120" s="3252"/>
      <c r="E120" s="3252"/>
      <c r="F120" s="3241">
        <v>0.1</v>
      </c>
      <c r="G120" s="3258"/>
    </row>
    <row r="121" spans="1:7">
      <c r="A121" s="3251" t="s">
        <v>303</v>
      </c>
      <c r="B121" s="3240" t="s">
        <v>2977</v>
      </c>
      <c r="C121" s="3252"/>
      <c r="D121" s="3252"/>
      <c r="E121" s="3252"/>
      <c r="F121" s="3241">
        <v>0.1</v>
      </c>
      <c r="G121" s="3258"/>
    </row>
    <row r="122" spans="1:7">
      <c r="A122" s="3251" t="s">
        <v>303</v>
      </c>
      <c r="B122" s="3240" t="s">
        <v>2982</v>
      </c>
      <c r="C122" s="3241">
        <v>0.1</v>
      </c>
      <c r="D122" s="3241">
        <v>0.1</v>
      </c>
      <c r="E122" s="3241">
        <v>9.8000000000000004E-2</v>
      </c>
      <c r="F122" s="3241">
        <v>0.1</v>
      </c>
      <c r="G122" s="3242">
        <v>0.1</v>
      </c>
    </row>
    <row r="123" spans="1:7">
      <c r="A123" s="3251" t="s">
        <v>303</v>
      </c>
      <c r="B123" s="3240" t="s">
        <v>2987</v>
      </c>
      <c r="C123" s="3241">
        <v>0.1</v>
      </c>
      <c r="D123" s="3241">
        <v>0.1</v>
      </c>
      <c r="E123" s="3241">
        <v>9.8000000000000004E-2</v>
      </c>
      <c r="F123" s="3241">
        <v>0.1</v>
      </c>
      <c r="G123" s="3242">
        <v>0.1</v>
      </c>
    </row>
    <row r="124" spans="1:7">
      <c r="A124" s="3251" t="s">
        <v>303</v>
      </c>
      <c r="B124" s="3240" t="s">
        <v>2992</v>
      </c>
      <c r="C124" s="3241">
        <v>0.1</v>
      </c>
      <c r="D124" s="3241">
        <v>0.1</v>
      </c>
      <c r="E124" s="3241">
        <v>9.8000000000000004E-2</v>
      </c>
      <c r="F124" s="3257"/>
      <c r="G124" s="3242">
        <v>0.1</v>
      </c>
    </row>
    <row r="125" spans="1:7">
      <c r="A125" s="3251" t="s">
        <v>303</v>
      </c>
      <c r="B125" s="3240" t="s">
        <v>2997</v>
      </c>
      <c r="C125" s="3241">
        <v>9.8000000000000004E-2</v>
      </c>
      <c r="D125" s="3241">
        <v>9.8000000000000004E-2</v>
      </c>
      <c r="E125" s="3241">
        <v>9.6000000000000002E-2</v>
      </c>
      <c r="F125" s="3257"/>
      <c r="G125" s="3242">
        <v>0.1</v>
      </c>
    </row>
    <row r="126" spans="1:7" ht="14.25" thickBot="1">
      <c r="A126" s="3254" t="s">
        <v>303</v>
      </c>
      <c r="B126" s="3244" t="s">
        <v>3163</v>
      </c>
      <c r="C126" s="3245">
        <v>0.1</v>
      </c>
      <c r="D126" s="3245">
        <v>0.1</v>
      </c>
      <c r="E126" s="3245">
        <v>9.8000000000000004E-2</v>
      </c>
      <c r="F126" s="3245">
        <v>0.1</v>
      </c>
      <c r="G126" s="3247">
        <v>0.1</v>
      </c>
    </row>
    <row r="127" spans="1:7">
      <c r="A127" s="3250" t="s">
        <v>29</v>
      </c>
      <c r="B127" s="3236" t="s">
        <v>2840</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2910</v>
      </c>
      <c r="C148" s="3241">
        <v>0.13</v>
      </c>
      <c r="D148" s="3241">
        <v>0.13</v>
      </c>
      <c r="E148" s="3241">
        <v>0.13</v>
      </c>
      <c r="F148" s="3252"/>
      <c r="G148" s="3242">
        <v>0.13</v>
      </c>
    </row>
    <row r="149" spans="1:7">
      <c r="A149" s="3251" t="s">
        <v>29</v>
      </c>
      <c r="B149" s="3240" t="s">
        <v>2914</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2933</v>
      </c>
      <c r="C153" s="3241">
        <v>0.13</v>
      </c>
      <c r="D153" s="3241">
        <v>0.13</v>
      </c>
      <c r="E153" s="3241">
        <v>0.13</v>
      </c>
      <c r="F153" s="3241">
        <v>0.13</v>
      </c>
      <c r="G153" s="3242">
        <v>0.13</v>
      </c>
    </row>
    <row r="154" spans="1:7">
      <c r="A154" s="3251" t="s">
        <v>29</v>
      </c>
      <c r="B154" s="3240" t="s">
        <v>2940</v>
      </c>
      <c r="C154" s="3241">
        <v>0.121</v>
      </c>
      <c r="D154" s="3241">
        <v>0.121</v>
      </c>
      <c r="E154" s="3241">
        <v>0.105</v>
      </c>
      <c r="F154" s="3241">
        <v>0.121</v>
      </c>
      <c r="G154" s="3242">
        <v>0.123</v>
      </c>
    </row>
    <row r="155" spans="1:7">
      <c r="A155" s="3251" t="s">
        <v>29</v>
      </c>
      <c r="B155" s="3240" t="s">
        <v>2946</v>
      </c>
      <c r="C155" s="3241">
        <v>0.1</v>
      </c>
      <c r="D155" s="3241">
        <v>0.1</v>
      </c>
      <c r="E155" s="3241">
        <v>0.1</v>
      </c>
      <c r="F155" s="3241">
        <v>0.1</v>
      </c>
      <c r="G155" s="3242">
        <v>0.1</v>
      </c>
    </row>
    <row r="156" spans="1:7">
      <c r="A156" s="3251" t="s">
        <v>29</v>
      </c>
      <c r="B156" s="3240" t="s">
        <v>2953</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2973</v>
      </c>
      <c r="C160" s="3241">
        <v>0.13</v>
      </c>
      <c r="D160" s="3241">
        <v>0.13</v>
      </c>
      <c r="E160" s="3241">
        <v>0.124</v>
      </c>
      <c r="F160" s="3241">
        <v>0.126</v>
      </c>
      <c r="G160" s="3242">
        <v>0.13</v>
      </c>
    </row>
    <row r="161" spans="1:7">
      <c r="A161" s="3251" t="s">
        <v>29</v>
      </c>
      <c r="B161" s="3240" t="s">
        <v>2978</v>
      </c>
      <c r="C161" s="3241">
        <v>0.13</v>
      </c>
      <c r="D161" s="3241">
        <v>0.13</v>
      </c>
      <c r="E161" s="3241">
        <v>0.124</v>
      </c>
      <c r="F161" s="3241">
        <v>0.127</v>
      </c>
      <c r="G161" s="3242">
        <v>0.13</v>
      </c>
    </row>
    <row r="162" spans="1:7">
      <c r="A162" s="3251" t="s">
        <v>29</v>
      </c>
      <c r="B162" s="3240" t="s">
        <v>2983</v>
      </c>
      <c r="C162" s="3241">
        <v>0.1</v>
      </c>
      <c r="D162" s="3241">
        <v>0.1</v>
      </c>
      <c r="E162" s="3241">
        <v>0.1</v>
      </c>
      <c r="F162" s="3241">
        <v>0.121</v>
      </c>
      <c r="G162" s="3242">
        <v>0.105</v>
      </c>
    </row>
    <row r="163" spans="1:7">
      <c r="A163" s="3251" t="s">
        <v>29</v>
      </c>
      <c r="B163" s="3240" t="s">
        <v>2988</v>
      </c>
      <c r="C163" s="3241">
        <v>0.1</v>
      </c>
      <c r="D163" s="3241">
        <v>0.1</v>
      </c>
      <c r="E163" s="3241">
        <v>0.1</v>
      </c>
      <c r="F163" s="3241">
        <v>0.1</v>
      </c>
      <c r="G163" s="3242">
        <v>0.1</v>
      </c>
    </row>
    <row r="164" spans="1:7">
      <c r="A164" s="3251" t="s">
        <v>29</v>
      </c>
      <c r="B164" s="3240" t="s">
        <v>2993</v>
      </c>
      <c r="C164" s="3257"/>
      <c r="D164" s="3257"/>
      <c r="E164" s="3257"/>
      <c r="F164" s="3241">
        <v>0.1</v>
      </c>
      <c r="G164" s="3253"/>
    </row>
    <row r="165" spans="1:7">
      <c r="A165" s="3251" t="s">
        <v>29</v>
      </c>
      <c r="B165" s="3240" t="s">
        <v>3164</v>
      </c>
      <c r="C165" s="3241">
        <v>0.126</v>
      </c>
      <c r="D165" s="3241">
        <v>0.126</v>
      </c>
      <c r="E165" s="3241">
        <v>0.11899999999999999</v>
      </c>
      <c r="F165" s="3241">
        <v>0.13</v>
      </c>
      <c r="G165" s="3242">
        <v>0.128</v>
      </c>
    </row>
    <row r="166" spans="1:7">
      <c r="A166" s="3251" t="s">
        <v>29</v>
      </c>
      <c r="B166" s="3240" t="s">
        <v>3003</v>
      </c>
      <c r="C166" s="3241">
        <v>0.129</v>
      </c>
      <c r="D166" s="3241">
        <v>0.129</v>
      </c>
      <c r="E166" s="3241">
        <v>0.123</v>
      </c>
      <c r="F166" s="3241">
        <v>0.128</v>
      </c>
      <c r="G166" s="3242">
        <v>0.13</v>
      </c>
    </row>
    <row r="167" spans="1:7">
      <c r="A167" s="3251" t="s">
        <v>29</v>
      </c>
      <c r="B167" s="3240" t="s">
        <v>3007</v>
      </c>
      <c r="C167" s="3241">
        <v>0.125</v>
      </c>
      <c r="D167" s="3241">
        <v>0.125</v>
      </c>
      <c r="E167" s="3241">
        <v>0.11700000000000001</v>
      </c>
      <c r="F167" s="3241">
        <v>0.13</v>
      </c>
      <c r="G167" s="3242">
        <v>0.126</v>
      </c>
    </row>
    <row r="168" spans="1:7">
      <c r="A168" s="3251" t="s">
        <v>29</v>
      </c>
      <c r="B168" s="3240" t="s">
        <v>3012</v>
      </c>
      <c r="C168" s="3241">
        <v>0.128</v>
      </c>
      <c r="D168" s="3241">
        <v>0.128</v>
      </c>
      <c r="E168" s="3241">
        <v>0.123</v>
      </c>
      <c r="F168" s="3252"/>
      <c r="G168" s="3242">
        <v>0.13</v>
      </c>
    </row>
    <row r="169" spans="1:7">
      <c r="A169" s="3251" t="s">
        <v>29</v>
      </c>
      <c r="B169" s="3240" t="s">
        <v>3165</v>
      </c>
      <c r="C169" s="3257"/>
      <c r="D169" s="3257"/>
      <c r="E169" s="3257"/>
      <c r="F169" s="3241">
        <v>0.05</v>
      </c>
      <c r="G169" s="3253"/>
    </row>
    <row r="170" spans="1:7">
      <c r="A170" s="3251" t="s">
        <v>29</v>
      </c>
      <c r="B170" s="3240" t="s">
        <v>3166</v>
      </c>
      <c r="C170" s="3257"/>
      <c r="D170" s="3257"/>
      <c r="E170" s="3257"/>
      <c r="F170" s="3241">
        <v>0.05</v>
      </c>
      <c r="G170" s="3253"/>
    </row>
    <row r="171" spans="1:7">
      <c r="A171" s="3251" t="s">
        <v>29</v>
      </c>
      <c r="B171" s="3240" t="s">
        <v>3167</v>
      </c>
      <c r="C171" s="3257"/>
      <c r="D171" s="3257"/>
      <c r="E171" s="3257"/>
      <c r="F171" s="3241">
        <v>0.05</v>
      </c>
      <c r="G171" s="3258"/>
    </row>
    <row r="172" spans="1:7">
      <c r="A172" s="3251" t="s">
        <v>29</v>
      </c>
      <c r="B172" s="3240" t="s">
        <v>3168</v>
      </c>
      <c r="C172" s="3257"/>
      <c r="D172" s="3257"/>
      <c r="E172" s="3257"/>
      <c r="F172" s="3241">
        <v>0.05</v>
      </c>
      <c r="G172" s="3258"/>
    </row>
    <row r="173" spans="1:7">
      <c r="A173" s="3251" t="s">
        <v>29</v>
      </c>
      <c r="B173" s="3240" t="s">
        <v>3169</v>
      </c>
      <c r="C173" s="3257"/>
      <c r="D173" s="3257"/>
      <c r="E173" s="3257"/>
      <c r="F173" s="3241">
        <v>0.05</v>
      </c>
      <c r="G173" s="3253"/>
    </row>
    <row r="174" spans="1:7">
      <c r="A174" s="3251" t="s">
        <v>29</v>
      </c>
      <c r="B174" s="3240" t="s">
        <v>3170</v>
      </c>
      <c r="C174" s="3257"/>
      <c r="D174" s="3257"/>
      <c r="E174" s="3257"/>
      <c r="F174" s="3241">
        <v>0.05</v>
      </c>
      <c r="G174" s="3253"/>
    </row>
    <row r="175" spans="1:7">
      <c r="A175" s="3251" t="s">
        <v>29</v>
      </c>
      <c r="B175" s="3240" t="s">
        <v>3171</v>
      </c>
      <c r="C175" s="3257"/>
      <c r="D175" s="3257"/>
      <c r="E175" s="3257"/>
      <c r="F175" s="3241">
        <v>0.05</v>
      </c>
      <c r="G175" s="3253"/>
    </row>
    <row r="176" spans="1:7">
      <c r="A176" s="3251" t="s">
        <v>29</v>
      </c>
      <c r="B176" s="3240" t="s">
        <v>3172</v>
      </c>
      <c r="C176" s="3257"/>
      <c r="D176" s="3257"/>
      <c r="E176" s="3257"/>
      <c r="F176" s="3241">
        <v>0.05</v>
      </c>
      <c r="G176" s="3253"/>
    </row>
    <row r="177" spans="1:7">
      <c r="A177" s="3251" t="s">
        <v>29</v>
      </c>
      <c r="B177" s="3240" t="s">
        <v>3173</v>
      </c>
      <c r="C177" s="3252"/>
      <c r="D177" s="3252"/>
      <c r="E177" s="3252"/>
      <c r="F177" s="3241">
        <v>0.05</v>
      </c>
      <c r="G177" s="3258"/>
    </row>
    <row r="178" spans="1:7">
      <c r="A178" s="3251" t="s">
        <v>29</v>
      </c>
      <c r="B178" s="3240" t="s">
        <v>3174</v>
      </c>
      <c r="C178" s="3252"/>
      <c r="D178" s="3252"/>
      <c r="E178" s="3252"/>
      <c r="F178" s="3241">
        <v>0.05</v>
      </c>
      <c r="G178" s="3258"/>
    </row>
    <row r="179" spans="1:7">
      <c r="A179" s="3251" t="s">
        <v>29</v>
      </c>
      <c r="B179" s="3240" t="s">
        <v>3175</v>
      </c>
      <c r="C179" s="3252"/>
      <c r="D179" s="3252"/>
      <c r="E179" s="3252"/>
      <c r="F179" s="3241">
        <v>0.05</v>
      </c>
      <c r="G179" s="3258"/>
    </row>
    <row r="180" spans="1:7">
      <c r="A180" s="3251" t="s">
        <v>29</v>
      </c>
      <c r="B180" s="3240" t="s">
        <v>3176</v>
      </c>
      <c r="C180" s="3252"/>
      <c r="D180" s="3252"/>
      <c r="E180" s="3252"/>
      <c r="F180" s="3241">
        <v>0.05</v>
      </c>
      <c r="G180" s="3258"/>
    </row>
    <row r="181" spans="1:7">
      <c r="A181" s="3251" t="s">
        <v>29</v>
      </c>
      <c r="B181" s="3240" t="s">
        <v>3177</v>
      </c>
      <c r="C181" s="3252"/>
      <c r="D181" s="3252"/>
      <c r="E181" s="3252"/>
      <c r="F181" s="3241">
        <v>0.05</v>
      </c>
      <c r="G181" s="3258"/>
    </row>
    <row r="182" spans="1:7">
      <c r="A182" s="3251" t="s">
        <v>29</v>
      </c>
      <c r="B182" s="3240" t="s">
        <v>3178</v>
      </c>
      <c r="C182" s="3252"/>
      <c r="D182" s="3252"/>
      <c r="E182" s="3252"/>
      <c r="F182" s="3241">
        <v>0.05</v>
      </c>
      <c r="G182" s="3258"/>
    </row>
    <row r="183" spans="1:7">
      <c r="A183" s="3251" t="s">
        <v>29</v>
      </c>
      <c r="B183" s="3240" t="s">
        <v>3179</v>
      </c>
      <c r="C183" s="3252"/>
      <c r="D183" s="3252"/>
      <c r="E183" s="3252"/>
      <c r="F183" s="3241">
        <v>0.05</v>
      </c>
      <c r="G183" s="3258"/>
    </row>
    <row r="184" spans="1:7">
      <c r="A184" s="3251" t="s">
        <v>29</v>
      </c>
      <c r="B184" s="3240" t="s">
        <v>3180</v>
      </c>
      <c r="C184" s="3252"/>
      <c r="D184" s="3252"/>
      <c r="E184" s="3252"/>
      <c r="F184" s="3241">
        <v>0.05</v>
      </c>
      <c r="G184" s="3258"/>
    </row>
    <row r="185" spans="1:7">
      <c r="A185" s="3251" t="s">
        <v>29</v>
      </c>
      <c r="B185" s="3240" t="s">
        <v>3181</v>
      </c>
      <c r="C185" s="3252"/>
      <c r="D185" s="3252"/>
      <c r="E185" s="3252"/>
      <c r="F185" s="3241">
        <v>0.05</v>
      </c>
      <c r="G185" s="3258"/>
    </row>
    <row r="186" spans="1:7">
      <c r="A186" s="3251" t="s">
        <v>29</v>
      </c>
      <c r="B186" s="3240" t="s">
        <v>3182</v>
      </c>
      <c r="C186" s="3252"/>
      <c r="D186" s="3252"/>
      <c r="E186" s="3252"/>
      <c r="F186" s="3241">
        <v>0.05</v>
      </c>
      <c r="G186" s="3258"/>
    </row>
    <row r="187" spans="1:7">
      <c r="A187" s="3251" t="s">
        <v>29</v>
      </c>
      <c r="B187" s="3240" t="s">
        <v>3183</v>
      </c>
      <c r="C187" s="3252"/>
      <c r="D187" s="3252"/>
      <c r="E187" s="3252"/>
      <c r="F187" s="3241">
        <v>0.05</v>
      </c>
      <c r="G187" s="3258"/>
    </row>
    <row r="188" spans="1:7">
      <c r="A188" s="3251" t="s">
        <v>29</v>
      </c>
      <c r="B188" s="3240" t="s">
        <v>3184</v>
      </c>
      <c r="C188" s="3252"/>
      <c r="D188" s="3252"/>
      <c r="E188" s="3252"/>
      <c r="F188" s="3241">
        <v>0.05</v>
      </c>
      <c r="G188" s="3258"/>
    </row>
    <row r="189" spans="1:7" ht="14.25" thickBot="1">
      <c r="A189" s="3254" t="s">
        <v>29</v>
      </c>
      <c r="B189" s="3244" t="s">
        <v>3185</v>
      </c>
      <c r="C189" s="3246"/>
      <c r="D189" s="3246"/>
      <c r="E189" s="3246"/>
      <c r="F189" s="3245">
        <v>0.05</v>
      </c>
      <c r="G189" s="3259"/>
    </row>
    <row r="190" spans="1:7">
      <c r="A190" s="3250" t="s">
        <v>304</v>
      </c>
      <c r="B190" s="3236" t="s">
        <v>2841</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2877</v>
      </c>
      <c r="C199" s="3241">
        <v>0.13</v>
      </c>
      <c r="D199" s="3241">
        <v>0.13</v>
      </c>
      <c r="E199" s="3241">
        <v>0.13</v>
      </c>
      <c r="F199" s="3241">
        <v>0.13</v>
      </c>
      <c r="G199" s="3242">
        <v>0.13</v>
      </c>
    </row>
    <row r="200" spans="1:7">
      <c r="A200" s="3251" t="s">
        <v>304</v>
      </c>
      <c r="B200" s="3240" t="s">
        <v>2880</v>
      </c>
      <c r="C200" s="3257"/>
      <c r="D200" s="3257"/>
      <c r="E200" s="3257"/>
      <c r="F200" s="3241">
        <v>0.13</v>
      </c>
      <c r="G200" s="3253"/>
    </row>
    <row r="201" spans="1:7">
      <c r="A201" s="3251" t="s">
        <v>304</v>
      </c>
      <c r="B201" s="3240" t="s">
        <v>2885</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2888</v>
      </c>
      <c r="C203" s="3241">
        <v>0.129</v>
      </c>
      <c r="D203" s="3241">
        <v>0.129</v>
      </c>
      <c r="E203" s="3241">
        <v>0.13</v>
      </c>
      <c r="F203" s="3241">
        <v>0.13</v>
      </c>
      <c r="G203" s="3242">
        <v>0.13</v>
      </c>
    </row>
    <row r="204" spans="1:7">
      <c r="A204" s="3251" t="s">
        <v>304</v>
      </c>
      <c r="B204" s="3240" t="s">
        <v>2891</v>
      </c>
      <c r="C204" s="3241">
        <v>0.129</v>
      </c>
      <c r="D204" s="3241">
        <v>0.129</v>
      </c>
      <c r="E204" s="3241">
        <v>0.123</v>
      </c>
      <c r="F204" s="3241">
        <v>0.13</v>
      </c>
      <c r="G204" s="3242">
        <v>0.13</v>
      </c>
    </row>
    <row r="205" spans="1:7">
      <c r="A205" s="3251" t="s">
        <v>304</v>
      </c>
      <c r="B205" s="3240" t="s">
        <v>2893</v>
      </c>
      <c r="C205" s="3241">
        <v>0.13</v>
      </c>
      <c r="D205" s="3241">
        <v>0.13</v>
      </c>
      <c r="E205" s="3241">
        <v>0.13</v>
      </c>
      <c r="F205" s="3241">
        <v>0.13</v>
      </c>
      <c r="G205" s="3242">
        <v>0.13</v>
      </c>
    </row>
    <row r="206" spans="1:7">
      <c r="A206" s="3251" t="s">
        <v>304</v>
      </c>
      <c r="B206" s="3240" t="s">
        <v>2896</v>
      </c>
      <c r="C206" s="3241">
        <v>0.13</v>
      </c>
      <c r="D206" s="3241">
        <v>0.13</v>
      </c>
      <c r="E206" s="3241">
        <v>0.13</v>
      </c>
      <c r="F206" s="3241">
        <v>0.128</v>
      </c>
      <c r="G206" s="3242">
        <v>0.13</v>
      </c>
    </row>
    <row r="207" spans="1:7">
      <c r="A207" s="3251" t="s">
        <v>304</v>
      </c>
      <c r="B207" s="3240" t="s">
        <v>2898</v>
      </c>
      <c r="C207" s="3241">
        <v>0.13</v>
      </c>
      <c r="D207" s="3241">
        <v>0.13</v>
      </c>
      <c r="E207" s="3241">
        <v>0.13</v>
      </c>
      <c r="F207" s="3241">
        <v>0.13</v>
      </c>
      <c r="G207" s="3242">
        <v>0.13</v>
      </c>
    </row>
    <row r="208" spans="1:7">
      <c r="A208" s="3251" t="s">
        <v>304</v>
      </c>
      <c r="B208" s="3240" t="s">
        <v>2901</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2908</v>
      </c>
      <c r="C210" s="3241">
        <v>0.121</v>
      </c>
      <c r="D210" s="3241">
        <v>0.121</v>
      </c>
      <c r="E210" s="3241">
        <v>0.125</v>
      </c>
      <c r="F210" s="3241">
        <v>0.13</v>
      </c>
      <c r="G210" s="3242">
        <v>0.123</v>
      </c>
    </row>
    <row r="211" spans="1:7">
      <c r="A211" s="3251" t="s">
        <v>304</v>
      </c>
      <c r="B211" s="3240" t="s">
        <v>2911</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2923</v>
      </c>
      <c r="C214" s="3241">
        <v>0.128</v>
      </c>
      <c r="D214" s="3241">
        <v>0.128</v>
      </c>
      <c r="E214" s="3241">
        <v>0.13</v>
      </c>
      <c r="F214" s="3241">
        <v>0.13</v>
      </c>
      <c r="G214" s="3242">
        <v>0.13</v>
      </c>
    </row>
    <row r="215" spans="1:7">
      <c r="A215" s="3251" t="s">
        <v>304</v>
      </c>
      <c r="B215" s="3240" t="s">
        <v>2927</v>
      </c>
      <c r="C215" s="3241">
        <v>0.13</v>
      </c>
      <c r="D215" s="3241">
        <v>0.13</v>
      </c>
      <c r="E215" s="3241">
        <v>0.13</v>
      </c>
      <c r="F215" s="3241">
        <v>0.129</v>
      </c>
      <c r="G215" s="3242">
        <v>0.13</v>
      </c>
    </row>
    <row r="216" spans="1:7">
      <c r="A216" s="3251" t="s">
        <v>304</v>
      </c>
      <c r="B216" s="3240" t="s">
        <v>2934</v>
      </c>
      <c r="C216" s="3241">
        <v>0.13</v>
      </c>
      <c r="D216" s="3241">
        <v>0.13</v>
      </c>
      <c r="E216" s="3241">
        <v>0.13</v>
      </c>
      <c r="F216" s="3241">
        <v>0.13</v>
      </c>
      <c r="G216" s="3242">
        <v>0.13</v>
      </c>
    </row>
    <row r="217" spans="1:7">
      <c r="A217" s="3251" t="s">
        <v>304</v>
      </c>
      <c r="B217" s="3240" t="s">
        <v>2941</v>
      </c>
      <c r="C217" s="3241">
        <v>0.129</v>
      </c>
      <c r="D217" s="3241">
        <v>0.129</v>
      </c>
      <c r="E217" s="3241">
        <v>0.13</v>
      </c>
      <c r="F217" s="3241">
        <v>0.13</v>
      </c>
      <c r="G217" s="3242">
        <v>0.13</v>
      </c>
    </row>
    <row r="218" spans="1:7">
      <c r="A218" s="3251" t="s">
        <v>304</v>
      </c>
      <c r="B218" s="3240" t="s">
        <v>2947</v>
      </c>
      <c r="C218" s="3252"/>
      <c r="D218" s="3252"/>
      <c r="E218" s="3252"/>
      <c r="F218" s="3241">
        <v>0.05</v>
      </c>
      <c r="G218" s="3258"/>
    </row>
    <row r="219" spans="1:7">
      <c r="A219" s="3251" t="s">
        <v>304</v>
      </c>
      <c r="B219" s="3240" t="s">
        <v>2954</v>
      </c>
      <c r="C219" s="3252"/>
      <c r="D219" s="3252"/>
      <c r="E219" s="3252"/>
      <c r="F219" s="3241">
        <v>0.05</v>
      </c>
      <c r="G219" s="3258"/>
    </row>
    <row r="220" spans="1:7">
      <c r="A220" s="3251" t="s">
        <v>304</v>
      </c>
      <c r="B220" s="3240" t="s">
        <v>2960</v>
      </c>
      <c r="C220" s="3252"/>
      <c r="D220" s="3252"/>
      <c r="E220" s="3252"/>
      <c r="F220" s="3241">
        <v>0.05</v>
      </c>
      <c r="G220" s="3258"/>
    </row>
    <row r="221" spans="1:7">
      <c r="A221" s="3251" t="s">
        <v>304</v>
      </c>
      <c r="B221" s="3240" t="s">
        <v>2965</v>
      </c>
      <c r="C221" s="3252"/>
      <c r="D221" s="3252"/>
      <c r="E221" s="3252"/>
      <c r="F221" s="3241">
        <v>0.05</v>
      </c>
      <c r="G221" s="3258"/>
    </row>
    <row r="222" spans="1:7">
      <c r="A222" s="3251" t="s">
        <v>304</v>
      </c>
      <c r="B222" s="3240" t="s">
        <v>2969</v>
      </c>
      <c r="C222" s="3252"/>
      <c r="D222" s="3252"/>
      <c r="E222" s="3252"/>
      <c r="F222" s="3241">
        <v>0.05</v>
      </c>
      <c r="G222" s="3258"/>
    </row>
    <row r="223" spans="1:7">
      <c r="A223" s="3251" t="s">
        <v>304</v>
      </c>
      <c r="B223" s="3240" t="s">
        <v>2974</v>
      </c>
      <c r="C223" s="3252"/>
      <c r="D223" s="3252"/>
      <c r="E223" s="3252"/>
      <c r="F223" s="3241">
        <v>0.05</v>
      </c>
      <c r="G223" s="3258"/>
    </row>
    <row r="224" spans="1:7">
      <c r="A224" s="3251" t="s">
        <v>304</v>
      </c>
      <c r="B224" s="3240" t="s">
        <v>2979</v>
      </c>
      <c r="C224" s="3252"/>
      <c r="D224" s="3252"/>
      <c r="E224" s="3252"/>
      <c r="F224" s="3241">
        <v>0.05</v>
      </c>
      <c r="G224" s="3258"/>
    </row>
    <row r="225" spans="1:7">
      <c r="A225" s="3251" t="s">
        <v>304</v>
      </c>
      <c r="B225" s="3240" t="s">
        <v>2984</v>
      </c>
      <c r="C225" s="3252"/>
      <c r="D225" s="3252"/>
      <c r="E225" s="3252"/>
      <c r="F225" s="3241">
        <v>0.05</v>
      </c>
      <c r="G225" s="3258"/>
    </row>
    <row r="226" spans="1:7">
      <c r="A226" s="3251" t="s">
        <v>304</v>
      </c>
      <c r="B226" s="3240" t="s">
        <v>3186</v>
      </c>
      <c r="C226" s="3252"/>
      <c r="D226" s="3252"/>
      <c r="E226" s="3252"/>
      <c r="F226" s="3241">
        <v>0.05</v>
      </c>
      <c r="G226" s="3258"/>
    </row>
    <row r="227" spans="1:7">
      <c r="A227" s="3251" t="s">
        <v>304</v>
      </c>
      <c r="B227" s="3240" t="s">
        <v>3187</v>
      </c>
      <c r="C227" s="3252"/>
      <c r="D227" s="3252"/>
      <c r="E227" s="3252"/>
      <c r="F227" s="3241">
        <v>0.05</v>
      </c>
      <c r="G227" s="3258"/>
    </row>
    <row r="228" spans="1:7">
      <c r="A228" s="3251" t="s">
        <v>304</v>
      </c>
      <c r="B228" s="3240" t="s">
        <v>3188</v>
      </c>
      <c r="C228" s="3252"/>
      <c r="D228" s="3252"/>
      <c r="E228" s="3252"/>
      <c r="F228" s="3241">
        <v>0.05</v>
      </c>
      <c r="G228" s="3258"/>
    </row>
    <row r="229" spans="1:7">
      <c r="A229" s="3251" t="s">
        <v>304</v>
      </c>
      <c r="B229" s="3240" t="s">
        <v>3189</v>
      </c>
      <c r="C229" s="3252"/>
      <c r="D229" s="3252"/>
      <c r="E229" s="3252"/>
      <c r="F229" s="3241">
        <v>0.05</v>
      </c>
      <c r="G229" s="3258"/>
    </row>
    <row r="230" spans="1:7">
      <c r="A230" s="3251" t="s">
        <v>304</v>
      </c>
      <c r="B230" s="3240" t="s">
        <v>3190</v>
      </c>
      <c r="C230" s="3252"/>
      <c r="D230" s="3252"/>
      <c r="E230" s="3252"/>
      <c r="F230" s="3241">
        <v>0.05</v>
      </c>
      <c r="G230" s="3258"/>
    </row>
    <row r="231" spans="1:7">
      <c r="A231" s="3251" t="s">
        <v>304</v>
      </c>
      <c r="B231" s="3240" t="s">
        <v>3191</v>
      </c>
      <c r="C231" s="3252"/>
      <c r="D231" s="3252"/>
      <c r="E231" s="3252"/>
      <c r="F231" s="3241">
        <v>0.05</v>
      </c>
      <c r="G231" s="3258"/>
    </row>
    <row r="232" spans="1:7">
      <c r="A232" s="3251" t="s">
        <v>304</v>
      </c>
      <c r="B232" s="3240" t="s">
        <v>3192</v>
      </c>
      <c r="C232" s="3252"/>
      <c r="D232" s="3252"/>
      <c r="E232" s="3252"/>
      <c r="F232" s="3241">
        <v>0.05</v>
      </c>
      <c r="G232" s="3258"/>
    </row>
    <row r="233" spans="1:7" ht="14.25" thickBot="1">
      <c r="A233" s="3254" t="s">
        <v>304</v>
      </c>
      <c r="B233" s="3244" t="s">
        <v>3193</v>
      </c>
      <c r="C233" s="3246"/>
      <c r="D233" s="3246"/>
      <c r="E233" s="3246"/>
      <c r="F233" s="3245">
        <v>0.05</v>
      </c>
      <c r="G233" s="3259"/>
    </row>
    <row r="234" spans="1:7">
      <c r="A234" s="3250" t="s">
        <v>305</v>
      </c>
      <c r="B234" s="3236" t="s">
        <v>2842</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2862</v>
      </c>
      <c r="C238" s="3241">
        <v>0.14899999999999999</v>
      </c>
      <c r="D238" s="3241">
        <v>0.14899999999999999</v>
      </c>
      <c r="E238" s="3241">
        <v>0.15</v>
      </c>
      <c r="F238" s="3241">
        <v>0.15</v>
      </c>
      <c r="G238" s="3242">
        <v>0.15</v>
      </c>
    </row>
    <row r="239" spans="1:7">
      <c r="A239" s="3251" t="s">
        <v>305</v>
      </c>
      <c r="B239" s="3240" t="s">
        <v>2866</v>
      </c>
      <c r="C239" s="3241">
        <v>0.15</v>
      </c>
      <c r="D239" s="3241">
        <v>0.15</v>
      </c>
      <c r="E239" s="3241">
        <v>0.15</v>
      </c>
      <c r="F239" s="3241">
        <v>0.15</v>
      </c>
      <c r="G239" s="3242">
        <v>0.15</v>
      </c>
    </row>
    <row r="240" spans="1:7">
      <c r="A240" s="3251" t="s">
        <v>305</v>
      </c>
      <c r="B240" s="3240" t="s">
        <v>2871</v>
      </c>
      <c r="C240" s="3241">
        <v>0.15</v>
      </c>
      <c r="D240" s="3241">
        <v>0.15</v>
      </c>
      <c r="E240" s="3241">
        <v>0.15</v>
      </c>
      <c r="F240" s="3241">
        <v>0.15</v>
      </c>
      <c r="G240" s="3242">
        <v>0.15</v>
      </c>
    </row>
    <row r="241" spans="1:7">
      <c r="A241" s="3251" t="s">
        <v>305</v>
      </c>
      <c r="B241" s="3240" t="s">
        <v>2875</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2881</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2889</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2894</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2902</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2915</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2924</v>
      </c>
      <c r="C258" s="3241">
        <v>0.14299999999999999</v>
      </c>
      <c r="D258" s="3241">
        <v>0.14299999999999999</v>
      </c>
      <c r="E258" s="3241">
        <v>0.15</v>
      </c>
      <c r="F258" s="3241">
        <v>0.14799999999999999</v>
      </c>
      <c r="G258" s="3242">
        <v>0.14599999999999999</v>
      </c>
    </row>
    <row r="259" spans="1:7">
      <c r="A259" s="3251" t="s">
        <v>305</v>
      </c>
      <c r="B259" s="3240" t="s">
        <v>2928</v>
      </c>
      <c r="C259" s="3241">
        <v>0.14399999999999999</v>
      </c>
      <c r="D259" s="3241">
        <v>0.14399999999999999</v>
      </c>
      <c r="E259" s="3241">
        <v>0.14899999999999999</v>
      </c>
      <c r="F259" s="3241">
        <v>0.14699999999999999</v>
      </c>
      <c r="G259" s="3242">
        <v>0.14599999999999999</v>
      </c>
    </row>
    <row r="260" spans="1:7">
      <c r="A260" s="3251" t="s">
        <v>305</v>
      </c>
      <c r="B260" s="3240" t="s">
        <v>2935</v>
      </c>
      <c r="C260" s="3241">
        <v>0.109</v>
      </c>
      <c r="D260" s="3241">
        <v>0.111</v>
      </c>
      <c r="E260" s="3241">
        <v>0.13100000000000001</v>
      </c>
      <c r="F260" s="3241">
        <v>0.126</v>
      </c>
      <c r="G260" s="3242">
        <v>0.11899999999999999</v>
      </c>
    </row>
    <row r="261" spans="1:7">
      <c r="A261" s="3251" t="s">
        <v>305</v>
      </c>
      <c r="B261" s="3240" t="s">
        <v>2942</v>
      </c>
      <c r="C261" s="3241">
        <v>0.1</v>
      </c>
      <c r="D261" s="3241">
        <v>0.1</v>
      </c>
      <c r="E261" s="3241">
        <v>0.11799999999999999</v>
      </c>
      <c r="F261" s="3241">
        <v>0.108</v>
      </c>
      <c r="G261" s="3242">
        <v>0.107</v>
      </c>
    </row>
    <row r="262" spans="1:7">
      <c r="A262" s="3251" t="s">
        <v>305</v>
      </c>
      <c r="B262" s="3240" t="s">
        <v>2948</v>
      </c>
      <c r="C262" s="3241">
        <v>0.1</v>
      </c>
      <c r="D262" s="3241">
        <v>0.1</v>
      </c>
      <c r="E262" s="3241">
        <v>0.1</v>
      </c>
      <c r="F262" s="3241">
        <v>0.14099999999999999</v>
      </c>
      <c r="G262" s="3242">
        <v>0.1</v>
      </c>
    </row>
    <row r="263" spans="1:7">
      <c r="A263" s="3251" t="s">
        <v>305</v>
      </c>
      <c r="B263" s="3240" t="s">
        <v>2955</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2966</v>
      </c>
      <c r="C265" s="3252"/>
      <c r="D265" s="3252"/>
      <c r="E265" s="3252"/>
      <c r="F265" s="3241">
        <v>0.05</v>
      </c>
      <c r="G265" s="3258"/>
    </row>
    <row r="266" spans="1:7">
      <c r="A266" s="3251" t="s">
        <v>305</v>
      </c>
      <c r="B266" s="3240" t="s">
        <v>2970</v>
      </c>
      <c r="C266" s="3252"/>
      <c r="D266" s="3252"/>
      <c r="E266" s="3252"/>
      <c r="F266" s="3241">
        <v>0.05</v>
      </c>
      <c r="G266" s="3258"/>
    </row>
    <row r="267" spans="1:7">
      <c r="A267" s="3251" t="s">
        <v>305</v>
      </c>
      <c r="B267" s="3240" t="s">
        <v>2975</v>
      </c>
      <c r="C267" s="3252"/>
      <c r="D267" s="3252"/>
      <c r="E267" s="3252"/>
      <c r="F267" s="3241">
        <v>0.05</v>
      </c>
      <c r="G267" s="3258"/>
    </row>
    <row r="268" spans="1:7">
      <c r="A268" s="3251" t="s">
        <v>305</v>
      </c>
      <c r="B268" s="3240" t="s">
        <v>2980</v>
      </c>
      <c r="C268" s="3252"/>
      <c r="D268" s="3252"/>
      <c r="E268" s="3252"/>
      <c r="F268" s="3241">
        <v>0.05</v>
      </c>
      <c r="G268" s="3258"/>
    </row>
    <row r="269" spans="1:7">
      <c r="A269" s="3251" t="s">
        <v>305</v>
      </c>
      <c r="B269" s="3240" t="s">
        <v>2985</v>
      </c>
      <c r="C269" s="3252"/>
      <c r="D269" s="3252"/>
      <c r="E269" s="3252"/>
      <c r="F269" s="3241">
        <v>0.05</v>
      </c>
      <c r="G269" s="3258"/>
    </row>
    <row r="270" spans="1:7">
      <c r="A270" s="3251" t="s">
        <v>305</v>
      </c>
      <c r="B270" s="3240" t="s">
        <v>2990</v>
      </c>
      <c r="C270" s="3252"/>
      <c r="D270" s="3252"/>
      <c r="E270" s="3252"/>
      <c r="F270" s="3241">
        <v>0.05</v>
      </c>
      <c r="G270" s="3258"/>
    </row>
    <row r="271" spans="1:7">
      <c r="A271" s="3251" t="s">
        <v>305</v>
      </c>
      <c r="B271" s="3240" t="s">
        <v>3194</v>
      </c>
      <c r="C271" s="3252"/>
      <c r="D271" s="3252"/>
      <c r="E271" s="3252"/>
      <c r="F271" s="3241">
        <v>0.05</v>
      </c>
      <c r="G271" s="3258"/>
    </row>
    <row r="272" spans="1:7">
      <c r="A272" s="3251" t="s">
        <v>305</v>
      </c>
      <c r="B272" s="3240" t="s">
        <v>3195</v>
      </c>
      <c r="C272" s="3252"/>
      <c r="D272" s="3252"/>
      <c r="E272" s="3252"/>
      <c r="F272" s="3241">
        <v>0.05</v>
      </c>
      <c r="G272" s="3258"/>
    </row>
    <row r="273" spans="1:7">
      <c r="A273" s="3251" t="s">
        <v>305</v>
      </c>
      <c r="B273" s="3240" t="s">
        <v>3196</v>
      </c>
      <c r="C273" s="3252"/>
      <c r="D273" s="3252"/>
      <c r="E273" s="3252"/>
      <c r="F273" s="3241">
        <v>0.05</v>
      </c>
      <c r="G273" s="3258"/>
    </row>
    <row r="274" spans="1:7">
      <c r="A274" s="3251" t="s">
        <v>305</v>
      </c>
      <c r="B274" s="3240" t="s">
        <v>3197</v>
      </c>
      <c r="C274" s="3252"/>
      <c r="D274" s="3252"/>
      <c r="E274" s="3252"/>
      <c r="F274" s="3241">
        <v>0.05</v>
      </c>
      <c r="G274" s="3258"/>
    </row>
    <row r="275" spans="1:7">
      <c r="A275" s="3251" t="s">
        <v>305</v>
      </c>
      <c r="B275" s="3240" t="s">
        <v>3198</v>
      </c>
      <c r="C275" s="3252"/>
      <c r="D275" s="3252"/>
      <c r="E275" s="3252"/>
      <c r="F275" s="3241">
        <v>0.05</v>
      </c>
      <c r="G275" s="3258"/>
    </row>
    <row r="276" spans="1:7" ht="14.25" thickBot="1">
      <c r="A276" s="3254" t="s">
        <v>305</v>
      </c>
      <c r="B276" s="3244" t="s">
        <v>3199</v>
      </c>
      <c r="C276" s="3246"/>
      <c r="D276" s="3246"/>
      <c r="E276" s="3246"/>
      <c r="F276" s="3245">
        <v>0.05</v>
      </c>
      <c r="G276" s="3259"/>
    </row>
    <row r="277" spans="1:7">
      <c r="A277" s="3250" t="s">
        <v>306</v>
      </c>
      <c r="B277" s="3236" t="s">
        <v>2843</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2855</v>
      </c>
      <c r="C279" s="3241">
        <v>0.15</v>
      </c>
      <c r="D279" s="3241">
        <v>0.15</v>
      </c>
      <c r="E279" s="3241">
        <v>0.15</v>
      </c>
      <c r="F279" s="3241">
        <v>0.15</v>
      </c>
      <c r="G279" s="3242">
        <v>0.15</v>
      </c>
    </row>
    <row r="280" spans="1:7">
      <c r="A280" s="3251" t="s">
        <v>306</v>
      </c>
      <c r="B280" s="3240" t="s">
        <v>2859</v>
      </c>
      <c r="C280" s="3241">
        <v>0.15</v>
      </c>
      <c r="D280" s="3241">
        <v>0.15</v>
      </c>
      <c r="E280" s="3241">
        <v>0.15</v>
      </c>
      <c r="F280" s="3241">
        <v>0.15</v>
      </c>
      <c r="G280" s="3242">
        <v>0.15</v>
      </c>
    </row>
    <row r="281" spans="1:7">
      <c r="A281" s="3251" t="s">
        <v>306</v>
      </c>
      <c r="B281" s="3240" t="s">
        <v>2863</v>
      </c>
      <c r="C281" s="3241">
        <v>0.15</v>
      </c>
      <c r="D281" s="3241">
        <v>0.15</v>
      </c>
      <c r="E281" s="3241">
        <v>0.15</v>
      </c>
      <c r="F281" s="3241">
        <v>0.15</v>
      </c>
      <c r="G281" s="3242">
        <v>0.15</v>
      </c>
    </row>
    <row r="282" spans="1:7">
      <c r="A282" s="3251" t="s">
        <v>306</v>
      </c>
      <c r="B282" s="3240" t="s">
        <v>2867</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2882</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2887</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2897</v>
      </c>
      <c r="C293" s="3241">
        <v>0.15</v>
      </c>
      <c r="D293" s="3241">
        <v>0.15</v>
      </c>
      <c r="E293" s="3241">
        <v>0.15</v>
      </c>
      <c r="F293" s="3241">
        <v>0.14499999999999999</v>
      </c>
      <c r="G293" s="3242">
        <v>0.15</v>
      </c>
    </row>
    <row r="294" spans="1:7">
      <c r="A294" s="3251" t="s">
        <v>306</v>
      </c>
      <c r="B294" s="3240" t="s">
        <v>2899</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2916</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2929</v>
      </c>
      <c r="C302" s="3241">
        <v>0.15</v>
      </c>
      <c r="D302" s="3241">
        <v>0.15</v>
      </c>
      <c r="E302" s="3241">
        <v>0.15</v>
      </c>
      <c r="F302" s="3241">
        <v>0.14699999999999999</v>
      </c>
      <c r="G302" s="3242">
        <v>0.15</v>
      </c>
    </row>
    <row r="303" spans="1:7">
      <c r="A303" s="3251" t="s">
        <v>306</v>
      </c>
      <c r="B303" s="3240" t="s">
        <v>2936</v>
      </c>
      <c r="C303" s="3241">
        <v>0.15</v>
      </c>
      <c r="D303" s="3241">
        <v>0.15</v>
      </c>
      <c r="E303" s="3241">
        <v>0.15</v>
      </c>
      <c r="F303" s="3241">
        <v>0.14199999999999999</v>
      </c>
      <c r="G303" s="3242">
        <v>0.15</v>
      </c>
    </row>
    <row r="304" spans="1:7">
      <c r="A304" s="3251" t="s">
        <v>306</v>
      </c>
      <c r="B304" s="3240" t="s">
        <v>2943</v>
      </c>
      <c r="C304" s="3241">
        <v>0.15</v>
      </c>
      <c r="D304" s="3241">
        <v>0.15</v>
      </c>
      <c r="E304" s="3241">
        <v>0.15</v>
      </c>
      <c r="F304" s="3241">
        <v>0.14499999999999999</v>
      </c>
      <c r="G304" s="3242">
        <v>0.15</v>
      </c>
    </row>
    <row r="305" spans="1:7">
      <c r="A305" s="3251" t="s">
        <v>306</v>
      </c>
      <c r="B305" s="3240" t="s">
        <v>2949</v>
      </c>
      <c r="C305" s="3241">
        <v>0.15</v>
      </c>
      <c r="D305" s="3241">
        <v>0.15</v>
      </c>
      <c r="E305" s="3241">
        <v>0.15</v>
      </c>
      <c r="F305" s="3241">
        <v>0.111</v>
      </c>
      <c r="G305" s="3242">
        <v>0.15</v>
      </c>
    </row>
    <row r="306" spans="1:7">
      <c r="A306" s="3251" t="s">
        <v>306</v>
      </c>
      <c r="B306" s="3240" t="s">
        <v>2956</v>
      </c>
      <c r="C306" s="3241">
        <v>0.15</v>
      </c>
      <c r="D306" s="3241">
        <v>0.15</v>
      </c>
      <c r="E306" s="3241">
        <v>0.15</v>
      </c>
      <c r="F306" s="3241">
        <v>0.126</v>
      </c>
      <c r="G306" s="3242">
        <v>0.15</v>
      </c>
    </row>
    <row r="307" spans="1:7">
      <c r="A307" s="3251" t="s">
        <v>306</v>
      </c>
      <c r="B307" s="3240" t="s">
        <v>2961</v>
      </c>
      <c r="C307" s="3241">
        <v>0.15</v>
      </c>
      <c r="D307" s="3241">
        <v>0.15</v>
      </c>
      <c r="E307" s="3241">
        <v>0.15</v>
      </c>
      <c r="F307" s="3241">
        <v>0.12</v>
      </c>
      <c r="G307" s="3242">
        <v>0.15</v>
      </c>
    </row>
    <row r="308" spans="1:7">
      <c r="A308" s="3251" t="s">
        <v>306</v>
      </c>
      <c r="B308" s="3240" t="s">
        <v>2967</v>
      </c>
      <c r="C308" s="3241">
        <v>0.15</v>
      </c>
      <c r="D308" s="3241">
        <v>0.15</v>
      </c>
      <c r="E308" s="3241">
        <v>0.15</v>
      </c>
      <c r="F308" s="3241">
        <v>0.13</v>
      </c>
      <c r="G308" s="3242">
        <v>0.15</v>
      </c>
    </row>
    <row r="309" spans="1:7">
      <c r="A309" s="3251" t="s">
        <v>306</v>
      </c>
      <c r="B309" s="3240" t="s">
        <v>2971</v>
      </c>
      <c r="C309" s="3241">
        <v>0.15</v>
      </c>
      <c r="D309" s="3241">
        <v>0.15</v>
      </c>
      <c r="E309" s="3241">
        <v>0.15</v>
      </c>
      <c r="F309" s="3241">
        <v>0.14099999999999999</v>
      </c>
      <c r="G309" s="3242">
        <v>0.15</v>
      </c>
    </row>
    <row r="310" spans="1:7">
      <c r="A310" s="3251" t="s">
        <v>306</v>
      </c>
      <c r="B310" s="3240" t="s">
        <v>2976</v>
      </c>
      <c r="C310" s="3241">
        <v>0.15</v>
      </c>
      <c r="D310" s="3241">
        <v>0.15</v>
      </c>
      <c r="E310" s="3241">
        <v>0.15</v>
      </c>
      <c r="F310" s="3241">
        <v>0.15</v>
      </c>
      <c r="G310" s="3242">
        <v>0.15</v>
      </c>
    </row>
    <row r="311" spans="1:7">
      <c r="A311" s="3251" t="s">
        <v>306</v>
      </c>
      <c r="B311" s="3240" t="s">
        <v>2981</v>
      </c>
      <c r="C311" s="3241">
        <v>0.13200000000000001</v>
      </c>
      <c r="D311" s="3241">
        <v>0.13300000000000001</v>
      </c>
      <c r="E311" s="3241">
        <v>0.14499999999999999</v>
      </c>
      <c r="F311" s="3241">
        <v>0.14199999999999999</v>
      </c>
      <c r="G311" s="3242">
        <v>0.14000000000000001</v>
      </c>
    </row>
    <row r="312" spans="1:7">
      <c r="A312" s="3251" t="s">
        <v>306</v>
      </c>
      <c r="B312" s="3240" t="s">
        <v>2986</v>
      </c>
      <c r="C312" s="3241">
        <v>0.13800000000000001</v>
      </c>
      <c r="D312" s="3241">
        <v>0.14000000000000001</v>
      </c>
      <c r="E312" s="3241">
        <v>0.14599999999999999</v>
      </c>
      <c r="F312" s="3241">
        <v>0.14899999999999999</v>
      </c>
      <c r="G312" s="3242">
        <v>0.14199999999999999</v>
      </c>
    </row>
    <row r="313" spans="1:7">
      <c r="A313" s="3251" t="s">
        <v>306</v>
      </c>
      <c r="B313" s="3240" t="s">
        <v>2991</v>
      </c>
      <c r="C313" s="3241">
        <v>0.125</v>
      </c>
      <c r="D313" s="3241">
        <v>0.127</v>
      </c>
      <c r="E313" s="3241">
        <v>0.14399999999999999</v>
      </c>
      <c r="F313" s="3241">
        <v>0.115</v>
      </c>
      <c r="G313" s="3242">
        <v>0.13600000000000001</v>
      </c>
    </row>
    <row r="314" spans="1:7">
      <c r="A314" s="3251" t="s">
        <v>306</v>
      </c>
      <c r="B314" s="3240" t="s">
        <v>3200</v>
      </c>
      <c r="C314" s="3257"/>
      <c r="D314" s="3257"/>
      <c r="E314" s="3257"/>
      <c r="F314" s="3241">
        <v>0.05</v>
      </c>
      <c r="G314" s="3258"/>
    </row>
    <row r="315" spans="1:7">
      <c r="A315" s="3251" t="s">
        <v>306</v>
      </c>
      <c r="B315" s="3240" t="s">
        <v>3201</v>
      </c>
      <c r="C315" s="3257"/>
      <c r="D315" s="3257"/>
      <c r="E315" s="3257"/>
      <c r="F315" s="3241">
        <v>0.05</v>
      </c>
      <c r="G315" s="3258"/>
    </row>
    <row r="316" spans="1:7">
      <c r="A316" s="3251" t="s">
        <v>306</v>
      </c>
      <c r="B316" s="3240" t="s">
        <v>3202</v>
      </c>
      <c r="C316" s="3252"/>
      <c r="D316" s="3252"/>
      <c r="E316" s="3252"/>
      <c r="F316" s="3241">
        <v>0.05</v>
      </c>
      <c r="G316" s="3258"/>
    </row>
    <row r="317" spans="1:7">
      <c r="A317" s="3251" t="s">
        <v>306</v>
      </c>
      <c r="B317" s="3240" t="s">
        <v>3203</v>
      </c>
      <c r="C317" s="3252"/>
      <c r="D317" s="3252"/>
      <c r="E317" s="3252"/>
      <c r="F317" s="3241">
        <v>0.05</v>
      </c>
      <c r="G317" s="3258"/>
    </row>
    <row r="318" spans="1:7">
      <c r="A318" s="3251" t="s">
        <v>306</v>
      </c>
      <c r="B318" s="3240" t="s">
        <v>3204</v>
      </c>
      <c r="C318" s="3252"/>
      <c r="D318" s="3252"/>
      <c r="E318" s="3252"/>
      <c r="F318" s="3241">
        <v>0.05</v>
      </c>
      <c r="G318" s="3258"/>
    </row>
    <row r="319" spans="1:7">
      <c r="A319" s="3251" t="s">
        <v>306</v>
      </c>
      <c r="B319" s="3240" t="s">
        <v>3205</v>
      </c>
      <c r="C319" s="3252"/>
      <c r="D319" s="3252"/>
      <c r="E319" s="3252"/>
      <c r="F319" s="3241">
        <v>0.05</v>
      </c>
      <c r="G319" s="3258"/>
    </row>
    <row r="320" spans="1:7">
      <c r="A320" s="3251" t="s">
        <v>306</v>
      </c>
      <c r="B320" s="3240" t="s">
        <v>3206</v>
      </c>
      <c r="C320" s="3252"/>
      <c r="D320" s="3252"/>
      <c r="E320" s="3252"/>
      <c r="F320" s="3241">
        <v>0.05</v>
      </c>
      <c r="G320" s="3258"/>
    </row>
    <row r="321" spans="1:7">
      <c r="A321" s="3251" t="s">
        <v>306</v>
      </c>
      <c r="B321" s="3240" t="s">
        <v>3207</v>
      </c>
      <c r="C321" s="3252"/>
      <c r="D321" s="3252"/>
      <c r="E321" s="3252"/>
      <c r="F321" s="3241">
        <v>0.05</v>
      </c>
      <c r="G321" s="3258"/>
    </row>
    <row r="322" spans="1:7">
      <c r="A322" s="3251" t="s">
        <v>306</v>
      </c>
      <c r="B322" s="3240" t="s">
        <v>3208</v>
      </c>
      <c r="C322" s="3252"/>
      <c r="D322" s="3252"/>
      <c r="E322" s="3252"/>
      <c r="F322" s="3241">
        <v>0.05</v>
      </c>
      <c r="G322" s="3258"/>
    </row>
    <row r="323" spans="1:7">
      <c r="A323" s="3251" t="s">
        <v>306</v>
      </c>
      <c r="B323" s="3240" t="s">
        <v>3209</v>
      </c>
      <c r="C323" s="3252"/>
      <c r="D323" s="3252"/>
      <c r="E323" s="3252"/>
      <c r="F323" s="3241">
        <v>0.05</v>
      </c>
      <c r="G323" s="3258"/>
    </row>
    <row r="324" spans="1:7">
      <c r="A324" s="3251" t="s">
        <v>306</v>
      </c>
      <c r="B324" s="3240" t="s">
        <v>3210</v>
      </c>
      <c r="C324" s="3252"/>
      <c r="D324" s="3252"/>
      <c r="E324" s="3252"/>
      <c r="F324" s="3241">
        <v>0.05</v>
      </c>
      <c r="G324" s="3258"/>
    </row>
    <row r="325" spans="1:7">
      <c r="A325" s="3251" t="s">
        <v>306</v>
      </c>
      <c r="B325" s="3240" t="s">
        <v>3211</v>
      </c>
      <c r="C325" s="3252"/>
      <c r="D325" s="3252"/>
      <c r="E325" s="3252"/>
      <c r="F325" s="3241">
        <v>0.05</v>
      </c>
      <c r="G325" s="3258"/>
    </row>
    <row r="326" spans="1:7" ht="14.25" thickBot="1">
      <c r="A326" s="3254" t="s">
        <v>306</v>
      </c>
      <c r="B326" s="3244" t="s">
        <v>3212</v>
      </c>
      <c r="C326" s="3246"/>
      <c r="D326" s="3246"/>
      <c r="E326" s="3246"/>
      <c r="F326" s="3245">
        <v>0.05</v>
      </c>
      <c r="G326" s="3259"/>
    </row>
    <row r="327" spans="1:7">
      <c r="A327" s="3250" t="s">
        <v>307</v>
      </c>
      <c r="B327" s="3236" t="s">
        <v>2844</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2856</v>
      </c>
      <c r="C329" s="3241">
        <v>0.15</v>
      </c>
      <c r="D329" s="3241">
        <v>0.15</v>
      </c>
      <c r="E329" s="3241">
        <v>0.15</v>
      </c>
      <c r="F329" s="3241">
        <v>0.15</v>
      </c>
      <c r="G329" s="3242">
        <v>0.15</v>
      </c>
    </row>
    <row r="330" spans="1:7">
      <c r="A330" s="3251" t="s">
        <v>307</v>
      </c>
      <c r="B330" s="3240" t="s">
        <v>2860</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2868</v>
      </c>
      <c r="C332" s="3241">
        <v>0.15</v>
      </c>
      <c r="D332" s="3241">
        <v>0.15</v>
      </c>
      <c r="E332" s="3241">
        <v>0.15</v>
      </c>
      <c r="F332" s="3241">
        <v>0.15</v>
      </c>
      <c r="G332" s="3242">
        <v>0.15</v>
      </c>
    </row>
    <row r="333" spans="1:7">
      <c r="A333" s="3251" t="s">
        <v>307</v>
      </c>
      <c r="B333" s="3240" t="s">
        <v>2872</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2878</v>
      </c>
      <c r="C336" s="3241">
        <v>0.15</v>
      </c>
      <c r="D336" s="3241">
        <v>0.15</v>
      </c>
      <c r="E336" s="3241">
        <v>0.15</v>
      </c>
      <c r="F336" s="3241">
        <v>0.14199999999999999</v>
      </c>
      <c r="G336" s="3242">
        <v>0.15</v>
      </c>
    </row>
    <row r="337" spans="1:7">
      <c r="A337" s="3251" t="s">
        <v>307</v>
      </c>
      <c r="B337" s="3240" t="s">
        <v>2883</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2890</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2895</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2903</v>
      </c>
      <c r="C345" s="3241">
        <v>0.15</v>
      </c>
      <c r="D345" s="3241">
        <v>0.15</v>
      </c>
      <c r="E345" s="3241">
        <v>0.15</v>
      </c>
      <c r="F345" s="3241">
        <v>0.13800000000000001</v>
      </c>
      <c r="G345" s="3242">
        <v>0.15</v>
      </c>
    </row>
    <row r="346" spans="1:7">
      <c r="A346" s="3251" t="s">
        <v>307</v>
      </c>
      <c r="B346" s="3240" t="s">
        <v>2905</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2912</v>
      </c>
      <c r="C348" s="3241">
        <v>0.15</v>
      </c>
      <c r="D348" s="3241">
        <v>0.15</v>
      </c>
      <c r="E348" s="3241">
        <v>0.15</v>
      </c>
      <c r="F348" s="3241">
        <v>0.14399999999999999</v>
      </c>
      <c r="G348" s="3242">
        <v>0.15</v>
      </c>
    </row>
    <row r="349" spans="1:7">
      <c r="A349" s="3251" t="s">
        <v>307</v>
      </c>
      <c r="B349" s="3240" t="s">
        <v>2917</v>
      </c>
      <c r="C349" s="3241">
        <v>0.15</v>
      </c>
      <c r="D349" s="3241">
        <v>0.15</v>
      </c>
      <c r="E349" s="3241">
        <v>0.15</v>
      </c>
      <c r="F349" s="3241">
        <v>0.15</v>
      </c>
      <c r="G349" s="3242">
        <v>0.15</v>
      </c>
    </row>
    <row r="350" spans="1:7">
      <c r="A350" s="3251" t="s">
        <v>307</v>
      </c>
      <c r="B350" s="3240" t="s">
        <v>2920</v>
      </c>
      <c r="C350" s="3241">
        <v>0.15</v>
      </c>
      <c r="D350" s="3241">
        <v>0.15</v>
      </c>
      <c r="E350" s="3241">
        <v>0.15</v>
      </c>
      <c r="F350" s="3241">
        <v>0.14699999999999999</v>
      </c>
      <c r="G350" s="3242">
        <v>0.15</v>
      </c>
    </row>
    <row r="351" spans="1:7">
      <c r="A351" s="3251" t="s">
        <v>307</v>
      </c>
      <c r="B351" s="3240" t="s">
        <v>2925</v>
      </c>
      <c r="C351" s="3241">
        <v>0.15</v>
      </c>
      <c r="D351" s="3241">
        <v>0.15</v>
      </c>
      <c r="E351" s="3241">
        <v>0.15</v>
      </c>
      <c r="F351" s="3241">
        <v>0.13</v>
      </c>
      <c r="G351" s="3242">
        <v>0.15</v>
      </c>
    </row>
    <row r="352" spans="1:7">
      <c r="A352" s="3251" t="s">
        <v>307</v>
      </c>
      <c r="B352" s="3240" t="s">
        <v>2930</v>
      </c>
      <c r="C352" s="3241">
        <v>0.15</v>
      </c>
      <c r="D352" s="3241">
        <v>0.15</v>
      </c>
      <c r="E352" s="3241">
        <v>0.15</v>
      </c>
      <c r="F352" s="3241">
        <v>0.14599999999999999</v>
      </c>
      <c r="G352" s="3242">
        <v>0.15</v>
      </c>
    </row>
    <row r="353" spans="1:7">
      <c r="A353" s="3251" t="s">
        <v>307</v>
      </c>
      <c r="B353" s="3240" t="s">
        <v>2937</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2950</v>
      </c>
      <c r="C355" s="3241">
        <v>0.15</v>
      </c>
      <c r="D355" s="3241">
        <v>0.15</v>
      </c>
      <c r="E355" s="3241">
        <v>0.15</v>
      </c>
      <c r="F355" s="3241">
        <v>0.15</v>
      </c>
      <c r="G355" s="3242">
        <v>0.15</v>
      </c>
    </row>
    <row r="356" spans="1:7">
      <c r="A356" s="3251" t="s">
        <v>307</v>
      </c>
      <c r="B356" s="3240" t="s">
        <v>2957</v>
      </c>
      <c r="C356" s="3241">
        <v>0.15</v>
      </c>
      <c r="D356" s="3241">
        <v>0.15</v>
      </c>
      <c r="E356" s="3241">
        <v>0.15</v>
      </c>
      <c r="F356" s="3241">
        <v>0.15</v>
      </c>
      <c r="G356" s="3242">
        <v>0.15</v>
      </c>
    </row>
    <row r="357" spans="1:7" ht="14.25" thickBot="1">
      <c r="A357" s="3254" t="s">
        <v>307</v>
      </c>
      <c r="B357" s="3244" t="s">
        <v>2962</v>
      </c>
      <c r="C357" s="3245">
        <v>0.126</v>
      </c>
      <c r="D357" s="3245">
        <v>0.127</v>
      </c>
      <c r="E357" s="3245">
        <v>0.14299999999999999</v>
      </c>
      <c r="F357" s="3245">
        <v>0.125</v>
      </c>
      <c r="G357" s="3247">
        <v>0.129</v>
      </c>
    </row>
    <row r="358" spans="1:7">
      <c r="A358" s="3250" t="s">
        <v>2831</v>
      </c>
      <c r="B358" s="3236" t="s">
        <v>2845</v>
      </c>
      <c r="C358" s="3237">
        <v>0.15</v>
      </c>
      <c r="D358" s="3237">
        <v>0.15</v>
      </c>
      <c r="E358" s="3237">
        <v>0.15</v>
      </c>
      <c r="F358" s="3237">
        <v>0.15</v>
      </c>
      <c r="G358" s="3238">
        <v>0.15</v>
      </c>
    </row>
    <row r="359" spans="1:7">
      <c r="A359" s="3251" t="s">
        <v>2831</v>
      </c>
      <c r="B359" s="3240" t="s">
        <v>2851</v>
      </c>
      <c r="C359" s="3241">
        <v>0.1</v>
      </c>
      <c r="D359" s="3241">
        <v>0.1</v>
      </c>
      <c r="E359" s="3241">
        <v>0.1</v>
      </c>
      <c r="F359" s="3241">
        <v>0.1</v>
      </c>
      <c r="G359" s="3242">
        <v>0.1</v>
      </c>
    </row>
    <row r="360" spans="1:7">
      <c r="A360" s="3251" t="s">
        <v>2831</v>
      </c>
      <c r="B360" s="3240" t="s">
        <v>2857</v>
      </c>
      <c r="C360" s="3241">
        <v>0.15</v>
      </c>
      <c r="D360" s="3241">
        <v>0.15</v>
      </c>
      <c r="E360" s="3241">
        <v>0.15</v>
      </c>
      <c r="F360" s="3241">
        <v>0.14899999999999999</v>
      </c>
      <c r="G360" s="3242">
        <v>0.15</v>
      </c>
    </row>
    <row r="361" spans="1:7">
      <c r="A361" s="3251" t="s">
        <v>2831</v>
      </c>
      <c r="B361" s="3240" t="s">
        <v>153</v>
      </c>
      <c r="C361" s="3241">
        <v>0.15</v>
      </c>
      <c r="D361" s="3241">
        <v>0.15</v>
      </c>
      <c r="E361" s="3241">
        <v>0.15</v>
      </c>
      <c r="F361" s="3241">
        <v>0.115</v>
      </c>
      <c r="G361" s="3242">
        <v>0.15</v>
      </c>
    </row>
    <row r="362" spans="1:7">
      <c r="A362" s="3251" t="s">
        <v>2831</v>
      </c>
      <c r="B362" s="3240" t="s">
        <v>2864</v>
      </c>
      <c r="C362" s="3241">
        <v>0.15</v>
      </c>
      <c r="D362" s="3241">
        <v>0.15</v>
      </c>
      <c r="E362" s="3241">
        <v>0.15</v>
      </c>
      <c r="F362" s="3241">
        <v>0.106</v>
      </c>
      <c r="G362" s="3242">
        <v>0.15</v>
      </c>
    </row>
    <row r="363" spans="1:7">
      <c r="A363" s="3251" t="s">
        <v>2831</v>
      </c>
      <c r="B363" s="3240" t="s">
        <v>2869</v>
      </c>
      <c r="C363" s="3241">
        <v>0.15</v>
      </c>
      <c r="D363" s="3241">
        <v>0.15</v>
      </c>
      <c r="E363" s="3241">
        <v>0.15</v>
      </c>
      <c r="F363" s="3241">
        <v>0.14699999999999999</v>
      </c>
      <c r="G363" s="3242">
        <v>0.15</v>
      </c>
    </row>
    <row r="364" spans="1:7">
      <c r="A364" s="3251" t="s">
        <v>2831</v>
      </c>
      <c r="B364" s="3240" t="s">
        <v>2873</v>
      </c>
      <c r="C364" s="3241">
        <v>0.15</v>
      </c>
      <c r="D364" s="3241">
        <v>0.15</v>
      </c>
      <c r="E364" s="3241">
        <v>0.15</v>
      </c>
      <c r="F364" s="3241">
        <v>0.14799999999999999</v>
      </c>
      <c r="G364" s="3242">
        <v>0.15</v>
      </c>
    </row>
    <row r="365" spans="1:7">
      <c r="A365" s="3251" t="s">
        <v>2831</v>
      </c>
      <c r="B365" s="3240" t="s">
        <v>200</v>
      </c>
      <c r="C365" s="3241">
        <v>0.15</v>
      </c>
      <c r="D365" s="3241">
        <v>0.15</v>
      </c>
      <c r="E365" s="3241">
        <v>0.15</v>
      </c>
      <c r="F365" s="3241">
        <v>0.15</v>
      </c>
      <c r="G365" s="3242">
        <v>0.15</v>
      </c>
    </row>
    <row r="366" spans="1:7">
      <c r="A366" s="3251" t="s">
        <v>2831</v>
      </c>
      <c r="B366" s="3240" t="s">
        <v>2876</v>
      </c>
      <c r="C366" s="3241">
        <v>0.15</v>
      </c>
      <c r="D366" s="3241">
        <v>0.15</v>
      </c>
      <c r="E366" s="3241">
        <v>0.15</v>
      </c>
      <c r="F366" s="3241">
        <v>0.15</v>
      </c>
      <c r="G366" s="3242">
        <v>0.15</v>
      </c>
    </row>
    <row r="367" spans="1:7">
      <c r="A367" s="3251" t="s">
        <v>2831</v>
      </c>
      <c r="B367" s="3240" t="s">
        <v>2879</v>
      </c>
      <c r="C367" s="3241">
        <v>0.15</v>
      </c>
      <c r="D367" s="3241">
        <v>0.15</v>
      </c>
      <c r="E367" s="3241">
        <v>0.15</v>
      </c>
      <c r="F367" s="3241">
        <v>0.14699999999999999</v>
      </c>
      <c r="G367" s="3242">
        <v>0.15</v>
      </c>
    </row>
    <row r="368" spans="1:7">
      <c r="A368" s="3251" t="s">
        <v>2831</v>
      </c>
      <c r="B368" s="3240" t="s">
        <v>2884</v>
      </c>
      <c r="C368" s="3241">
        <v>0.15</v>
      </c>
      <c r="D368" s="3241">
        <v>0.15</v>
      </c>
      <c r="E368" s="3241">
        <v>0.15</v>
      </c>
      <c r="F368" s="3241">
        <v>0.13600000000000001</v>
      </c>
      <c r="G368" s="3242">
        <v>0.15</v>
      </c>
    </row>
    <row r="369" spans="1:7">
      <c r="A369" s="3251" t="s">
        <v>2831</v>
      </c>
      <c r="B369" s="3240" t="s">
        <v>214</v>
      </c>
      <c r="C369" s="3241">
        <v>0.15</v>
      </c>
      <c r="D369" s="3241">
        <v>0.15</v>
      </c>
      <c r="E369" s="3241">
        <v>0.15</v>
      </c>
      <c r="F369" s="3241">
        <v>0.14399999999999999</v>
      </c>
      <c r="G369" s="3242">
        <v>0.15</v>
      </c>
    </row>
    <row r="370" spans="1:7">
      <c r="A370" s="3251" t="s">
        <v>2831</v>
      </c>
      <c r="B370" s="3240" t="s">
        <v>221</v>
      </c>
      <c r="C370" s="3241">
        <v>0.15</v>
      </c>
      <c r="D370" s="3241">
        <v>0.15</v>
      </c>
      <c r="E370" s="3241">
        <v>0.15</v>
      </c>
      <c r="F370" s="3241">
        <v>0.14599999999999999</v>
      </c>
      <c r="G370" s="3242">
        <v>0.15</v>
      </c>
    </row>
    <row r="371" spans="1:7">
      <c r="A371" s="3251" t="s">
        <v>2831</v>
      </c>
      <c r="B371" s="3240" t="s">
        <v>229</v>
      </c>
      <c r="C371" s="3241">
        <v>0.15</v>
      </c>
      <c r="D371" s="3241">
        <v>0.15</v>
      </c>
      <c r="E371" s="3241">
        <v>0.15</v>
      </c>
      <c r="F371" s="3241">
        <v>0.12</v>
      </c>
      <c r="G371" s="3242">
        <v>0.15</v>
      </c>
    </row>
    <row r="372" spans="1:7">
      <c r="A372" s="3251" t="s">
        <v>2831</v>
      </c>
      <c r="B372" s="3240" t="s">
        <v>2892</v>
      </c>
      <c r="C372" s="3241">
        <v>0.15</v>
      </c>
      <c r="D372" s="3241">
        <v>0.15</v>
      </c>
      <c r="E372" s="3241">
        <v>0.15</v>
      </c>
      <c r="F372" s="3241">
        <v>0.14299999999999999</v>
      </c>
      <c r="G372" s="3242">
        <v>0.15</v>
      </c>
    </row>
    <row r="373" spans="1:7">
      <c r="A373" s="3251" t="s">
        <v>2831</v>
      </c>
      <c r="B373" s="3240" t="s">
        <v>258</v>
      </c>
      <c r="C373" s="3241">
        <v>0.15</v>
      </c>
      <c r="D373" s="3241">
        <v>0.15</v>
      </c>
      <c r="E373" s="3241">
        <v>0.15</v>
      </c>
      <c r="F373" s="3241">
        <v>0.14599999999999999</v>
      </c>
      <c r="G373" s="3242">
        <v>0.15</v>
      </c>
    </row>
    <row r="374" spans="1:7">
      <c r="A374" s="3251" t="s">
        <v>2831</v>
      </c>
      <c r="B374" s="3240" t="s">
        <v>266</v>
      </c>
      <c r="C374" s="3241">
        <v>0.15</v>
      </c>
      <c r="D374" s="3241">
        <v>0.15</v>
      </c>
      <c r="E374" s="3241">
        <v>0.15</v>
      </c>
      <c r="F374" s="3241">
        <v>0.14399999999999999</v>
      </c>
      <c r="G374" s="3242">
        <v>0.15</v>
      </c>
    </row>
    <row r="375" spans="1:7">
      <c r="A375" s="3251" t="s">
        <v>2831</v>
      </c>
      <c r="B375" s="3240" t="s">
        <v>2900</v>
      </c>
      <c r="C375" s="3241">
        <v>0.15</v>
      </c>
      <c r="D375" s="3241">
        <v>0.15</v>
      </c>
      <c r="E375" s="3241">
        <v>0.15</v>
      </c>
      <c r="F375" s="3241">
        <v>0.13</v>
      </c>
      <c r="G375" s="3242">
        <v>0.15</v>
      </c>
    </row>
    <row r="376" spans="1:7">
      <c r="A376" s="3251" t="s">
        <v>2831</v>
      </c>
      <c r="B376" s="3240" t="s">
        <v>277</v>
      </c>
      <c r="C376" s="3241">
        <v>0.15</v>
      </c>
      <c r="D376" s="3241">
        <v>0.15</v>
      </c>
      <c r="E376" s="3241">
        <v>0.15</v>
      </c>
      <c r="F376" s="3241">
        <v>0.14199999999999999</v>
      </c>
      <c r="G376" s="3242">
        <v>0.15</v>
      </c>
    </row>
    <row r="377" spans="1:7" ht="14.25" thickBot="1">
      <c r="A377" s="3254" t="s">
        <v>2831</v>
      </c>
      <c r="B377" s="3244" t="s">
        <v>2906</v>
      </c>
      <c r="C377" s="3245">
        <v>0.15</v>
      </c>
      <c r="D377" s="3245">
        <v>0.15</v>
      </c>
      <c r="E377" s="3245">
        <v>0.15</v>
      </c>
      <c r="F377" s="3245">
        <v>0.14000000000000001</v>
      </c>
      <c r="G377" s="3247">
        <v>0.15</v>
      </c>
    </row>
    <row r="378" spans="1:7">
      <c r="A378" s="3250" t="s">
        <v>2832</v>
      </c>
      <c r="B378" s="3236" t="s">
        <v>2846</v>
      </c>
      <c r="C378" s="3237">
        <v>0.15</v>
      </c>
      <c r="D378" s="3237">
        <v>0.15</v>
      </c>
      <c r="E378" s="3237">
        <v>0.15</v>
      </c>
      <c r="F378" s="3237">
        <v>0.107</v>
      </c>
      <c r="G378" s="3238">
        <v>0.15</v>
      </c>
    </row>
    <row r="379" spans="1:7">
      <c r="A379" s="3251" t="s">
        <v>2832</v>
      </c>
      <c r="B379" s="3240" t="s">
        <v>2852</v>
      </c>
      <c r="C379" s="3241">
        <v>0.15</v>
      </c>
      <c r="D379" s="3241">
        <v>0.15</v>
      </c>
      <c r="E379" s="3241">
        <v>0.15</v>
      </c>
      <c r="F379" s="3241">
        <v>0.115</v>
      </c>
      <c r="G379" s="3242">
        <v>0.14899999999999999</v>
      </c>
    </row>
    <row r="380" spans="1:7">
      <c r="A380" s="3251" t="s">
        <v>2832</v>
      </c>
      <c r="B380" s="3240" t="s">
        <v>2858</v>
      </c>
      <c r="C380" s="3241">
        <v>0.15</v>
      </c>
      <c r="D380" s="3241">
        <v>0.15</v>
      </c>
      <c r="E380" s="3241">
        <v>0.15</v>
      </c>
      <c r="F380" s="3241">
        <v>0.1</v>
      </c>
      <c r="G380" s="3242">
        <v>0.14799999999999999</v>
      </c>
    </row>
    <row r="381" spans="1:7">
      <c r="A381" s="3251" t="s">
        <v>2832</v>
      </c>
      <c r="B381" s="3240" t="s">
        <v>2861</v>
      </c>
      <c r="C381" s="3241">
        <v>0.15</v>
      </c>
      <c r="D381" s="3241">
        <v>0.15</v>
      </c>
      <c r="E381" s="3241">
        <v>0.15</v>
      </c>
      <c r="F381" s="3241">
        <v>0.126</v>
      </c>
      <c r="G381" s="3242">
        <v>0.15</v>
      </c>
    </row>
    <row r="382" spans="1:7">
      <c r="A382" s="3251" t="s">
        <v>2832</v>
      </c>
      <c r="B382" s="3240" t="s">
        <v>2865</v>
      </c>
      <c r="C382" s="3241">
        <v>0.15</v>
      </c>
      <c r="D382" s="3241">
        <v>0.15</v>
      </c>
      <c r="E382" s="3241">
        <v>0.15</v>
      </c>
      <c r="F382" s="3241">
        <v>0.15</v>
      </c>
      <c r="G382" s="3242">
        <v>0.15</v>
      </c>
    </row>
    <row r="383" spans="1:7">
      <c r="A383" s="3251" t="s">
        <v>2832</v>
      </c>
      <c r="B383" s="3240" t="s">
        <v>2870</v>
      </c>
      <c r="C383" s="3241">
        <v>0.15</v>
      </c>
      <c r="D383" s="3241">
        <v>0.15</v>
      </c>
      <c r="E383" s="3241">
        <v>0.15</v>
      </c>
      <c r="F383" s="3241">
        <v>0.14699999999999999</v>
      </c>
      <c r="G383" s="3242">
        <v>0.15</v>
      </c>
    </row>
    <row r="384" spans="1:7" ht="14.25" thickBot="1">
      <c r="A384" s="3261" t="s">
        <v>2832</v>
      </c>
      <c r="B384" s="3262" t="s">
        <v>2874</v>
      </c>
      <c r="C384" s="3263">
        <v>0.15</v>
      </c>
      <c r="D384" s="3263">
        <v>0.15</v>
      </c>
      <c r="E384" s="3263">
        <v>0.15</v>
      </c>
      <c r="F384" s="3263">
        <v>0.15</v>
      </c>
      <c r="G384" s="3264">
        <v>0.15</v>
      </c>
    </row>
  </sheetData>
  <sheetProtection password="CEE9" sheet="1" objects="1" scenarios="1"/>
  <mergeCells count="1">
    <mergeCell ref="A1:B1"/>
  </mergeCells>
  <phoneticPr fontId="9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907" t="s">
        <v>3213</v>
      </c>
      <c r="B1" s="3907"/>
      <c r="C1" s="3907"/>
      <c r="D1" s="3907"/>
      <c r="E1" s="3907"/>
      <c r="F1" s="3908"/>
    </row>
    <row r="2" spans="1:6">
      <c r="A2" s="3267" t="s">
        <v>3214</v>
      </c>
      <c r="B2" s="3268"/>
      <c r="C2" s="3268"/>
      <c r="D2" s="3268"/>
      <c r="E2" s="3268"/>
      <c r="F2" s="3268"/>
    </row>
    <row r="3" spans="1:6">
      <c r="A3" s="3267" t="s">
        <v>3215</v>
      </c>
      <c r="B3" s="3268"/>
      <c r="C3" s="3268"/>
      <c r="D3" s="3268"/>
      <c r="E3" s="3268"/>
      <c r="F3" s="3269" t="s">
        <v>3216</v>
      </c>
    </row>
    <row r="4" spans="1:6">
      <c r="A4" s="3270" t="s">
        <v>672</v>
      </c>
      <c r="B4" s="3270" t="s">
        <v>673</v>
      </c>
      <c r="C4" s="3270" t="s">
        <v>21</v>
      </c>
      <c r="D4" s="3270" t="s">
        <v>674</v>
      </c>
      <c r="E4" s="3270" t="s">
        <v>3</v>
      </c>
      <c r="F4" s="3270" t="s">
        <v>3217</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197">
        <f>基准地价修正!G23</f>
        <v>45406</v>
      </c>
      <c r="B1" s="3186" t="s">
        <v>3352</v>
      </c>
      <c r="C1" s="3187"/>
      <c r="D1" s="3187"/>
      <c r="E1" s="3187"/>
      <c r="F1" s="3187"/>
      <c r="G1" s="3187"/>
      <c r="H1" s="3187"/>
      <c r="I1" s="3187"/>
      <c r="J1" s="3141"/>
      <c r="K1" s="3187" t="s">
        <v>454</v>
      </c>
      <c r="L1" s="3187"/>
      <c r="M1" s="3187"/>
      <c r="N1" s="3187"/>
      <c r="O1" s="3187"/>
      <c r="P1" s="3187"/>
      <c r="Q1" s="3141"/>
      <c r="R1" s="3909" t="s">
        <v>456</v>
      </c>
      <c r="S1" s="3910"/>
      <c r="T1" s="3910"/>
      <c r="U1" s="3910"/>
      <c r="V1" s="3910"/>
      <c r="W1" s="3910"/>
      <c r="X1" s="3141"/>
      <c r="Y1" s="3909" t="s">
        <v>457</v>
      </c>
      <c r="Z1" s="3910"/>
      <c r="AA1" s="3910"/>
      <c r="AB1" s="3910"/>
      <c r="AC1" s="3910"/>
      <c r="AD1" s="3910"/>
    </row>
    <row r="2" spans="1:30" s="3119" customFormat="1" ht="14.25" thickBot="1">
      <c r="B2" s="3120"/>
      <c r="C2" s="3121"/>
      <c r="D2" s="3122" t="s">
        <v>2791</v>
      </c>
      <c r="E2" s="3123" t="s">
        <v>2792</v>
      </c>
      <c r="F2" s="3123" t="s">
        <v>2793</v>
      </c>
      <c r="G2" s="3123" t="s">
        <v>2794</v>
      </c>
      <c r="H2" s="3123" t="s">
        <v>2795</v>
      </c>
      <c r="I2" s="3123" t="s">
        <v>2612</v>
      </c>
      <c r="J2" s="3124"/>
      <c r="K2" s="3122" t="s">
        <v>2791</v>
      </c>
      <c r="L2" s="3123" t="s">
        <v>2792</v>
      </c>
      <c r="M2" s="3123" t="s">
        <v>2793</v>
      </c>
      <c r="N2" s="3123" t="s">
        <v>2794</v>
      </c>
      <c r="O2" s="3123" t="s">
        <v>2796</v>
      </c>
      <c r="P2" s="3123" t="s">
        <v>2612</v>
      </c>
      <c r="Q2" s="3124"/>
      <c r="R2" s="3122" t="s">
        <v>2791</v>
      </c>
      <c r="S2" s="3123" t="s">
        <v>2792</v>
      </c>
      <c r="T2" s="3123" t="s">
        <v>2793</v>
      </c>
      <c r="U2" s="3123" t="s">
        <v>2797</v>
      </c>
      <c r="V2" s="3123" t="s">
        <v>2798</v>
      </c>
      <c r="W2" s="3123" t="s">
        <v>2612</v>
      </c>
      <c r="X2" s="3124"/>
      <c r="Y2" s="3122" t="s">
        <v>2791</v>
      </c>
      <c r="Z2" s="3123" t="s">
        <v>2792</v>
      </c>
      <c r="AA2" s="3123" t="s">
        <v>2793</v>
      </c>
      <c r="AB2" s="3123" t="s">
        <v>2799</v>
      </c>
      <c r="AC2" s="3123" t="s">
        <v>2798</v>
      </c>
      <c r="AD2" s="3123" t="s">
        <v>2612</v>
      </c>
    </row>
    <row r="3" spans="1:30" s="3137" customFormat="1" ht="12.75">
      <c r="A3" s="3125" t="s">
        <v>2800</v>
      </c>
      <c r="B3" s="3126"/>
      <c r="C3" s="3127"/>
      <c r="D3" s="3127">
        <f>ROUND(AVERAGEIF(D4:D18,"&lt;&gt;0"),2)</f>
        <v>0.73</v>
      </c>
      <c r="E3" s="3127">
        <f t="shared" ref="E3:H3" si="0">ROUND(AVERAGEIF(E4:E18,"&lt;&gt;0"),2)</f>
        <v>0.4</v>
      </c>
      <c r="F3" s="3127">
        <f t="shared" si="0"/>
        <v>0.2</v>
      </c>
      <c r="G3" s="3127">
        <f t="shared" si="0"/>
        <v>0.78</v>
      </c>
      <c r="H3" s="3127">
        <f t="shared" si="0"/>
        <v>0.63</v>
      </c>
      <c r="I3" s="3127">
        <f>F3</f>
        <v>0.2</v>
      </c>
      <c r="J3" s="3128"/>
      <c r="K3" s="3129">
        <f>ROUND(AVERAGEIF(K4:K18,"&lt;&gt;0"),4)</f>
        <v>7.3000000000000001E-3</v>
      </c>
      <c r="L3" s="3130">
        <f t="shared" ref="L3:O3" si="1">ROUND(AVERAGEIF(L4:L18,"&lt;&gt;0"),4)</f>
        <v>4.0000000000000001E-3</v>
      </c>
      <c r="M3" s="3130">
        <f t="shared" si="1"/>
        <v>2E-3</v>
      </c>
      <c r="N3" s="3130">
        <f t="shared" si="1"/>
        <v>7.7999999999999996E-3</v>
      </c>
      <c r="O3" s="3130">
        <f t="shared" si="1"/>
        <v>6.3E-3</v>
      </c>
      <c r="P3" s="3130">
        <f>M3</f>
        <v>2E-3</v>
      </c>
      <c r="Q3" s="3128"/>
      <c r="R3" s="3131">
        <f>ROUND(SUMPRODUCT(PRODUCT(1+K4:K18)),4)</f>
        <v>1.0908</v>
      </c>
      <c r="S3" s="3132">
        <f t="shared" ref="S3:V3" si="2">ROUND(SUMPRODUCT(PRODUCT(1+L4:L18)),4)</f>
        <v>1.0488</v>
      </c>
      <c r="T3" s="3132">
        <f t="shared" si="2"/>
        <v>1.024</v>
      </c>
      <c r="U3" s="3132">
        <f t="shared" si="2"/>
        <v>1.0980000000000001</v>
      </c>
      <c r="V3" s="3132">
        <f t="shared" si="2"/>
        <v>1.0779000000000001</v>
      </c>
      <c r="W3" s="3131">
        <f>T3</f>
        <v>1.024</v>
      </c>
      <c r="X3" s="3128"/>
      <c r="Y3" s="3133">
        <f>ROUND(AVERAGEIF(Y5:Y18,"&lt;&gt;0"),4)</f>
        <v>8.6999999999999994E-3</v>
      </c>
      <c r="Z3" s="3134">
        <f t="shared" ref="Z3:AC3" si="3">ROUND(AVERAGEIF(Z5:Z18,"&lt;&gt;0"),4)</f>
        <v>3.5000000000000001E-3</v>
      </c>
      <c r="AA3" s="3135">
        <f t="shared" si="3"/>
        <v>8.9999999999999998E-4</v>
      </c>
      <c r="AB3" s="3133">
        <f t="shared" si="3"/>
        <v>9.4999999999999998E-3</v>
      </c>
      <c r="AC3" s="3136">
        <f t="shared" si="3"/>
        <v>6.1000000000000004E-3</v>
      </c>
      <c r="AD3" s="3133">
        <f>AA3</f>
        <v>8.9999999999999998E-4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2205" t="s">
        <v>3355</v>
      </c>
      <c r="B5" s="3153">
        <v>2024</v>
      </c>
      <c r="C5" s="3154">
        <v>2</v>
      </c>
      <c r="D5" s="3155">
        <v>0</v>
      </c>
      <c r="E5" s="3155">
        <v>0</v>
      </c>
      <c r="F5" s="3155">
        <v>0</v>
      </c>
      <c r="G5" s="3155">
        <v>0</v>
      </c>
      <c r="H5" s="3155">
        <v>0</v>
      </c>
      <c r="I5" s="3156">
        <f t="shared" ref="I5:I18" si="4">F5</f>
        <v>0</v>
      </c>
      <c r="J5" s="3157"/>
      <c r="K5" s="3158">
        <f t="shared" ref="K5:O18" si="5">D5/100</f>
        <v>0</v>
      </c>
      <c r="L5" s="3148">
        <f t="shared" si="5"/>
        <v>0</v>
      </c>
      <c r="M5" s="3148">
        <f t="shared" si="5"/>
        <v>0</v>
      </c>
      <c r="N5" s="3148">
        <f t="shared" si="5"/>
        <v>0</v>
      </c>
      <c r="O5" s="3148">
        <f t="shared" si="5"/>
        <v>0</v>
      </c>
      <c r="P5" s="3148">
        <f>M5</f>
        <v>0</v>
      </c>
      <c r="Q5" s="3157"/>
      <c r="R5" s="3159">
        <f>ROUND(IF(项目基本情况!$B$8="出让",SUMPRODUCT(PRODUCT(1+K5:$K$18)),SUMPRODUCT(PRODUCT(1+K5:$K$17))),4)</f>
        <v>1.0804</v>
      </c>
      <c r="S5" s="3159">
        <f>ROUND(IF(项目基本情况!$B$8="出让",SUMPRODUCT(PRODUCT(1+L5:$L$18)),SUMPRODUCT(PRODUCT(1+L5:$L$17))),4)</f>
        <v>1.0471999999999999</v>
      </c>
      <c r="T5" s="3159">
        <f>ROUND(IF(项目基本情况!$B$8="出让",SUMPRODUCT(PRODUCT(1+M5:$M$18)),SUMPRODUCT(PRODUCT(1+M5:$M$17))),4)</f>
        <v>1.0266</v>
      </c>
      <c r="U5" s="3159">
        <f>ROUND(IF(项目基本情况!$B$8="出让",SUMPRODUCT(PRODUCT(1+N5:$N$18)),SUMPRODUCT(PRODUCT(1+N5:$N$17))),4)</f>
        <v>1.0859000000000001</v>
      </c>
      <c r="V5" s="3159">
        <f>ROUND(IF(项目基本情况!$B$8="出让",SUMPRODUCT(PRODUCT(1+O5:$O$18)),SUMPRODUCT(PRODUCT(1+O5:$O$17))),4)</f>
        <v>1.0741000000000001</v>
      </c>
      <c r="W5" s="3159">
        <f>T5</f>
        <v>1.0266</v>
      </c>
      <c r="X5" s="3157"/>
      <c r="Y5" s="3160">
        <f>IF(D5=0,0,ROUND(AVERAGE(D5:D18)/100,4))</f>
        <v>0</v>
      </c>
      <c r="Z5" s="3160">
        <f t="shared" ref="Z5:AC5" si="6">IF(E5=0,0,ROUND(AVERAGE(E5:E18)/100,4))</f>
        <v>0</v>
      </c>
      <c r="AA5" s="3160">
        <f t="shared" si="6"/>
        <v>0</v>
      </c>
      <c r="AB5" s="3160">
        <f t="shared" si="6"/>
        <v>0</v>
      </c>
      <c r="AC5" s="3160">
        <f t="shared" si="6"/>
        <v>0</v>
      </c>
      <c r="AD5" s="3160">
        <f t="shared" ref="AD5:AD17" si="7">AA5</f>
        <v>0</v>
      </c>
    </row>
    <row r="6" spans="1:30" s="3161" customFormat="1" ht="12.75">
      <c r="A6" s="2205" t="s">
        <v>3356</v>
      </c>
      <c r="B6" s="3153">
        <v>2024</v>
      </c>
      <c r="C6" s="3154">
        <v>1</v>
      </c>
      <c r="D6" s="3155">
        <v>0</v>
      </c>
      <c r="E6" s="3155">
        <v>0</v>
      </c>
      <c r="F6" s="3155">
        <v>0</v>
      </c>
      <c r="G6" s="3155">
        <v>0</v>
      </c>
      <c r="H6" s="3172">
        <v>0</v>
      </c>
      <c r="I6" s="3156">
        <v>0</v>
      </c>
      <c r="J6" s="3157"/>
      <c r="K6" s="3158">
        <f t="shared" ref="K6" si="8">D6/100</f>
        <v>0</v>
      </c>
      <c r="L6" s="3148">
        <f t="shared" ref="L6" si="9">E6/100</f>
        <v>0</v>
      </c>
      <c r="M6" s="3148">
        <f t="shared" ref="M6" si="10">F6/100</f>
        <v>0</v>
      </c>
      <c r="N6" s="3148">
        <f t="shared" ref="N6" si="11">G6/100</f>
        <v>0</v>
      </c>
      <c r="O6" s="3148">
        <f t="shared" ref="O6" si="12">H6/100</f>
        <v>0</v>
      </c>
      <c r="P6" s="3148">
        <f t="shared" ref="P6" si="13">M6</f>
        <v>0</v>
      </c>
      <c r="Q6" s="3157"/>
      <c r="R6" s="3159">
        <f>ROUND(IF(项目基本情况!$B$8="出让",SUMPRODUCT(PRODUCT(1+K6:$K$18)),SUMPRODUCT(PRODUCT(1+K6:$K$17))),4)</f>
        <v>1.0804</v>
      </c>
      <c r="S6" s="3159">
        <f>ROUND(IF(项目基本情况!$B$8="出让",SUMPRODUCT(PRODUCT(1+L6:$L$18)),SUMPRODUCT(PRODUCT(1+L6:$L$17))),4)</f>
        <v>1.0471999999999999</v>
      </c>
      <c r="T6" s="3159">
        <f>ROUND(IF(项目基本情况!$B$8="出让",SUMPRODUCT(PRODUCT(1+M6:$M$18)),SUMPRODUCT(PRODUCT(1+M6:$M$17))),4)</f>
        <v>1.0266</v>
      </c>
      <c r="U6" s="3159">
        <f>ROUND(IF(项目基本情况!$B$8="出让",SUMPRODUCT(PRODUCT(1+N6:$N$18)),SUMPRODUCT(PRODUCT(1+N6:$N$17))),4)</f>
        <v>1.0859000000000001</v>
      </c>
      <c r="V6" s="3159">
        <f>ROUND(IF(项目基本情况!$B$8="出让",SUMPRODUCT(PRODUCT(1+O6:$O$18)),SUMPRODUCT(PRODUCT(1+O6:$O$17))),4)</f>
        <v>1.0741000000000001</v>
      </c>
      <c r="W6" s="3159">
        <f t="shared" ref="W6" si="14">T6</f>
        <v>1.0266</v>
      </c>
      <c r="X6" s="3157"/>
      <c r="Y6" s="3160"/>
      <c r="Z6" s="3160"/>
      <c r="AA6" s="3160"/>
      <c r="AB6" s="3160"/>
      <c r="AC6" s="3160"/>
      <c r="AD6" s="3160"/>
    </row>
    <row r="7" spans="1:30" s="3171" customFormat="1" ht="12.75">
      <c r="A7" s="3162" t="s">
        <v>3358</v>
      </c>
      <c r="B7" s="3163">
        <v>2023</v>
      </c>
      <c r="C7" s="3164">
        <v>4</v>
      </c>
      <c r="D7" s="3165">
        <v>0.19</v>
      </c>
      <c r="E7" s="3165">
        <v>0.24</v>
      </c>
      <c r="F7" s="3165">
        <v>-0.16</v>
      </c>
      <c r="G7" s="3165">
        <v>0.17</v>
      </c>
      <c r="H7" s="3166">
        <v>0.61</v>
      </c>
      <c r="I7" s="3167">
        <f>F7</f>
        <v>-0.16</v>
      </c>
      <c r="J7" s="3168"/>
      <c r="K7" s="3169">
        <f t="shared" si="5"/>
        <v>1.9E-3</v>
      </c>
      <c r="L7" s="3170">
        <f t="shared" si="5"/>
        <v>2.3999999999999998E-3</v>
      </c>
      <c r="M7" s="3170">
        <f t="shared" si="5"/>
        <v>-1.6000000000000001E-3</v>
      </c>
      <c r="N7" s="3170">
        <f t="shared" si="5"/>
        <v>1.7000000000000001E-3</v>
      </c>
      <c r="O7" s="3170">
        <f t="shared" si="5"/>
        <v>6.0999999999999995E-3</v>
      </c>
      <c r="P7" s="3170">
        <f t="shared" ref="P7" si="15">M7</f>
        <v>-1.6000000000000001E-3</v>
      </c>
      <c r="Q7" s="3168"/>
      <c r="R7" s="3168">
        <f>ROUND(IF(项目基本情况!$B$8="出让",SUMPRODUCT(PRODUCT(1+K7:$K$18)),SUMPRODUCT(PRODUCT(1+K7:$K$17))),4)</f>
        <v>1.0804</v>
      </c>
      <c r="S7" s="3168">
        <f>ROUND(IF(项目基本情况!$B$8="出让",SUMPRODUCT(PRODUCT(1+L7:$L$18)),SUMPRODUCT(PRODUCT(1+L7:$L$17))),4)</f>
        <v>1.0471999999999999</v>
      </c>
      <c r="T7" s="3168">
        <f>ROUND(IF(项目基本情况!$B$8="出让",SUMPRODUCT(PRODUCT(1+M7:$M$18)),SUMPRODUCT(PRODUCT(1+M7:$M$17))),4)</f>
        <v>1.0266</v>
      </c>
      <c r="U7" s="3168">
        <f>ROUND(IF(项目基本情况!$B$8="出让",SUMPRODUCT(PRODUCT(1+N7:$N$18)),SUMPRODUCT(PRODUCT(1+N7:$N$17))),4)</f>
        <v>1.0859000000000001</v>
      </c>
      <c r="V7" s="3168">
        <f>ROUND(IF(项目基本情况!$B$8="出让",SUMPRODUCT(PRODUCT(1+O7:$O$18)),SUMPRODUCT(PRODUCT(1+O7:$O$17))),4)</f>
        <v>1.0741000000000001</v>
      </c>
      <c r="W7" s="3168">
        <f t="shared" ref="W7" si="16">T7</f>
        <v>1.0266</v>
      </c>
      <c r="X7" s="3168"/>
      <c r="Y7" s="3170"/>
      <c r="Z7" s="3170"/>
      <c r="AA7" s="3170"/>
      <c r="AB7" s="3170"/>
      <c r="AC7" s="3170"/>
      <c r="AD7" s="3170"/>
    </row>
    <row r="8" spans="1:30" s="3161" customFormat="1" ht="12.75">
      <c r="A8" s="3152" t="s">
        <v>3359</v>
      </c>
      <c r="B8" s="3153">
        <v>2023</v>
      </c>
      <c r="C8" s="3154">
        <v>3</v>
      </c>
      <c r="D8" s="3155">
        <v>0.25</v>
      </c>
      <c r="E8" s="3155">
        <v>0.5</v>
      </c>
      <c r="F8" s="3155">
        <v>0.31</v>
      </c>
      <c r="G8" s="3155">
        <v>0.21</v>
      </c>
      <c r="H8" s="3172">
        <v>0.43</v>
      </c>
      <c r="I8" s="3156">
        <f t="shared" si="4"/>
        <v>0.31</v>
      </c>
      <c r="J8" s="3157"/>
      <c r="K8" s="3158">
        <f t="shared" ref="K8:K10" si="17">D8/100</f>
        <v>2.5000000000000001E-3</v>
      </c>
      <c r="L8" s="3148">
        <f t="shared" ref="L8:L10" si="18">E8/100</f>
        <v>5.0000000000000001E-3</v>
      </c>
      <c r="M8" s="3148">
        <f t="shared" ref="M8:M10" si="19">F8/100</f>
        <v>3.0999999999999999E-3</v>
      </c>
      <c r="N8" s="3148">
        <f t="shared" ref="N8:N10" si="20">G8/100</f>
        <v>2.0999999999999999E-3</v>
      </c>
      <c r="O8" s="3148">
        <f t="shared" ref="O8:O10" si="21">H8/100</f>
        <v>4.3E-3</v>
      </c>
      <c r="P8" s="3148">
        <f t="shared" ref="P8:P10" si="22">M8</f>
        <v>3.0999999999999999E-3</v>
      </c>
      <c r="Q8" s="3157"/>
      <c r="R8" s="3159">
        <f>ROUND(IF(项目基本情况!$B$8="出让",SUMPRODUCT(PRODUCT(1+K8:$K$18)),SUMPRODUCT(PRODUCT(1+K8:$K$17))),4)</f>
        <v>1.0783</v>
      </c>
      <c r="S8" s="3159">
        <f>ROUND(IF(项目基本情况!$B$8="出让",SUMPRODUCT(PRODUCT(1+L8:$L$18)),SUMPRODUCT(PRODUCT(1+L8:$L$17))),4)</f>
        <v>1.0447</v>
      </c>
      <c r="T8" s="3159">
        <f>ROUND(IF(项目基本情况!$B$8="出让",SUMPRODUCT(PRODUCT(1+M8:$M$18)),SUMPRODUCT(PRODUCT(1+M8:$M$17))),4)</f>
        <v>1.0282</v>
      </c>
      <c r="U8" s="3159">
        <f>ROUND(IF(项目基本情况!$B$8="出让",SUMPRODUCT(PRODUCT(1+N8:$N$18)),SUMPRODUCT(PRODUCT(1+N8:$N$17))),4)</f>
        <v>1.0841000000000001</v>
      </c>
      <c r="V8" s="3159">
        <f>ROUND(IF(项目基本情况!$B$8="出让",SUMPRODUCT(PRODUCT(1+O8:$O$18)),SUMPRODUCT(PRODUCT(1+O8:$O$17))),4)</f>
        <v>1.0674999999999999</v>
      </c>
      <c r="W8" s="3159">
        <f t="shared" ref="W8:W9" si="23">T8</f>
        <v>1.0282</v>
      </c>
      <c r="X8" s="3157"/>
      <c r="Y8" s="3160"/>
      <c r="Z8" s="3160"/>
      <c r="AA8" s="3160"/>
      <c r="AB8" s="3160"/>
      <c r="AC8" s="3160"/>
      <c r="AD8" s="3160"/>
    </row>
    <row r="9" spans="1:30" s="3161" customFormat="1" ht="12.75">
      <c r="A9" s="3152" t="s">
        <v>3351</v>
      </c>
      <c r="B9" s="3153">
        <v>2023</v>
      </c>
      <c r="C9" s="3154">
        <v>2</v>
      </c>
      <c r="D9" s="3155">
        <v>0.91</v>
      </c>
      <c r="E9" s="3155">
        <v>0.66</v>
      </c>
      <c r="F9" s="3155">
        <v>0.47</v>
      </c>
      <c r="G9" s="3155">
        <v>0.96</v>
      </c>
      <c r="H9" s="3172">
        <v>0.71</v>
      </c>
      <c r="I9" s="3156">
        <f t="shared" si="4"/>
        <v>0.47</v>
      </c>
      <c r="J9" s="3157"/>
      <c r="K9" s="3158">
        <f t="shared" si="17"/>
        <v>9.1000000000000004E-3</v>
      </c>
      <c r="L9" s="3148">
        <f t="shared" si="18"/>
        <v>6.6E-3</v>
      </c>
      <c r="M9" s="3148">
        <f t="shared" si="19"/>
        <v>4.6999999999999993E-3</v>
      </c>
      <c r="N9" s="3148">
        <f t="shared" si="20"/>
        <v>9.5999999999999992E-3</v>
      </c>
      <c r="O9" s="3148">
        <f t="shared" si="21"/>
        <v>7.0999999999999995E-3</v>
      </c>
      <c r="P9" s="3148">
        <f t="shared" si="22"/>
        <v>4.6999999999999993E-3</v>
      </c>
      <c r="Q9" s="3157"/>
      <c r="R9" s="3159">
        <f>ROUND(IF(项目基本情况!$B$8="出让",SUMPRODUCT(PRODUCT(1+K9:$K$18)),SUMPRODUCT(PRODUCT(1+K9:$K$17))),4)</f>
        <v>1.0755999999999999</v>
      </c>
      <c r="S9" s="3159">
        <f>ROUND(IF(项目基本情况!$B$8="出让",SUMPRODUCT(PRODUCT(1+L9:$L$18)),SUMPRODUCT(PRODUCT(1+L9:$L$17))),4)</f>
        <v>1.0395000000000001</v>
      </c>
      <c r="T9" s="3159">
        <f>ROUND(IF(项目基本情况!$B$8="出让",SUMPRODUCT(PRODUCT(1+M9:$M$18)),SUMPRODUCT(PRODUCT(1+M9:$M$17))),4)</f>
        <v>1.0250999999999999</v>
      </c>
      <c r="U9" s="3159">
        <f>ROUND(IF(项目基本情况!$B$8="出让",SUMPRODUCT(PRODUCT(1+N9:$N$18)),SUMPRODUCT(PRODUCT(1+N9:$N$17))),4)</f>
        <v>1.0818000000000001</v>
      </c>
      <c r="V9" s="3159">
        <f>ROUND(IF(项目基本情况!$B$8="出让",SUMPRODUCT(PRODUCT(1+O9:$O$18)),SUMPRODUCT(PRODUCT(1+O9:$O$17))),4)</f>
        <v>1.0629999999999999</v>
      </c>
      <c r="W9" s="3159">
        <f t="shared" si="23"/>
        <v>1.0250999999999999</v>
      </c>
      <c r="X9" s="3157"/>
      <c r="Y9" s="3160"/>
      <c r="Z9" s="3160"/>
      <c r="AA9" s="3160"/>
      <c r="AB9" s="3160"/>
      <c r="AC9" s="3160"/>
      <c r="AD9" s="3160"/>
    </row>
    <row r="10" spans="1:30" s="3161" customFormat="1" ht="12.75">
      <c r="A10" s="3152" t="s">
        <v>3350</v>
      </c>
      <c r="B10" s="3153">
        <v>2023</v>
      </c>
      <c r="C10" s="3154">
        <v>1</v>
      </c>
      <c r="D10" s="3155">
        <v>0.89</v>
      </c>
      <c r="E10" s="3155">
        <v>0.74</v>
      </c>
      <c r="F10" s="3155">
        <v>0.56999999999999995</v>
      </c>
      <c r="G10" s="3155">
        <v>0.92</v>
      </c>
      <c r="H10" s="3172">
        <v>0.5</v>
      </c>
      <c r="I10" s="3156">
        <f t="shared" si="4"/>
        <v>0.56999999999999995</v>
      </c>
      <c r="J10" s="3157"/>
      <c r="K10" s="3158">
        <f t="shared" si="17"/>
        <v>8.8999999999999999E-3</v>
      </c>
      <c r="L10" s="3148">
        <f t="shared" si="18"/>
        <v>7.4000000000000003E-3</v>
      </c>
      <c r="M10" s="3148">
        <f t="shared" si="19"/>
        <v>5.6999999999999993E-3</v>
      </c>
      <c r="N10" s="3148">
        <f t="shared" si="20"/>
        <v>9.1999999999999998E-3</v>
      </c>
      <c r="O10" s="3148">
        <f t="shared" si="21"/>
        <v>5.0000000000000001E-3</v>
      </c>
      <c r="P10" s="3148">
        <f t="shared" si="22"/>
        <v>5.6999999999999993E-3</v>
      </c>
      <c r="Q10" s="3157"/>
      <c r="R10" s="3159">
        <f>ROUND(IF(项目基本情况!$B$8="出让",SUMPRODUCT(PRODUCT(1+K10:$K$18)),SUMPRODUCT(PRODUCT(1+K10:$K$17))),4)</f>
        <v>1.0659000000000001</v>
      </c>
      <c r="S10" s="3159">
        <f>ROUND(IF(项目基本情况!$B$8="出让",SUMPRODUCT(PRODUCT(1+L10:$L$18)),SUMPRODUCT(PRODUCT(1+L10:$L$17))),4)</f>
        <v>1.0326</v>
      </c>
      <c r="T10" s="3159">
        <f>ROUND(IF(项目基本情况!$B$8="出让",SUMPRODUCT(PRODUCT(1+M10:$M$18)),SUMPRODUCT(PRODUCT(1+M10:$M$17))),4)</f>
        <v>1.0203</v>
      </c>
      <c r="U10" s="3159">
        <f>ROUND(IF(项目基本情况!$B$8="出让",SUMPRODUCT(PRODUCT(1+N10:$N$18)),SUMPRODUCT(PRODUCT(1+N10:$N$17))),4)</f>
        <v>1.0714999999999999</v>
      </c>
      <c r="V10" s="3159">
        <f>ROUND(IF(项目基本情况!$B$8="出让",SUMPRODUCT(PRODUCT(1+O10:$O$18)),SUMPRODUCT(PRODUCT(1+O10:$O$17))),4)</f>
        <v>1.0555000000000001</v>
      </c>
      <c r="W10" s="3159">
        <f t="shared" ref="W10:W17" si="24">T10</f>
        <v>1.0203</v>
      </c>
      <c r="X10" s="3157"/>
      <c r="Y10" s="3160"/>
      <c r="Z10" s="3160"/>
      <c r="AA10" s="3160"/>
      <c r="AB10" s="3160"/>
      <c r="AC10" s="3160"/>
      <c r="AD10" s="3160"/>
    </row>
    <row r="11" spans="1:30" s="3161" customFormat="1" ht="12.75">
      <c r="A11" s="3152" t="s">
        <v>3349</v>
      </c>
      <c r="B11" s="3153">
        <v>2022</v>
      </c>
      <c r="C11" s="3154">
        <v>4</v>
      </c>
      <c r="D11" s="3155">
        <v>0.62</v>
      </c>
      <c r="E11" s="3155">
        <v>0.2</v>
      </c>
      <c r="F11" s="3155">
        <v>0.11</v>
      </c>
      <c r="G11" s="3155">
        <v>0.69</v>
      </c>
      <c r="H11" s="3172">
        <v>0.53</v>
      </c>
      <c r="I11" s="3156">
        <f t="shared" si="4"/>
        <v>0.11</v>
      </c>
      <c r="J11" s="3157"/>
      <c r="K11" s="3158">
        <f t="shared" si="5"/>
        <v>6.1999999999999998E-3</v>
      </c>
      <c r="L11" s="3148">
        <f t="shared" si="5"/>
        <v>2E-3</v>
      </c>
      <c r="M11" s="3148">
        <f t="shared" si="5"/>
        <v>1.1000000000000001E-3</v>
      </c>
      <c r="N11" s="3148">
        <f t="shared" si="5"/>
        <v>6.8999999999999999E-3</v>
      </c>
      <c r="O11" s="3148">
        <f t="shared" si="5"/>
        <v>5.3E-3</v>
      </c>
      <c r="P11" s="3148">
        <f t="shared" ref="P11:P18" si="25">M11</f>
        <v>1.1000000000000001E-3</v>
      </c>
      <c r="Q11" s="3157"/>
      <c r="R11" s="3159">
        <f>ROUND(IF(项目基本情况!$B$8="出让",SUMPRODUCT(PRODUCT(1+K11:$K$18)),SUMPRODUCT(PRODUCT(1+K11:$K$17))),4)</f>
        <v>1.0565</v>
      </c>
      <c r="S11" s="3159">
        <f>ROUND(IF(项目基本情况!$B$8="出让",SUMPRODUCT(PRODUCT(1+L11:$L$18)),SUMPRODUCT(PRODUCT(1+L11:$L$17))),4)</f>
        <v>1.0250999999999999</v>
      </c>
      <c r="T11" s="3159">
        <f>ROUND(IF(项目基本情况!$B$8="出让",SUMPRODUCT(PRODUCT(1+M11:$M$18)),SUMPRODUCT(PRODUCT(1+M11:$M$17))),4)</f>
        <v>1.0145</v>
      </c>
      <c r="U11" s="3159">
        <f>ROUND(IF(项目基本情况!$B$8="出让",SUMPRODUCT(PRODUCT(1+N11:$N$18)),SUMPRODUCT(PRODUCT(1+N11:$N$17))),4)</f>
        <v>1.0618000000000001</v>
      </c>
      <c r="V11" s="3159">
        <f>ROUND(IF(项目基本情况!$B$8="出让",SUMPRODUCT(PRODUCT(1+O11:$O$18)),SUMPRODUCT(PRODUCT(1+O11:$O$17))),4)</f>
        <v>1.0502</v>
      </c>
      <c r="W11" s="3159">
        <f t="shared" si="24"/>
        <v>1.0145</v>
      </c>
      <c r="X11" s="3157"/>
      <c r="Y11" s="3160">
        <f>IF(D11=0,0,ROUND(AVERAGE(D11:D19)/100,4))</f>
        <v>8.0999999999999996E-3</v>
      </c>
      <c r="Z11" s="3160">
        <f t="shared" ref="Z11:AC11" si="26">IF(E11=0,0,ROUND(AVERAGE(E11:E18)/100,4))</f>
        <v>3.3E-3</v>
      </c>
      <c r="AA11" s="3160">
        <f t="shared" si="26"/>
        <v>1.5E-3</v>
      </c>
      <c r="AB11" s="3160">
        <f t="shared" si="26"/>
        <v>8.8999999999999999E-3</v>
      </c>
      <c r="AC11" s="3160">
        <f t="shared" si="26"/>
        <v>6.6E-3</v>
      </c>
      <c r="AD11" s="3160">
        <f t="shared" si="7"/>
        <v>1.5E-3</v>
      </c>
    </row>
    <row r="12" spans="1:30" s="3161" customFormat="1" ht="12.75">
      <c r="A12" s="3152" t="s">
        <v>3345</v>
      </c>
      <c r="B12" s="3153">
        <v>2022</v>
      </c>
      <c r="C12" s="3154">
        <v>3</v>
      </c>
      <c r="D12" s="3155">
        <v>0.66</v>
      </c>
      <c r="E12" s="3155">
        <v>0.32</v>
      </c>
      <c r="F12" s="3155">
        <v>0.23</v>
      </c>
      <c r="G12" s="3155">
        <v>0.72</v>
      </c>
      <c r="H12" s="3172">
        <v>0.63</v>
      </c>
      <c r="I12" s="3156">
        <f t="shared" si="4"/>
        <v>0.23</v>
      </c>
      <c r="J12" s="3157"/>
      <c r="K12" s="3158">
        <f t="shared" si="5"/>
        <v>6.6E-3</v>
      </c>
      <c r="L12" s="3148">
        <f t="shared" si="5"/>
        <v>3.2000000000000002E-3</v>
      </c>
      <c r="M12" s="3148">
        <f t="shared" si="5"/>
        <v>2.3E-3</v>
      </c>
      <c r="N12" s="3148">
        <f t="shared" si="5"/>
        <v>7.1999999999999998E-3</v>
      </c>
      <c r="O12" s="3148">
        <f t="shared" si="5"/>
        <v>6.3E-3</v>
      </c>
      <c r="P12" s="3148">
        <f t="shared" si="25"/>
        <v>2.3E-3</v>
      </c>
      <c r="Q12" s="3157"/>
      <c r="R12" s="3159">
        <f>ROUND(IF(项目基本情况!$B$8="出让",SUMPRODUCT(PRODUCT(1+K12:$K$18)),SUMPRODUCT(PRODUCT(1+K12:$K$17))),4)</f>
        <v>1.05</v>
      </c>
      <c r="S12" s="3159">
        <f>ROUND(IF(项目基本情况!$B$8="出让",SUMPRODUCT(PRODUCT(1+L12:$L$18)),SUMPRODUCT(PRODUCT(1+L12:$L$17))),4)</f>
        <v>1.0229999999999999</v>
      </c>
      <c r="T12" s="3159">
        <f>ROUND(IF(项目基本情况!$B$8="出让",SUMPRODUCT(PRODUCT(1+M12:$M$18)),SUMPRODUCT(PRODUCT(1+M12:$M$17))),4)</f>
        <v>1.0134000000000001</v>
      </c>
      <c r="U12" s="3159">
        <f>ROUND(IF(项目基本情况!$B$8="出让",SUMPRODUCT(PRODUCT(1+N12:$N$18)),SUMPRODUCT(PRODUCT(1+N12:$N$17))),4)</f>
        <v>1.0545</v>
      </c>
      <c r="V12" s="3159">
        <f>ROUND(IF(项目基本情况!$B$8="出让",SUMPRODUCT(PRODUCT(1+O12:$O$18)),SUMPRODUCT(PRODUCT(1+O12:$O$17))),4)</f>
        <v>1.0447</v>
      </c>
      <c r="W12" s="3159">
        <f t="shared" si="24"/>
        <v>1.0134000000000001</v>
      </c>
      <c r="X12" s="3157"/>
      <c r="Y12" s="3160">
        <f>IF(D12=0,0,ROUND(AVERAGE(D12:D18)/100,4))</f>
        <v>8.3999999999999995E-3</v>
      </c>
      <c r="Z12" s="3160">
        <f t="shared" ref="Z12:AC12" si="27">IF(E12=0,0,ROUND(AVERAGE(E12:E18)/100,4))</f>
        <v>3.5000000000000001E-3</v>
      </c>
      <c r="AA12" s="3160">
        <f t="shared" si="27"/>
        <v>1.5E-3</v>
      </c>
      <c r="AB12" s="3160">
        <f t="shared" si="27"/>
        <v>9.1999999999999998E-3</v>
      </c>
      <c r="AC12" s="3160">
        <f t="shared" si="27"/>
        <v>6.7999999999999996E-3</v>
      </c>
      <c r="AD12" s="3160">
        <f t="shared" si="7"/>
        <v>1.5E-3</v>
      </c>
    </row>
    <row r="13" spans="1:30" s="3161" customFormat="1" ht="12.75">
      <c r="A13" s="3152" t="s">
        <v>3336</v>
      </c>
      <c r="B13" s="3153">
        <v>2022</v>
      </c>
      <c r="C13" s="3154">
        <v>2</v>
      </c>
      <c r="D13" s="3155">
        <v>0.93</v>
      </c>
      <c r="E13" s="3155">
        <v>0.15</v>
      </c>
      <c r="F13" s="3155">
        <v>0.01</v>
      </c>
      <c r="G13" s="3155">
        <v>1.05</v>
      </c>
      <c r="H13" s="3172">
        <v>1.08</v>
      </c>
      <c r="I13" s="3156">
        <f t="shared" si="4"/>
        <v>0.01</v>
      </c>
      <c r="J13" s="3157"/>
      <c r="K13" s="3158">
        <f t="shared" si="5"/>
        <v>9.300000000000001E-3</v>
      </c>
      <c r="L13" s="3148">
        <f t="shared" si="5"/>
        <v>1.5E-3</v>
      </c>
      <c r="M13" s="3148">
        <f t="shared" si="5"/>
        <v>1E-4</v>
      </c>
      <c r="N13" s="3148">
        <f t="shared" si="5"/>
        <v>1.0500000000000001E-2</v>
      </c>
      <c r="O13" s="3148">
        <f t="shared" si="5"/>
        <v>1.0800000000000001E-2</v>
      </c>
      <c r="P13" s="3148">
        <f t="shared" si="25"/>
        <v>1E-4</v>
      </c>
      <c r="Q13" s="3157"/>
      <c r="R13" s="3159">
        <f>ROUND(IF(项目基本情况!$B$8="出让",SUMPRODUCT(PRODUCT(1+K13:$K$18)),SUMPRODUCT(PRODUCT(1+K13:$K$17))),4)</f>
        <v>1.0430999999999999</v>
      </c>
      <c r="S13" s="3159">
        <f>ROUND(IF(项目基本情况!$B$8="出让",SUMPRODUCT(PRODUCT(1+L13:$L$18)),SUMPRODUCT(PRODUCT(1+L13:$L$17))),4)</f>
        <v>1.0197000000000001</v>
      </c>
      <c r="T13" s="3159">
        <f>ROUND(IF(项目基本情况!$B$8="出让",SUMPRODUCT(PRODUCT(1+M13:$M$18)),SUMPRODUCT(PRODUCT(1+M13:$M$17))),4)</f>
        <v>1.0109999999999999</v>
      </c>
      <c r="U13" s="3159">
        <f>ROUND(IF(项目基本情况!$B$8="出让",SUMPRODUCT(PRODUCT(1+N13:$N$18)),SUMPRODUCT(PRODUCT(1+N13:$N$17))),4)</f>
        <v>1.0468999999999999</v>
      </c>
      <c r="V13" s="3159">
        <f>ROUND(IF(项目基本情况!$B$8="出让",SUMPRODUCT(PRODUCT(1+O13:$O$18)),SUMPRODUCT(PRODUCT(1+O13:$O$17))),4)</f>
        <v>1.0382</v>
      </c>
      <c r="W13" s="3159">
        <f t="shared" si="24"/>
        <v>1.0109999999999999</v>
      </c>
      <c r="X13" s="3157"/>
      <c r="Y13" s="3160">
        <f>IF(D13=0,0,ROUND(AVERAGE(D13:D18)/100,4))</f>
        <v>8.6999999999999994E-3</v>
      </c>
      <c r="Z13" s="3160">
        <f t="shared" ref="Z13:AC13" si="28">IF(E13=0,0,ROUND(AVERAGE(E13:E18)/100,4))</f>
        <v>3.5000000000000001E-3</v>
      </c>
      <c r="AA13" s="3160">
        <f t="shared" si="28"/>
        <v>1.4E-3</v>
      </c>
      <c r="AB13" s="3160">
        <f t="shared" si="28"/>
        <v>9.4999999999999998E-3</v>
      </c>
      <c r="AC13" s="3160">
        <f t="shared" si="28"/>
        <v>6.8999999999999999E-3</v>
      </c>
      <c r="AD13" s="3160">
        <f t="shared" si="7"/>
        <v>1.4E-3</v>
      </c>
    </row>
    <row r="14" spans="1:30" s="3161" customFormat="1" ht="12.75">
      <c r="A14" s="3152" t="s">
        <v>2801</v>
      </c>
      <c r="B14" s="3153">
        <v>2022</v>
      </c>
      <c r="C14" s="3154">
        <v>1</v>
      </c>
      <c r="D14" s="3155">
        <v>0.89</v>
      </c>
      <c r="E14" s="3155">
        <v>0.44</v>
      </c>
      <c r="F14" s="3155">
        <v>0.37</v>
      </c>
      <c r="G14" s="3155">
        <v>0.96</v>
      </c>
      <c r="H14" s="3172">
        <v>0.64</v>
      </c>
      <c r="I14" s="3156">
        <f t="shared" si="4"/>
        <v>0.37</v>
      </c>
      <c r="J14" s="3157"/>
      <c r="K14" s="3158">
        <f t="shared" si="5"/>
        <v>8.8999999999999999E-3</v>
      </c>
      <c r="L14" s="3148">
        <f t="shared" si="5"/>
        <v>4.4000000000000003E-3</v>
      </c>
      <c r="M14" s="3148">
        <f t="shared" si="5"/>
        <v>3.7000000000000002E-3</v>
      </c>
      <c r="N14" s="3148">
        <f t="shared" si="5"/>
        <v>9.5999999999999992E-3</v>
      </c>
      <c r="O14" s="3148">
        <f t="shared" si="5"/>
        <v>6.4000000000000003E-3</v>
      </c>
      <c r="P14" s="3148">
        <f t="shared" si="25"/>
        <v>3.7000000000000002E-3</v>
      </c>
      <c r="Q14" s="3157"/>
      <c r="R14" s="3159">
        <f>ROUND(IF(项目基本情况!$B$8="出让",SUMPRODUCT(PRODUCT(1+K14:$K$18)),SUMPRODUCT(PRODUCT(1+K14:$K$17))),4)</f>
        <v>1.0335000000000001</v>
      </c>
      <c r="S14" s="3159">
        <f>ROUND(IF(项目基本情况!$B$8="出让",SUMPRODUCT(PRODUCT(1+L14:$L$18)),SUMPRODUCT(PRODUCT(1+L14:$L$17))),4)</f>
        <v>1.0182</v>
      </c>
      <c r="T14" s="3159">
        <f>ROUND(IF(项目基本情况!$B$8="出让",SUMPRODUCT(PRODUCT(1+M14:$M$18)),SUMPRODUCT(PRODUCT(1+M14:$M$17))),4)</f>
        <v>1.0108999999999999</v>
      </c>
      <c r="U14" s="3159">
        <f>ROUND(IF(项目基本情况!$B$8="出让",SUMPRODUCT(PRODUCT(1+N14:$N$18)),SUMPRODUCT(PRODUCT(1+N14:$N$17))),4)</f>
        <v>1.0361</v>
      </c>
      <c r="V14" s="3159">
        <f>ROUND(IF(项目基本情况!$B$8="出让",SUMPRODUCT(PRODUCT(1+O14:$O$18)),SUMPRODUCT(PRODUCT(1+O14:$O$17))),4)</f>
        <v>1.0270999999999999</v>
      </c>
      <c r="W14" s="3159">
        <f t="shared" si="24"/>
        <v>1.0108999999999999</v>
      </c>
      <c r="X14" s="3157"/>
      <c r="Y14" s="3160">
        <f>IF(D14=0,0,ROUND(AVERAGE(D14:D18)/100,4))</f>
        <v>8.6E-3</v>
      </c>
      <c r="Z14" s="3160">
        <f t="shared" ref="Z14:AC14" si="29">IF(E14=0,0,ROUND(AVERAGE(E14:E18)/100,4))</f>
        <v>3.8999999999999998E-3</v>
      </c>
      <c r="AA14" s="3160">
        <f t="shared" si="29"/>
        <v>1.6999999999999999E-3</v>
      </c>
      <c r="AB14" s="3160">
        <f t="shared" si="29"/>
        <v>9.2999999999999992E-3</v>
      </c>
      <c r="AC14" s="3160">
        <f t="shared" si="29"/>
        <v>6.1000000000000004E-3</v>
      </c>
      <c r="AD14" s="3160">
        <f t="shared" si="7"/>
        <v>1.6999999999999999E-3</v>
      </c>
    </row>
    <row r="15" spans="1:30" s="3161" customFormat="1" ht="12.75">
      <c r="A15" s="3152" t="s">
        <v>2802</v>
      </c>
      <c r="B15" s="3153">
        <v>2021</v>
      </c>
      <c r="C15" s="3154">
        <v>4</v>
      </c>
      <c r="D15" s="3155">
        <v>1.03</v>
      </c>
      <c r="E15" s="3155">
        <v>0.24</v>
      </c>
      <c r="F15" s="3155">
        <v>7.0000000000000007E-2</v>
      </c>
      <c r="G15" s="3155">
        <v>1.17</v>
      </c>
      <c r="H15" s="3172">
        <v>0.55000000000000004</v>
      </c>
      <c r="I15" s="3156">
        <f t="shared" si="4"/>
        <v>7.0000000000000007E-2</v>
      </c>
      <c r="J15" s="3157"/>
      <c r="K15" s="3158">
        <f t="shared" si="5"/>
        <v>1.03E-2</v>
      </c>
      <c r="L15" s="3148">
        <f t="shared" si="5"/>
        <v>2.3999999999999998E-3</v>
      </c>
      <c r="M15" s="3148">
        <f t="shared" si="5"/>
        <v>7.000000000000001E-4</v>
      </c>
      <c r="N15" s="3148">
        <f t="shared" si="5"/>
        <v>1.1699999999999999E-2</v>
      </c>
      <c r="O15" s="3148">
        <f t="shared" si="5"/>
        <v>5.5000000000000005E-3</v>
      </c>
      <c r="P15" s="3148">
        <f t="shared" si="25"/>
        <v>7.000000000000001E-4</v>
      </c>
      <c r="Q15" s="3157"/>
      <c r="R15" s="3159">
        <f>ROUND(IF(项目基本情况!$B$8="出让",SUMPRODUCT(PRODUCT(1+K15:$K$18)),SUMPRODUCT(PRODUCT(1+K15:$K$17))),4)</f>
        <v>1.0244</v>
      </c>
      <c r="S15" s="3159">
        <f>ROUND(IF(项目基本情况!$B$8="出让",SUMPRODUCT(PRODUCT(1+L15:$L$18)),SUMPRODUCT(PRODUCT(1+L15:$L$17))),4)</f>
        <v>1.0138</v>
      </c>
      <c r="T15" s="3159">
        <f>ROUND(IF(项目基本情况!$B$8="出让",SUMPRODUCT(PRODUCT(1+M15:$M$18)),SUMPRODUCT(PRODUCT(1+M15:$M$17))),4)</f>
        <v>1.0072000000000001</v>
      </c>
      <c r="U15" s="3159">
        <f>ROUND(IF(项目基本情况!$B$8="出让",SUMPRODUCT(PRODUCT(1+N15:$N$18)),SUMPRODUCT(PRODUCT(1+N15:$N$17))),4)</f>
        <v>1.0262</v>
      </c>
      <c r="V15" s="3159">
        <f>ROUND(IF(项目基本情况!$B$8="出让",SUMPRODUCT(PRODUCT(1+O15:$O$18)),SUMPRODUCT(PRODUCT(1+O15:$O$17))),4)</f>
        <v>1.0205</v>
      </c>
      <c r="W15" s="3159">
        <f t="shared" si="24"/>
        <v>1.0072000000000001</v>
      </c>
      <c r="X15" s="3157"/>
      <c r="Y15" s="3160">
        <f>IF(D15=0,0,ROUND(AVERAGE(D15:D18)/100,4))</f>
        <v>8.5000000000000006E-3</v>
      </c>
      <c r="Z15" s="3160">
        <f t="shared" ref="Z15:AC15" si="30">IF(E15=0,0,ROUND(AVERAGE(E15:E18)/100,4))</f>
        <v>3.8E-3</v>
      </c>
      <c r="AA15" s="3160">
        <f t="shared" si="30"/>
        <v>1.1999999999999999E-3</v>
      </c>
      <c r="AB15" s="3160">
        <f t="shared" si="30"/>
        <v>9.2999999999999992E-3</v>
      </c>
      <c r="AC15" s="3160">
        <f t="shared" si="30"/>
        <v>6.0000000000000001E-3</v>
      </c>
      <c r="AD15" s="3160">
        <f t="shared" si="7"/>
        <v>1.1999999999999999E-3</v>
      </c>
    </row>
    <row r="16" spans="1:30" s="3161" customFormat="1" ht="12.75">
      <c r="A16" s="3152" t="s">
        <v>2803</v>
      </c>
      <c r="B16" s="3153">
        <v>2021</v>
      </c>
      <c r="C16" s="3154">
        <v>3</v>
      </c>
      <c r="D16" s="3155">
        <v>0.47</v>
      </c>
      <c r="E16" s="3155">
        <v>0.41</v>
      </c>
      <c r="F16" s="3155">
        <v>0.24</v>
      </c>
      <c r="G16" s="3155">
        <v>0.48</v>
      </c>
      <c r="H16" s="3172">
        <v>0.48</v>
      </c>
      <c r="I16" s="3156">
        <f t="shared" si="4"/>
        <v>0.24</v>
      </c>
      <c r="J16" s="3157"/>
      <c r="K16" s="3158">
        <f t="shared" si="5"/>
        <v>4.6999999999999993E-3</v>
      </c>
      <c r="L16" s="3148">
        <f t="shared" si="5"/>
        <v>4.0999999999999995E-3</v>
      </c>
      <c r="M16" s="3148">
        <f t="shared" si="5"/>
        <v>2.3999999999999998E-3</v>
      </c>
      <c r="N16" s="3148">
        <f t="shared" si="5"/>
        <v>4.7999999999999996E-3</v>
      </c>
      <c r="O16" s="3148">
        <f t="shared" si="5"/>
        <v>4.7999999999999996E-3</v>
      </c>
      <c r="P16" s="3148">
        <f t="shared" si="25"/>
        <v>2.3999999999999998E-3</v>
      </c>
      <c r="Q16" s="3157"/>
      <c r="R16" s="3159">
        <f>ROUND(IF(项目基本情况!$B$8="出让",SUMPRODUCT(PRODUCT(1+K16:$K$18)),SUMPRODUCT(PRODUCT(1+K16:$K$17))),4)</f>
        <v>1.0139</v>
      </c>
      <c r="S16" s="3159">
        <f>ROUND(IF(项目基本情况!$B$8="出让",SUMPRODUCT(PRODUCT(1+L16:$L$18)),SUMPRODUCT(PRODUCT(1+L16:$L$17))),4)</f>
        <v>1.0113000000000001</v>
      </c>
      <c r="T16" s="3159">
        <f>ROUND(IF(项目基本情况!$B$8="出让",SUMPRODUCT(PRODUCT(1+M16:$M$18)),SUMPRODUCT(PRODUCT(1+M16:$M$17))),4)</f>
        <v>1.0065</v>
      </c>
      <c r="U16" s="3159">
        <f>ROUND(IF(项目基本情况!$B$8="出让",SUMPRODUCT(PRODUCT(1+N16:$N$18)),SUMPRODUCT(PRODUCT(1+N16:$N$17))),4)</f>
        <v>1.0143</v>
      </c>
      <c r="V16" s="3159">
        <f>ROUND(IF(项目基本情况!$B$8="出让",SUMPRODUCT(PRODUCT(1+O16:$O$18)),SUMPRODUCT(PRODUCT(1+O16:$O$17))),4)</f>
        <v>1.0148999999999999</v>
      </c>
      <c r="W16" s="3159">
        <f t="shared" si="24"/>
        <v>1.0065</v>
      </c>
      <c r="X16" s="3157"/>
      <c r="Y16" s="3160">
        <f>IF(D16=0,0,ROUND(AVERAGE(D16:D18)/100,4))</f>
        <v>7.9000000000000008E-3</v>
      </c>
      <c r="Z16" s="3160">
        <f>IF(E16=0,0,ROUND(AVERAGE(E16:E18)/100,4))</f>
        <v>4.3E-3</v>
      </c>
      <c r="AA16" s="3160">
        <f>IF(F16=0,0,ROUND(AVERAGE(F16:F18)/100,4))</f>
        <v>1.2999999999999999E-3</v>
      </c>
      <c r="AB16" s="3160">
        <f>IF(G16=0,0,ROUND(AVERAGE(G16:G18)/100,4))</f>
        <v>8.5000000000000006E-3</v>
      </c>
      <c r="AC16" s="3160">
        <f>IF(H16=0,0,ROUND(AVERAGE(H16:H18)/100,4))</f>
        <v>6.1999999999999998E-3</v>
      </c>
      <c r="AD16" s="3160">
        <f t="shared" si="7"/>
        <v>1.2999999999999999E-3</v>
      </c>
    </row>
    <row r="17" spans="1:30" s="3161" customFormat="1" ht="12.75">
      <c r="A17" s="3152" t="s">
        <v>2804</v>
      </c>
      <c r="B17" s="3153">
        <v>2021</v>
      </c>
      <c r="C17" s="3154">
        <v>2</v>
      </c>
      <c r="D17" s="3155">
        <v>0.92</v>
      </c>
      <c r="E17" s="3155">
        <v>0.72</v>
      </c>
      <c r="F17" s="3155">
        <v>0.41</v>
      </c>
      <c r="G17" s="3155">
        <v>0.95</v>
      </c>
      <c r="H17" s="3172">
        <v>1.01</v>
      </c>
      <c r="I17" s="3156">
        <f t="shared" si="4"/>
        <v>0.41</v>
      </c>
      <c r="J17" s="3157"/>
      <c r="K17" s="3158">
        <f t="shared" si="5"/>
        <v>9.1999999999999998E-3</v>
      </c>
      <c r="L17" s="3148">
        <f t="shared" si="5"/>
        <v>7.1999999999999998E-3</v>
      </c>
      <c r="M17" s="3148">
        <f t="shared" si="5"/>
        <v>4.0999999999999995E-3</v>
      </c>
      <c r="N17" s="3148">
        <f t="shared" si="5"/>
        <v>9.4999999999999998E-3</v>
      </c>
      <c r="O17" s="3148">
        <f t="shared" si="5"/>
        <v>1.01E-2</v>
      </c>
      <c r="P17" s="3148">
        <f t="shared" si="25"/>
        <v>4.0999999999999995E-3</v>
      </c>
      <c r="Q17" s="3157"/>
      <c r="R17" s="3159">
        <f>ROUND(IF(项目基本情况!$B$8="出让",SUMPRODUCT(PRODUCT(1+K17:$K$18)),SUMPRODUCT(PRODUCT(1+K17:$K$17))),4)</f>
        <v>1.0092000000000001</v>
      </c>
      <c r="S17" s="3159">
        <f>ROUND(IF(项目基本情况!$B$8="出让",SUMPRODUCT(PRODUCT(1+L17:$L$18)),SUMPRODUCT(PRODUCT(1+L17:$L$17))),4)</f>
        <v>1.0072000000000001</v>
      </c>
      <c r="T17" s="3159">
        <f>ROUND(IF(项目基本情况!$B$8="出让",SUMPRODUCT(PRODUCT(1+M17:$M$18)),SUMPRODUCT(PRODUCT(1+M17:$M$17))),4)</f>
        <v>1.0041</v>
      </c>
      <c r="U17" s="3159">
        <f>ROUND(IF(项目基本情况!$B$8="出让",SUMPRODUCT(PRODUCT(1+N17:$N$18)),SUMPRODUCT(PRODUCT(1+N17:$N$17))),4)</f>
        <v>1.0095000000000001</v>
      </c>
      <c r="V17" s="3159">
        <f>ROUND(IF(项目基本情况!$B$8="出让",SUMPRODUCT(PRODUCT(1+O17:$O$18)),SUMPRODUCT(PRODUCT(1+O17:$O$17))),4)</f>
        <v>1.0101</v>
      </c>
      <c r="W17" s="3159">
        <f t="shared" si="24"/>
        <v>1.0041</v>
      </c>
      <c r="X17" s="3157"/>
      <c r="Y17" s="3160">
        <f>IF(D17=0,0,ROUND(AVERAGE(D17:D18)/100,4))</f>
        <v>9.4999999999999998E-3</v>
      </c>
      <c r="Z17" s="3160">
        <f>IF(E17=0,0,ROUND(AVERAGE(E17:E18)/100,4))</f>
        <v>4.4000000000000003E-3</v>
      </c>
      <c r="AA17" s="3160">
        <f>IF(F17=0,0,ROUND(AVERAGE(F17:F18)/100,4))</f>
        <v>8.0000000000000004E-4</v>
      </c>
      <c r="AB17" s="3160">
        <f>IF(G17=0,0,ROUND(AVERAGE(G17:G18)/100,4))</f>
        <v>1.03E-2</v>
      </c>
      <c r="AC17" s="3160">
        <f>IF(H17=0,0,ROUND(AVERAGE(H17:H18)/100,4))</f>
        <v>6.8999999999999999E-3</v>
      </c>
      <c r="AD17" s="3160">
        <f t="shared" si="7"/>
        <v>8.0000000000000004E-4</v>
      </c>
    </row>
    <row r="18" spans="1:30" s="3183" customFormat="1" thickBot="1">
      <c r="A18" s="3173" t="s">
        <v>2805</v>
      </c>
      <c r="B18" s="3174">
        <v>2021</v>
      </c>
      <c r="C18" s="3175">
        <v>1</v>
      </c>
      <c r="D18" s="3176">
        <v>0.97</v>
      </c>
      <c r="E18" s="3176">
        <v>0.16</v>
      </c>
      <c r="F18" s="3176">
        <v>-0.25</v>
      </c>
      <c r="G18" s="3176">
        <v>1.1100000000000001</v>
      </c>
      <c r="H18" s="3177">
        <v>0.36</v>
      </c>
      <c r="I18" s="3178">
        <f t="shared" si="4"/>
        <v>-0.25</v>
      </c>
      <c r="J18" s="3179"/>
      <c r="K18" s="3180">
        <f t="shared" si="5"/>
        <v>9.7000000000000003E-3</v>
      </c>
      <c r="L18" s="3181">
        <f t="shared" si="5"/>
        <v>1.6000000000000001E-3</v>
      </c>
      <c r="M18" s="3181">
        <f>F18/100</f>
        <v>-2.5000000000000001E-3</v>
      </c>
      <c r="N18" s="3181">
        <f t="shared" si="5"/>
        <v>1.11E-2</v>
      </c>
      <c r="O18" s="3181">
        <f t="shared" si="5"/>
        <v>3.5999999999999999E-3</v>
      </c>
      <c r="P18" s="3181">
        <f t="shared" si="25"/>
        <v>-2.5000000000000001E-3</v>
      </c>
      <c r="Q18" s="3179"/>
      <c r="R18" s="3182">
        <v>1</v>
      </c>
      <c r="S18" s="3182">
        <v>1</v>
      </c>
      <c r="T18" s="3182">
        <v>1</v>
      </c>
      <c r="U18" s="3182">
        <v>1</v>
      </c>
      <c r="V18" s="3182">
        <v>1</v>
      </c>
      <c r="W18" s="3182">
        <f t="shared" ref="W18" si="31">T18</f>
        <v>1</v>
      </c>
      <c r="X18" s="3179"/>
      <c r="Y18" s="3181">
        <f>IF(D18=0,0,ROUND(AVERAGE(D18:D18)/100,4))</f>
        <v>9.7000000000000003E-3</v>
      </c>
      <c r="Z18" s="3181">
        <f>IF(E18=0,0,ROUND(AVERAGE(E18:E18)/100,4))</f>
        <v>1.6000000000000001E-3</v>
      </c>
      <c r="AA18" s="3181">
        <f>IF(F18=0,0,ROUND(AVERAGE(F18:F18)/100,4))</f>
        <v>-2.5000000000000001E-3</v>
      </c>
      <c r="AB18" s="3181">
        <f>IF(G18=0,0,ROUND(AVERAGE(G18:G18)/100,4))</f>
        <v>1.11E-2</v>
      </c>
      <c r="AC18" s="3181">
        <f>IF(H18=0,0,ROUND(AVERAGE(H18:H18)/100,4))</f>
        <v>3.5999999999999999E-3</v>
      </c>
      <c r="AD18" s="3181">
        <f>AA18</f>
        <v>-2.5000000000000001E-3</v>
      </c>
    </row>
    <row r="19" spans="1:30" s="2985" customFormat="1" ht="14.25" thickTop="1"/>
    <row r="20" spans="1:30" s="2985" customFormat="1">
      <c r="A20" s="3424" t="s">
        <v>3347</v>
      </c>
    </row>
    <row r="21" spans="1:30" s="2985" customFormat="1">
      <c r="I21" s="3184" t="s">
        <v>2806</v>
      </c>
    </row>
    <row r="22" spans="1:30" s="2985" customFormat="1"/>
    <row r="23" spans="1:30" s="3185" customFormat="1" ht="12.75">
      <c r="B23" s="3186" t="s">
        <v>3353</v>
      </c>
      <c r="C23" s="3187"/>
      <c r="D23" s="3187"/>
      <c r="E23" s="3187"/>
      <c r="F23" s="3187"/>
      <c r="G23" s="3187"/>
      <c r="H23" s="3187"/>
      <c r="I23" s="3187"/>
      <c r="J23" s="3141"/>
      <c r="K23" s="3187" t="s">
        <v>2807</v>
      </c>
      <c r="L23" s="3187"/>
      <c r="M23" s="3187"/>
      <c r="N23" s="3187"/>
      <c r="O23" s="3187"/>
      <c r="P23" s="3187"/>
      <c r="Q23" s="3141"/>
      <c r="R23" s="3909" t="s">
        <v>2808</v>
      </c>
      <c r="S23" s="3910"/>
      <c r="T23" s="3910"/>
      <c r="U23" s="3910"/>
      <c r="V23" s="3910"/>
      <c r="W23" s="3910"/>
      <c r="X23" s="3141"/>
      <c r="Y23" s="3909" t="s">
        <v>2809</v>
      </c>
      <c r="Z23" s="3910"/>
      <c r="AA23" s="3910"/>
      <c r="AB23" s="3910"/>
      <c r="AC23" s="3910"/>
      <c r="AD23" s="3910"/>
    </row>
    <row r="24" spans="1:30" s="3119" customFormat="1" ht="14.25" thickBot="1">
      <c r="B24" s="3120"/>
      <c r="C24" s="3121"/>
      <c r="D24" s="3122" t="s">
        <v>2810</v>
      </c>
      <c r="E24" s="3123" t="s">
        <v>2811</v>
      </c>
      <c r="F24" s="3123" t="s">
        <v>2812</v>
      </c>
      <c r="G24" s="3123" t="s">
        <v>2813</v>
      </c>
      <c r="H24" s="3123"/>
      <c r="I24" s="3123" t="s">
        <v>2814</v>
      </c>
      <c r="J24" s="3124"/>
      <c r="K24" s="3122" t="s">
        <v>2810</v>
      </c>
      <c r="L24" s="3123" t="s">
        <v>2811</v>
      </c>
      <c r="M24" s="3123" t="s">
        <v>2812</v>
      </c>
      <c r="N24" s="3123" t="s">
        <v>2813</v>
      </c>
      <c r="O24" s="3123"/>
      <c r="P24" s="3123" t="s">
        <v>2814</v>
      </c>
      <c r="Q24" s="3124"/>
      <c r="R24" s="3122" t="s">
        <v>2810</v>
      </c>
      <c r="S24" s="3123" t="s">
        <v>2811</v>
      </c>
      <c r="T24" s="3123" t="s">
        <v>2812</v>
      </c>
      <c r="U24" s="3123" t="s">
        <v>2813</v>
      </c>
      <c r="V24" s="3123"/>
      <c r="W24" s="3123" t="s">
        <v>2814</v>
      </c>
      <c r="X24" s="3124"/>
      <c r="Y24" s="3122" t="s">
        <v>2810</v>
      </c>
      <c r="Z24" s="3123" t="s">
        <v>2811</v>
      </c>
      <c r="AA24" s="3123" t="s">
        <v>2812</v>
      </c>
      <c r="AB24" s="3123" t="s">
        <v>2813</v>
      </c>
      <c r="AC24" s="3123"/>
      <c r="AD24" s="3123" t="s">
        <v>2814</v>
      </c>
    </row>
    <row r="25" spans="1:30" s="3137" customFormat="1" ht="12.75">
      <c r="A25" s="3125" t="s">
        <v>2815</v>
      </c>
      <c r="B25" s="3126"/>
      <c r="C25" s="3127"/>
      <c r="D25" s="3127"/>
      <c r="E25" s="3127">
        <f t="shared" ref="E25:G25" si="32">ROUND(AVERAGEIF(E26:E40,"&lt;&gt;0"),2)</f>
        <v>0.39</v>
      </c>
      <c r="F25" s="3127">
        <f t="shared" si="32"/>
        <v>0.28000000000000003</v>
      </c>
      <c r="G25" s="3127">
        <f t="shared" si="32"/>
        <v>0.67</v>
      </c>
      <c r="H25" s="3127"/>
      <c r="I25" s="3127">
        <f>F25</f>
        <v>0.28000000000000003</v>
      </c>
      <c r="J25" s="3128"/>
      <c r="K25" s="3129"/>
      <c r="L25" s="3130">
        <f t="shared" ref="L25:N25" si="33">ROUND(AVERAGEIF(L26:L40,"&lt;&gt;0"),4)</f>
        <v>3.8999999999999998E-3</v>
      </c>
      <c r="M25" s="3130">
        <f t="shared" si="33"/>
        <v>2.8E-3</v>
      </c>
      <c r="N25" s="3130">
        <f t="shared" si="33"/>
        <v>6.7000000000000002E-3</v>
      </c>
      <c r="O25" s="3130"/>
      <c r="P25" s="3130">
        <f>M25</f>
        <v>2.8E-3</v>
      </c>
      <c r="Q25" s="3128"/>
      <c r="R25" s="3131"/>
      <c r="S25" s="3132">
        <f>ROUND(SUMPRODUCT(PRODUCT(1+L26:L40)),4)</f>
        <v>1.0476000000000001</v>
      </c>
      <c r="T25" s="3132">
        <f t="shared" ref="T25:U25" si="34">ROUND(SUMPRODUCT(PRODUCT(1+M26:M40)),4)</f>
        <v>1.0346</v>
      </c>
      <c r="U25" s="3132">
        <f t="shared" si="34"/>
        <v>1.0831999999999999</v>
      </c>
      <c r="V25" s="3132"/>
      <c r="W25" s="3131">
        <f>T25</f>
        <v>1.0346</v>
      </c>
      <c r="X25" s="3128"/>
      <c r="Y25" s="3133"/>
      <c r="Z25" s="3134">
        <f t="shared" ref="Z25:AB25" si="35">ROUND(AVERAGEIF(Z26:Z40,"&lt;&gt;0"),4)</f>
        <v>4.3E-3</v>
      </c>
      <c r="AA25" s="3135">
        <f t="shared" si="35"/>
        <v>3.5999999999999999E-3</v>
      </c>
      <c r="AB25" s="3133">
        <f t="shared" si="35"/>
        <v>8.8999999999999999E-3</v>
      </c>
      <c r="AC25" s="3136"/>
      <c r="AD25" s="3133">
        <f>AA25</f>
        <v>3.5999999999999999E-3</v>
      </c>
    </row>
    <row r="26" spans="1:30" s="3138" customFormat="1" ht="12.75">
      <c r="B26" s="3139"/>
      <c r="C26" s="3140"/>
      <c r="D26" s="3140"/>
      <c r="E26" s="3140"/>
      <c r="F26" s="3140"/>
      <c r="G26" s="3140"/>
      <c r="H26" s="3140"/>
      <c r="I26" s="3140"/>
      <c r="J26" s="3141"/>
      <c r="K26" s="3142"/>
      <c r="L26" s="3143"/>
      <c r="M26" s="3143"/>
      <c r="N26" s="3143"/>
      <c r="O26" s="3143"/>
      <c r="P26" s="3143"/>
      <c r="Q26" s="3141"/>
      <c r="R26" s="3144"/>
      <c r="S26" s="3145"/>
      <c r="T26" s="3146"/>
      <c r="U26" s="3144"/>
      <c r="V26" s="3147"/>
      <c r="W26" s="3144"/>
      <c r="X26" s="3141"/>
      <c r="Y26" s="3148"/>
      <c r="Z26" s="3149"/>
      <c r="AA26" s="3150"/>
      <c r="AB26" s="3148"/>
      <c r="AC26" s="3151"/>
      <c r="AD26" s="3148"/>
    </row>
    <row r="27" spans="1:30" s="3161" customFormat="1" ht="12.75">
      <c r="A27" s="2205" t="s">
        <v>3355</v>
      </c>
      <c r="B27" s="3153">
        <v>2024</v>
      </c>
      <c r="C27" s="3154">
        <v>2</v>
      </c>
      <c r="D27" s="3155"/>
      <c r="E27" s="3155">
        <v>0</v>
      </c>
      <c r="F27" s="3155">
        <v>0</v>
      </c>
      <c r="G27" s="3155">
        <v>0</v>
      </c>
      <c r="H27" s="3155"/>
      <c r="I27" s="3156">
        <f t="shared" ref="I27:I40" si="36">F27</f>
        <v>0</v>
      </c>
      <c r="J27" s="3157"/>
      <c r="K27" s="3158"/>
      <c r="L27" s="3148">
        <f t="shared" ref="L27:N40" si="37">E27/100</f>
        <v>0</v>
      </c>
      <c r="M27" s="3148">
        <f t="shared" si="37"/>
        <v>0</v>
      </c>
      <c r="N27" s="3148">
        <f t="shared" si="37"/>
        <v>0</v>
      </c>
      <c r="O27" s="3148"/>
      <c r="P27" s="3148">
        <f>M27</f>
        <v>0</v>
      </c>
      <c r="Q27" s="3157"/>
      <c r="R27" s="3159"/>
      <c r="S27" s="3159">
        <f>ROUND(IF(项目基本情况!$B$8="出让",SUMPRODUCT(PRODUCT(1+L27:L$40)),SUMPRODUCT(PRODUCT(1+L27:L$39))),4)</f>
        <v>1.0439000000000001</v>
      </c>
      <c r="T27" s="3159">
        <f>ROUND(IF(项目基本情况!$B$8="出让",SUMPRODUCT(PRODUCT(1+M27:M$40)),SUMPRODUCT(PRODUCT(1+M27:M$39))),4)</f>
        <v>1.0297000000000001</v>
      </c>
      <c r="U27" s="3159">
        <f>ROUND(IF(项目基本情况!$B$8="出让",SUMPRODUCT(PRODUCT(1+N27:N$40)),SUMPRODUCT(PRODUCT(1+N27:N$39))),4)</f>
        <v>1.0727</v>
      </c>
      <c r="V27" s="3159"/>
      <c r="W27" s="3159">
        <f>T27</f>
        <v>1.0297000000000001</v>
      </c>
      <c r="X27" s="3157"/>
      <c r="Y27" s="3160"/>
      <c r="Z27" s="3188">
        <f>IF(E27=0,0,ROUND(AVERAGE(E27:E40)/100,4))</f>
        <v>0</v>
      </c>
      <c r="AA27" s="3188">
        <f>IF(F27=0,0,ROUND(AVERAGE(F27:F40)/100,4))</f>
        <v>0</v>
      </c>
      <c r="AB27" s="3188">
        <f>IF(G27=0,0,ROUND(AVERAGE(G27:G40)/100,4))</f>
        <v>0</v>
      </c>
      <c r="AC27" s="3189"/>
      <c r="AD27" s="3160">
        <f>IF(I27=0,0,ROUND(AVERAGE(I27:I40)/100,4))</f>
        <v>0</v>
      </c>
    </row>
    <row r="28" spans="1:30" s="3161" customFormat="1" ht="12.75">
      <c r="A28" s="2205" t="s">
        <v>3356</v>
      </c>
      <c r="B28" s="3153">
        <v>2024</v>
      </c>
      <c r="C28" s="3154">
        <v>1</v>
      </c>
      <c r="D28" s="3155"/>
      <c r="E28" s="3155">
        <v>0</v>
      </c>
      <c r="F28" s="3155">
        <v>0</v>
      </c>
      <c r="G28" s="3155">
        <v>0</v>
      </c>
      <c r="H28" s="3155"/>
      <c r="I28" s="3156">
        <f t="shared" ref="I28:I29" si="38">F28</f>
        <v>0</v>
      </c>
      <c r="J28" s="3157"/>
      <c r="K28" s="3158"/>
      <c r="L28" s="3148">
        <f t="shared" ref="L28" si="39">E28/100</f>
        <v>0</v>
      </c>
      <c r="M28" s="3148">
        <f t="shared" ref="M28" si="40">F28/100</f>
        <v>0</v>
      </c>
      <c r="N28" s="3148">
        <f t="shared" ref="N28" si="41">G28/100</f>
        <v>0</v>
      </c>
      <c r="O28" s="3148"/>
      <c r="P28" s="3148">
        <f t="shared" ref="P28" si="42">M28</f>
        <v>0</v>
      </c>
      <c r="Q28" s="3157"/>
      <c r="R28" s="3159"/>
      <c r="S28" s="3159">
        <f>ROUND(IF(项目基本情况!$B$8="出让",SUMPRODUCT(PRODUCT(1+L28:L$40)),SUMPRODUCT(PRODUCT(1+L28:L$39))),4)</f>
        <v>1.0439000000000001</v>
      </c>
      <c r="T28" s="3159">
        <f>ROUND(IF(项目基本情况!$B$8="出让",SUMPRODUCT(PRODUCT(1+M28:M$40)),SUMPRODUCT(PRODUCT(1+M28:M$39))),4)</f>
        <v>1.0297000000000001</v>
      </c>
      <c r="U28" s="3159">
        <f>ROUND(IF(项目基本情况!$B$8="出让",SUMPRODUCT(PRODUCT(1+N28:N$40)),SUMPRODUCT(PRODUCT(1+N28:N$39))),4)</f>
        <v>1.0727</v>
      </c>
      <c r="V28" s="3159"/>
      <c r="W28" s="3159">
        <f t="shared" ref="W28" si="43">T28</f>
        <v>1.0297000000000001</v>
      </c>
      <c r="X28" s="3157"/>
      <c r="Y28" s="3160"/>
      <c r="Z28" s="3188"/>
      <c r="AA28" s="3190"/>
      <c r="AB28" s="3160"/>
      <c r="AC28" s="3189"/>
      <c r="AD28" s="3160"/>
    </row>
    <row r="29" spans="1:30" s="3171" customFormat="1" ht="12.75">
      <c r="A29" s="3162" t="s">
        <v>3360</v>
      </c>
      <c r="B29" s="3163">
        <v>2023</v>
      </c>
      <c r="C29" s="3164">
        <v>4</v>
      </c>
      <c r="D29" s="3165"/>
      <c r="E29" s="3165">
        <v>7.0000000000000007E-2</v>
      </c>
      <c r="F29" s="3165">
        <v>0.09</v>
      </c>
      <c r="G29" s="3165">
        <v>0.03</v>
      </c>
      <c r="H29" s="3166"/>
      <c r="I29" s="3167">
        <f t="shared" si="38"/>
        <v>0.09</v>
      </c>
      <c r="J29" s="3168"/>
      <c r="K29" s="3169"/>
      <c r="L29" s="3170">
        <f t="shared" si="37"/>
        <v>7.000000000000001E-4</v>
      </c>
      <c r="M29" s="3170">
        <f t="shared" si="37"/>
        <v>8.9999999999999998E-4</v>
      </c>
      <c r="N29" s="3170">
        <f t="shared" si="37"/>
        <v>2.9999999999999997E-4</v>
      </c>
      <c r="O29" s="3170"/>
      <c r="P29" s="3170">
        <f t="shared" ref="P29" si="44">M29</f>
        <v>8.9999999999999998E-4</v>
      </c>
      <c r="Q29" s="3168"/>
      <c r="R29" s="3168"/>
      <c r="S29" s="3168">
        <f>ROUND(IF(项目基本情况!$B$8="出让",SUMPRODUCT(PRODUCT(1+L29:L$40)),SUMPRODUCT(PRODUCT(1+L29:L$39))),4)</f>
        <v>1.0439000000000001</v>
      </c>
      <c r="T29" s="3168">
        <f>ROUND(IF(项目基本情况!$B$8="出让",SUMPRODUCT(PRODUCT(1+M29:M$40)),SUMPRODUCT(PRODUCT(1+M29:M$39))),4)</f>
        <v>1.0297000000000001</v>
      </c>
      <c r="U29" s="3168">
        <f>ROUND(IF(项目基本情况!$B$8="出让",SUMPRODUCT(PRODUCT(1+N29:N$40)),SUMPRODUCT(PRODUCT(1+N29:N$39))),4)</f>
        <v>1.0727</v>
      </c>
      <c r="V29" s="3168"/>
      <c r="W29" s="3168">
        <f t="shared" ref="W29" si="45">T29</f>
        <v>1.0297000000000001</v>
      </c>
      <c r="X29" s="3168"/>
      <c r="Y29" s="3170"/>
      <c r="Z29" s="3191"/>
      <c r="AA29" s="3192"/>
      <c r="AB29" s="3170"/>
      <c r="AC29" s="3193"/>
      <c r="AD29" s="3170"/>
    </row>
    <row r="30" spans="1:30" s="3161" customFormat="1" ht="12.75">
      <c r="A30" s="3152" t="s">
        <v>3359</v>
      </c>
      <c r="B30" s="3153">
        <v>2023</v>
      </c>
      <c r="C30" s="3154">
        <v>3</v>
      </c>
      <c r="D30" s="3155"/>
      <c r="E30" s="3155">
        <v>0.35</v>
      </c>
      <c r="F30" s="3155">
        <v>0.17</v>
      </c>
      <c r="G30" s="3155">
        <v>0.52</v>
      </c>
      <c r="H30" s="3172"/>
      <c r="I30" s="3156">
        <f t="shared" si="36"/>
        <v>0.17</v>
      </c>
      <c r="J30" s="3157"/>
      <c r="K30" s="3158"/>
      <c r="L30" s="3148">
        <f t="shared" ref="L30:L32" si="46">E30/100</f>
        <v>3.4999999999999996E-3</v>
      </c>
      <c r="M30" s="3148">
        <f t="shared" ref="M30:M32" si="47">F30/100</f>
        <v>1.7000000000000001E-3</v>
      </c>
      <c r="N30" s="3148">
        <f t="shared" ref="N30:N32" si="48">G30/100</f>
        <v>5.1999999999999998E-3</v>
      </c>
      <c r="O30" s="3148"/>
      <c r="P30" s="3148">
        <f t="shared" ref="P30:P32" si="49">M30</f>
        <v>1.7000000000000001E-3</v>
      </c>
      <c r="Q30" s="3157"/>
      <c r="R30" s="3159"/>
      <c r="S30" s="3159">
        <f>ROUND(IF(项目基本情况!$B$8="出让",SUMPRODUCT(PRODUCT(1+L30:L$40)),SUMPRODUCT(PRODUCT(1+L30:L$39))),4)</f>
        <v>1.0431999999999999</v>
      </c>
      <c r="T30" s="3159">
        <f>ROUND(IF(项目基本情况!$B$8="出让",SUMPRODUCT(PRODUCT(1+M30:M$40)),SUMPRODUCT(PRODUCT(1+M30:M$39))),4)</f>
        <v>1.0286999999999999</v>
      </c>
      <c r="U30" s="3159">
        <f>ROUND(IF(项目基本情况!$B$8="出让",SUMPRODUCT(PRODUCT(1+N30:N$40)),SUMPRODUCT(PRODUCT(1+N30:N$39))),4)</f>
        <v>1.0723</v>
      </c>
      <c r="V30" s="3159"/>
      <c r="W30" s="3159">
        <f t="shared" ref="W30:W32" si="50">T30</f>
        <v>1.0286999999999999</v>
      </c>
      <c r="X30" s="3157"/>
      <c r="Y30" s="3160"/>
      <c r="Z30" s="3188"/>
      <c r="AA30" s="3190"/>
      <c r="AB30" s="3160"/>
      <c r="AC30" s="3189"/>
      <c r="AD30" s="3160"/>
    </row>
    <row r="31" spans="1:30" s="3161" customFormat="1" ht="12.75">
      <c r="A31" s="3152" t="s">
        <v>3354</v>
      </c>
      <c r="B31" s="3153">
        <v>2023</v>
      </c>
      <c r="C31" s="3154">
        <v>2</v>
      </c>
      <c r="D31" s="3155"/>
      <c r="E31" s="3155">
        <v>0.5</v>
      </c>
      <c r="F31" s="3155">
        <v>0.45</v>
      </c>
      <c r="G31" s="3155">
        <v>0.89</v>
      </c>
      <c r="H31" s="3172"/>
      <c r="I31" s="3156">
        <f t="shared" si="36"/>
        <v>0.45</v>
      </c>
      <c r="J31" s="3157"/>
      <c r="K31" s="3158"/>
      <c r="L31" s="3148">
        <f t="shared" si="46"/>
        <v>5.0000000000000001E-3</v>
      </c>
      <c r="M31" s="3148">
        <f t="shared" si="47"/>
        <v>4.5000000000000005E-3</v>
      </c>
      <c r="N31" s="3148">
        <f t="shared" si="48"/>
        <v>8.8999999999999999E-3</v>
      </c>
      <c r="O31" s="3148"/>
      <c r="P31" s="3148">
        <f t="shared" si="49"/>
        <v>4.5000000000000005E-3</v>
      </c>
      <c r="Q31" s="3157"/>
      <c r="R31" s="3159"/>
      <c r="S31" s="3159">
        <f>ROUND(IF(项目基本情况!$B$8="出让",SUMPRODUCT(PRODUCT(1+L31:L$40)),SUMPRODUCT(PRODUCT(1+L31:L$39))),4)</f>
        <v>1.0396000000000001</v>
      </c>
      <c r="T31" s="3159">
        <f>ROUND(IF(项目基本情况!$B$8="出让",SUMPRODUCT(PRODUCT(1+M31:M$40)),SUMPRODUCT(PRODUCT(1+M31:M$39))),4)</f>
        <v>1.0269999999999999</v>
      </c>
      <c r="U31" s="3159">
        <f>ROUND(IF(项目基本情况!$B$8="出让",SUMPRODUCT(PRODUCT(1+N31:N$40)),SUMPRODUCT(PRODUCT(1+N31:N$39))),4)</f>
        <v>1.0668</v>
      </c>
      <c r="V31" s="3159"/>
      <c r="W31" s="3159">
        <f t="shared" si="50"/>
        <v>1.0269999999999999</v>
      </c>
      <c r="X31" s="3157"/>
      <c r="Y31" s="3160"/>
      <c r="Z31" s="3188"/>
      <c r="AA31" s="3190"/>
      <c r="AB31" s="3160"/>
      <c r="AC31" s="3189"/>
      <c r="AD31" s="3160"/>
    </row>
    <row r="32" spans="1:30" s="3161" customFormat="1" ht="12.75">
      <c r="A32" s="3152" t="s">
        <v>3350</v>
      </c>
      <c r="B32" s="3153">
        <v>2023</v>
      </c>
      <c r="C32" s="3154">
        <v>1</v>
      </c>
      <c r="D32" s="3155"/>
      <c r="E32" s="3155">
        <v>0.55000000000000004</v>
      </c>
      <c r="F32" s="3155">
        <v>0.59</v>
      </c>
      <c r="G32" s="3155">
        <v>0.64</v>
      </c>
      <c r="H32" s="3172"/>
      <c r="I32" s="3156">
        <f t="shared" si="36"/>
        <v>0.59</v>
      </c>
      <c r="J32" s="3157"/>
      <c r="K32" s="3158"/>
      <c r="L32" s="3148">
        <f t="shared" si="46"/>
        <v>5.5000000000000005E-3</v>
      </c>
      <c r="M32" s="3148">
        <f t="shared" si="47"/>
        <v>5.8999999999999999E-3</v>
      </c>
      <c r="N32" s="3148">
        <f t="shared" si="48"/>
        <v>6.4000000000000003E-3</v>
      </c>
      <c r="O32" s="3148"/>
      <c r="P32" s="3148">
        <f t="shared" si="49"/>
        <v>5.8999999999999999E-3</v>
      </c>
      <c r="Q32" s="3157"/>
      <c r="R32" s="3159"/>
      <c r="S32" s="3159">
        <f>ROUND(IF(项目基本情况!$B$8="出让",SUMPRODUCT(PRODUCT(1+L32:L$40)),SUMPRODUCT(PRODUCT(1+L32:L$39))),4)</f>
        <v>1.0344</v>
      </c>
      <c r="T32" s="3159">
        <f>ROUND(IF(项目基本情况!$B$8="出让",SUMPRODUCT(PRODUCT(1+M32:M$40)),SUMPRODUCT(PRODUCT(1+M32:M$39))),4)</f>
        <v>1.0224</v>
      </c>
      <c r="U32" s="3159">
        <f>ROUND(IF(项目基本情况!$B$8="出让",SUMPRODUCT(PRODUCT(1+N32:N$40)),SUMPRODUCT(PRODUCT(1+N32:N$39))),4)</f>
        <v>1.0573999999999999</v>
      </c>
      <c r="V32" s="3159"/>
      <c r="W32" s="3159">
        <f t="shared" si="50"/>
        <v>1.0224</v>
      </c>
      <c r="X32" s="3157"/>
      <c r="Y32" s="3160"/>
      <c r="Z32" s="3188"/>
      <c r="AA32" s="3190"/>
      <c r="AB32" s="3160"/>
      <c r="AC32" s="3189"/>
      <c r="AD32" s="3160"/>
    </row>
    <row r="33" spans="1:30" s="3161" customFormat="1" ht="12.75">
      <c r="A33" s="3152" t="s">
        <v>3349</v>
      </c>
      <c r="B33" s="3153">
        <v>2022</v>
      </c>
      <c r="C33" s="3154">
        <v>4</v>
      </c>
      <c r="D33" s="3155"/>
      <c r="E33" s="3155">
        <v>0.45</v>
      </c>
      <c r="F33" s="3155">
        <v>0.2</v>
      </c>
      <c r="G33" s="3155">
        <v>0.38</v>
      </c>
      <c r="H33" s="3172"/>
      <c r="I33" s="3156">
        <f t="shared" si="36"/>
        <v>0.2</v>
      </c>
      <c r="J33" s="3157"/>
      <c r="K33" s="3158"/>
      <c r="L33" s="3148">
        <f t="shared" si="37"/>
        <v>4.5000000000000005E-3</v>
      </c>
      <c r="M33" s="3148">
        <f t="shared" si="37"/>
        <v>2E-3</v>
      </c>
      <c r="N33" s="3148">
        <f t="shared" si="37"/>
        <v>3.8E-3</v>
      </c>
      <c r="O33" s="3148"/>
      <c r="P33" s="3148">
        <f t="shared" ref="P33:P40" si="51">M33</f>
        <v>2E-3</v>
      </c>
      <c r="Q33" s="3157"/>
      <c r="R33" s="3159"/>
      <c r="S33" s="3159">
        <f>ROUND(IF(项目基本情况!$B$8="出让",SUMPRODUCT(PRODUCT(1+L33:L$40)),SUMPRODUCT(PRODUCT(1+L33:L$39))),4)</f>
        <v>1.0286999999999999</v>
      </c>
      <c r="T33" s="3159">
        <f>ROUND(IF(项目基本情况!$B$8="出让",SUMPRODUCT(PRODUCT(1+M33:M$40)),SUMPRODUCT(PRODUCT(1+M33:M$39))),4)</f>
        <v>1.0164</v>
      </c>
      <c r="U33" s="3159">
        <f>ROUND(IF(项目基本情况!$B$8="出让",SUMPRODUCT(PRODUCT(1+N33:N$40)),SUMPRODUCT(PRODUCT(1+N33:N$39))),4)</f>
        <v>1.0506</v>
      </c>
      <c r="V33" s="3159"/>
      <c r="W33" s="3159">
        <f t="shared" ref="W33:W40" si="52">T33</f>
        <v>1.0164</v>
      </c>
      <c r="X33" s="3157"/>
      <c r="Y33" s="3160"/>
      <c r="Z33" s="3188">
        <f t="shared" ref="Z33:AD40" si="53">IF(E33=0,0,ROUND(AVERAGE(E33:E41)/100,4))</f>
        <v>4.0000000000000001E-3</v>
      </c>
      <c r="AA33" s="3190">
        <f t="shared" si="53"/>
        <v>2.5999999999999999E-3</v>
      </c>
      <c r="AB33" s="3160">
        <f t="shared" si="53"/>
        <v>7.4000000000000003E-3</v>
      </c>
      <c r="AC33" s="3189"/>
      <c r="AD33" s="3160">
        <f t="shared" si="53"/>
        <v>2.5999999999999999E-3</v>
      </c>
    </row>
    <row r="34" spans="1:30" s="3161" customFormat="1" ht="12.75">
      <c r="A34" s="3152" t="s">
        <v>3346</v>
      </c>
      <c r="B34" s="3153">
        <v>2022</v>
      </c>
      <c r="C34" s="3154">
        <v>3</v>
      </c>
      <c r="D34" s="3155"/>
      <c r="E34" s="3155">
        <v>0.3</v>
      </c>
      <c r="F34" s="3155">
        <v>0.28999999999999998</v>
      </c>
      <c r="G34" s="3155">
        <v>0.83</v>
      </c>
      <c r="H34" s="3172"/>
      <c r="I34" s="3156">
        <f t="shared" si="36"/>
        <v>0.28999999999999998</v>
      </c>
      <c r="J34" s="3157"/>
      <c r="K34" s="3158"/>
      <c r="L34" s="3148">
        <f t="shared" si="37"/>
        <v>3.0000000000000001E-3</v>
      </c>
      <c r="M34" s="3148">
        <f t="shared" si="37"/>
        <v>2.8999999999999998E-3</v>
      </c>
      <c r="N34" s="3148">
        <f t="shared" si="37"/>
        <v>8.3000000000000001E-3</v>
      </c>
      <c r="O34" s="3148"/>
      <c r="P34" s="3148">
        <f t="shared" si="51"/>
        <v>2.8999999999999998E-3</v>
      </c>
      <c r="Q34" s="3157"/>
      <c r="R34" s="3159"/>
      <c r="S34" s="3159">
        <f>ROUND(IF(项目基本情况!$B$8="出让",SUMPRODUCT(PRODUCT(1+L34:L$40)),SUMPRODUCT(PRODUCT(1+L34:L$39))),4)</f>
        <v>1.0241</v>
      </c>
      <c r="T34" s="3159">
        <f>ROUND(IF(项目基本情况!$B$8="出让",SUMPRODUCT(PRODUCT(1+M34:M$40)),SUMPRODUCT(PRODUCT(1+M34:M$39))),4)</f>
        <v>1.0144</v>
      </c>
      <c r="U34" s="3159">
        <f>ROUND(IF(项目基本情况!$B$8="出让",SUMPRODUCT(PRODUCT(1+N34:N$40)),SUMPRODUCT(PRODUCT(1+N34:N$39))),4)</f>
        <v>1.0467</v>
      </c>
      <c r="V34" s="3159"/>
      <c r="W34" s="3159">
        <f t="shared" si="52"/>
        <v>1.0144</v>
      </c>
      <c r="X34" s="3157"/>
      <c r="Y34" s="3160"/>
      <c r="Z34" s="3188">
        <f t="shared" si="53"/>
        <v>3.8999999999999998E-3</v>
      </c>
      <c r="AA34" s="3190">
        <f t="shared" si="53"/>
        <v>2.7000000000000001E-3</v>
      </c>
      <c r="AB34" s="3160">
        <f t="shared" si="53"/>
        <v>7.9000000000000008E-3</v>
      </c>
      <c r="AC34" s="3189"/>
      <c r="AD34" s="3160">
        <f t="shared" si="53"/>
        <v>2.7000000000000001E-3</v>
      </c>
    </row>
    <row r="35" spans="1:30" s="3161" customFormat="1" ht="12.75">
      <c r="A35" s="3152" t="s">
        <v>3336</v>
      </c>
      <c r="B35" s="3153">
        <v>2022</v>
      </c>
      <c r="C35" s="3154">
        <v>2</v>
      </c>
      <c r="D35" s="3155"/>
      <c r="E35" s="3155">
        <v>-0.11</v>
      </c>
      <c r="F35" s="3155">
        <v>-0.13</v>
      </c>
      <c r="G35" s="3155">
        <v>0.53</v>
      </c>
      <c r="H35" s="3172"/>
      <c r="I35" s="3156">
        <f t="shared" si="36"/>
        <v>-0.13</v>
      </c>
      <c r="J35" s="3157"/>
      <c r="K35" s="3158"/>
      <c r="L35" s="3148">
        <f t="shared" si="37"/>
        <v>-1.1000000000000001E-3</v>
      </c>
      <c r="M35" s="3148">
        <f t="shared" si="37"/>
        <v>-1.2999999999999999E-3</v>
      </c>
      <c r="N35" s="3148">
        <f t="shared" si="37"/>
        <v>5.3E-3</v>
      </c>
      <c r="O35" s="3148"/>
      <c r="P35" s="3148">
        <f t="shared" si="51"/>
        <v>-1.2999999999999999E-3</v>
      </c>
      <c r="Q35" s="3157"/>
      <c r="R35" s="3159"/>
      <c r="S35" s="3159">
        <f>ROUND(IF(项目基本情况!$B$8="出让",SUMPRODUCT(PRODUCT(1+L35:L$40)),SUMPRODUCT(PRODUCT(1+L35:L$39))),4)</f>
        <v>1.0210999999999999</v>
      </c>
      <c r="T35" s="3159">
        <f>ROUND(IF(项目基本情况!$B$8="出让",SUMPRODUCT(PRODUCT(1+M35:M$40)),SUMPRODUCT(PRODUCT(1+M35:M$39))),4)</f>
        <v>1.0114000000000001</v>
      </c>
      <c r="U35" s="3159">
        <f>ROUND(IF(项目基本情况!$B$8="出让",SUMPRODUCT(PRODUCT(1+N35:N$40)),SUMPRODUCT(PRODUCT(1+N35:N$39))),4)</f>
        <v>1.0381</v>
      </c>
      <c r="V35" s="3159"/>
      <c r="W35" s="3159">
        <f t="shared" si="52"/>
        <v>1.0114000000000001</v>
      </c>
      <c r="X35" s="3157"/>
      <c r="Y35" s="3160"/>
      <c r="Z35" s="3188">
        <f t="shared" si="53"/>
        <v>4.1000000000000003E-3</v>
      </c>
      <c r="AA35" s="3190">
        <f t="shared" si="53"/>
        <v>2.7000000000000001E-3</v>
      </c>
      <c r="AB35" s="3160">
        <f t="shared" si="53"/>
        <v>7.9000000000000008E-3</v>
      </c>
      <c r="AC35" s="3189"/>
      <c r="AD35" s="3160">
        <f t="shared" si="53"/>
        <v>2.7000000000000001E-3</v>
      </c>
    </row>
    <row r="36" spans="1:30" s="3161" customFormat="1" ht="12.75">
      <c r="A36" s="3152" t="s">
        <v>2816</v>
      </c>
      <c r="B36" s="3153">
        <v>2022</v>
      </c>
      <c r="C36" s="3154">
        <v>1</v>
      </c>
      <c r="D36" s="3155"/>
      <c r="E36" s="3155">
        <v>0.6</v>
      </c>
      <c r="F36" s="3155">
        <v>0.45</v>
      </c>
      <c r="G36" s="3155">
        <v>0.53</v>
      </c>
      <c r="H36" s="3172"/>
      <c r="I36" s="3156">
        <f t="shared" si="36"/>
        <v>0.45</v>
      </c>
      <c r="J36" s="3157"/>
      <c r="K36" s="3158"/>
      <c r="L36" s="3148">
        <f t="shared" si="37"/>
        <v>6.0000000000000001E-3</v>
      </c>
      <c r="M36" s="3148">
        <f t="shared" si="37"/>
        <v>4.5000000000000005E-3</v>
      </c>
      <c r="N36" s="3148">
        <f t="shared" si="37"/>
        <v>5.3E-3</v>
      </c>
      <c r="O36" s="3148"/>
      <c r="P36" s="3148">
        <f t="shared" si="51"/>
        <v>4.5000000000000005E-3</v>
      </c>
      <c r="Q36" s="3157"/>
      <c r="R36" s="3159"/>
      <c r="S36" s="3159">
        <f>ROUND(IF(项目基本情况!$B$8="出让",SUMPRODUCT(PRODUCT(1+L36:L$40)),SUMPRODUCT(PRODUCT(1+L36:L$39))),4)</f>
        <v>1.0222</v>
      </c>
      <c r="T36" s="3159">
        <f>ROUND(IF(项目基本情况!$B$8="出让",SUMPRODUCT(PRODUCT(1+M36:M$40)),SUMPRODUCT(PRODUCT(1+M36:M$39))),4)</f>
        <v>1.0127999999999999</v>
      </c>
      <c r="U36" s="3159">
        <f>ROUND(IF(项目基本情况!$B$8="出让",SUMPRODUCT(PRODUCT(1+N36:N$40)),SUMPRODUCT(PRODUCT(1+N36:N$39))),4)</f>
        <v>1.0326</v>
      </c>
      <c r="V36" s="3159"/>
      <c r="W36" s="3159">
        <f t="shared" si="52"/>
        <v>1.0127999999999999</v>
      </c>
      <c r="X36" s="3157"/>
      <c r="Y36" s="3160"/>
      <c r="Z36" s="3188">
        <f t="shared" si="53"/>
        <v>5.1000000000000004E-3</v>
      </c>
      <c r="AA36" s="3190">
        <f t="shared" si="53"/>
        <v>3.5000000000000001E-3</v>
      </c>
      <c r="AB36" s="3160">
        <f t="shared" si="53"/>
        <v>8.3999999999999995E-3</v>
      </c>
      <c r="AC36" s="3189"/>
      <c r="AD36" s="3160">
        <f t="shared" si="53"/>
        <v>3.5000000000000001E-3</v>
      </c>
    </row>
    <row r="37" spans="1:30" s="3161" customFormat="1" ht="12.75">
      <c r="A37" s="3152" t="s">
        <v>2817</v>
      </c>
      <c r="B37" s="3153">
        <v>2021</v>
      </c>
      <c r="C37" s="3154">
        <v>4</v>
      </c>
      <c r="D37" s="3155"/>
      <c r="E37" s="3155">
        <v>0.57999999999999996</v>
      </c>
      <c r="F37" s="3155">
        <v>0.08</v>
      </c>
      <c r="G37" s="3155">
        <v>0.68</v>
      </c>
      <c r="H37" s="3172"/>
      <c r="I37" s="3156">
        <f t="shared" si="36"/>
        <v>0.08</v>
      </c>
      <c r="J37" s="3157"/>
      <c r="K37" s="3158"/>
      <c r="L37" s="3148">
        <f t="shared" si="37"/>
        <v>5.7999999999999996E-3</v>
      </c>
      <c r="M37" s="3148">
        <f t="shared" si="37"/>
        <v>8.0000000000000004E-4</v>
      </c>
      <c r="N37" s="3148">
        <f t="shared" si="37"/>
        <v>6.8000000000000005E-3</v>
      </c>
      <c r="O37" s="3148"/>
      <c r="P37" s="3148">
        <f t="shared" si="51"/>
        <v>8.0000000000000004E-4</v>
      </c>
      <c r="Q37" s="3157"/>
      <c r="R37" s="3159"/>
      <c r="S37" s="3159">
        <f>ROUND(IF(项目基本情况!$B$8="出让",SUMPRODUCT(PRODUCT(1+L37:L$40)),SUMPRODUCT(PRODUCT(1+L37:L$39))),4)</f>
        <v>1.0161</v>
      </c>
      <c r="T37" s="3159">
        <f>ROUND(IF(项目基本情况!$B$8="出让",SUMPRODUCT(PRODUCT(1+M37:M$40)),SUMPRODUCT(PRODUCT(1+M37:M$39))),4)</f>
        <v>1.0082</v>
      </c>
      <c r="U37" s="3159">
        <f>ROUND(IF(项目基本情况!$B$8="出让",SUMPRODUCT(PRODUCT(1+N37:N$40)),SUMPRODUCT(PRODUCT(1+N37:N$39))),4)</f>
        <v>1.0270999999999999</v>
      </c>
      <c r="V37" s="3159"/>
      <c r="W37" s="3159">
        <f t="shared" si="52"/>
        <v>1.0082</v>
      </c>
      <c r="X37" s="3157"/>
      <c r="Y37" s="3160"/>
      <c r="Z37" s="3188">
        <f t="shared" si="53"/>
        <v>4.8999999999999998E-3</v>
      </c>
      <c r="AA37" s="3190">
        <f t="shared" si="53"/>
        <v>3.3E-3</v>
      </c>
      <c r="AB37" s="3160">
        <f t="shared" si="53"/>
        <v>9.1999999999999998E-3</v>
      </c>
      <c r="AC37" s="3189"/>
      <c r="AD37" s="3160">
        <f t="shared" si="53"/>
        <v>3.3E-3</v>
      </c>
    </row>
    <row r="38" spans="1:30" s="3161" customFormat="1" ht="12.75">
      <c r="A38" s="3152" t="s">
        <v>2818</v>
      </c>
      <c r="B38" s="3153">
        <v>2021</v>
      </c>
      <c r="C38" s="3154">
        <v>3</v>
      </c>
      <c r="D38" s="3155"/>
      <c r="E38" s="3155">
        <v>0.47</v>
      </c>
      <c r="F38" s="3155">
        <v>0.28000000000000003</v>
      </c>
      <c r="G38" s="3155">
        <v>0.91</v>
      </c>
      <c r="H38" s="3172"/>
      <c r="I38" s="3156">
        <f t="shared" si="36"/>
        <v>0.28000000000000003</v>
      </c>
      <c r="J38" s="3157"/>
      <c r="K38" s="3158"/>
      <c r="L38" s="3148">
        <f t="shared" si="37"/>
        <v>4.6999999999999993E-3</v>
      </c>
      <c r="M38" s="3148">
        <f t="shared" si="37"/>
        <v>2.8000000000000004E-3</v>
      </c>
      <c r="N38" s="3148">
        <f t="shared" si="37"/>
        <v>9.1000000000000004E-3</v>
      </c>
      <c r="O38" s="3148"/>
      <c r="P38" s="3148">
        <f t="shared" si="51"/>
        <v>2.8000000000000004E-3</v>
      </c>
      <c r="Q38" s="3157"/>
      <c r="R38" s="3159"/>
      <c r="S38" s="3159">
        <f>ROUND(IF(项目基本情况!$B$8="出让",SUMPRODUCT(PRODUCT(1+L38:L$40)),SUMPRODUCT(PRODUCT(1+L38:L$39))),4)</f>
        <v>1.0102</v>
      </c>
      <c r="T38" s="3159">
        <f>ROUND(IF(项目基本情况!$B$8="出让",SUMPRODUCT(PRODUCT(1+M38:M$40)),SUMPRODUCT(PRODUCT(1+M38:M$39))),4)</f>
        <v>1.0074000000000001</v>
      </c>
      <c r="U38" s="3159">
        <f>ROUND(IF(项目基本情况!$B$8="出让",SUMPRODUCT(PRODUCT(1+N38:N$40)),SUMPRODUCT(PRODUCT(1+N38:N$39))),4)</f>
        <v>1.0202</v>
      </c>
      <c r="V38" s="3159"/>
      <c r="W38" s="3159">
        <f t="shared" si="52"/>
        <v>1.0074000000000001</v>
      </c>
      <c r="X38" s="3157"/>
      <c r="Y38" s="3160"/>
      <c r="Z38" s="3188">
        <f t="shared" si="53"/>
        <v>4.5999999999999999E-3</v>
      </c>
      <c r="AA38" s="3190">
        <f t="shared" si="53"/>
        <v>4.1000000000000003E-3</v>
      </c>
      <c r="AB38" s="3160">
        <f t="shared" si="53"/>
        <v>0.01</v>
      </c>
      <c r="AC38" s="3189"/>
      <c r="AD38" s="3160">
        <f t="shared" si="53"/>
        <v>4.1000000000000003E-3</v>
      </c>
    </row>
    <row r="39" spans="1:30" s="3161" customFormat="1" ht="12.75">
      <c r="A39" s="3152" t="s">
        <v>2819</v>
      </c>
      <c r="B39" s="3153">
        <v>2021</v>
      </c>
      <c r="C39" s="3154">
        <v>2</v>
      </c>
      <c r="D39" s="3155"/>
      <c r="E39" s="3155">
        <v>0.55000000000000004</v>
      </c>
      <c r="F39" s="3155">
        <v>0.46</v>
      </c>
      <c r="G39" s="3155">
        <v>1.1000000000000001</v>
      </c>
      <c r="H39" s="3172"/>
      <c r="I39" s="3156">
        <f t="shared" si="36"/>
        <v>0.46</v>
      </c>
      <c r="J39" s="3157"/>
      <c r="K39" s="3158"/>
      <c r="L39" s="3148">
        <f t="shared" si="37"/>
        <v>5.5000000000000005E-3</v>
      </c>
      <c r="M39" s="3148">
        <f t="shared" si="37"/>
        <v>4.5999999999999999E-3</v>
      </c>
      <c r="N39" s="3148">
        <f t="shared" si="37"/>
        <v>1.1000000000000001E-2</v>
      </c>
      <c r="O39" s="3148"/>
      <c r="P39" s="3148">
        <f t="shared" si="51"/>
        <v>4.5999999999999999E-3</v>
      </c>
      <c r="Q39" s="3157"/>
      <c r="R39" s="3159"/>
      <c r="S39" s="3159">
        <f>ROUND(IF(项目基本情况!$B$8="出让",SUMPRODUCT(PRODUCT(1+L39:L$40)),SUMPRODUCT(PRODUCT(1+L39:L$39))),4)</f>
        <v>1.0055000000000001</v>
      </c>
      <c r="T39" s="3159">
        <f>ROUND(IF(项目基本情况!$B$8="出让",SUMPRODUCT(PRODUCT(1+M39:M$40)),SUMPRODUCT(PRODUCT(1+M39:M$39))),4)</f>
        <v>1.0045999999999999</v>
      </c>
      <c r="U39" s="3159">
        <f>ROUND(IF(项目基本情况!$B$8="出让",SUMPRODUCT(PRODUCT(1+N39:N$40)),SUMPRODUCT(PRODUCT(1+N39:N$39))),4)</f>
        <v>1.0109999999999999</v>
      </c>
      <c r="V39" s="3159"/>
      <c r="W39" s="3159">
        <f t="shared" si="52"/>
        <v>1.0045999999999999</v>
      </c>
      <c r="X39" s="3157"/>
      <c r="Y39" s="3160"/>
      <c r="Z39" s="3188">
        <f t="shared" si="53"/>
        <v>4.4999999999999997E-3</v>
      </c>
      <c r="AA39" s="3190">
        <f t="shared" si="53"/>
        <v>4.7000000000000002E-3</v>
      </c>
      <c r="AB39" s="3160">
        <f t="shared" si="53"/>
        <v>1.04E-2</v>
      </c>
      <c r="AC39" s="3189"/>
      <c r="AD39" s="3160">
        <f t="shared" si="53"/>
        <v>4.7000000000000002E-3</v>
      </c>
    </row>
    <row r="40" spans="1:30" s="3183" customFormat="1" thickBot="1">
      <c r="A40" s="3173" t="s">
        <v>2805</v>
      </c>
      <c r="B40" s="3174">
        <v>2021</v>
      </c>
      <c r="C40" s="3175">
        <v>1</v>
      </c>
      <c r="D40" s="3176"/>
      <c r="E40" s="3176">
        <v>0.35</v>
      </c>
      <c r="F40" s="3176">
        <v>0.48</v>
      </c>
      <c r="G40" s="3176">
        <v>0.98</v>
      </c>
      <c r="H40" s="3177"/>
      <c r="I40" s="3178">
        <f t="shared" si="36"/>
        <v>0.48</v>
      </c>
      <c r="J40" s="3179"/>
      <c r="K40" s="3180"/>
      <c r="L40" s="3181">
        <f t="shared" si="37"/>
        <v>3.4999999999999996E-3</v>
      </c>
      <c r="M40" s="3181">
        <f>F40/100</f>
        <v>4.7999999999999996E-3</v>
      </c>
      <c r="N40" s="3181">
        <f t="shared" si="37"/>
        <v>9.7999999999999997E-3</v>
      </c>
      <c r="O40" s="3181"/>
      <c r="P40" s="3181">
        <f t="shared" si="51"/>
        <v>4.7999999999999996E-3</v>
      </c>
      <c r="Q40" s="3179"/>
      <c r="R40" s="3182"/>
      <c r="S40" s="3182">
        <v>1</v>
      </c>
      <c r="T40" s="3182">
        <v>1</v>
      </c>
      <c r="U40" s="3182">
        <v>1</v>
      </c>
      <c r="V40" s="3182"/>
      <c r="W40" s="3182">
        <f t="shared" si="52"/>
        <v>1</v>
      </c>
      <c r="X40" s="3179"/>
      <c r="Y40" s="3181"/>
      <c r="Z40" s="3194">
        <f t="shared" si="53"/>
        <v>3.5000000000000001E-3</v>
      </c>
      <c r="AA40" s="3195">
        <f t="shared" si="53"/>
        <v>4.7999999999999996E-3</v>
      </c>
      <c r="AB40" s="3181">
        <f t="shared" si="53"/>
        <v>9.7999999999999997E-3</v>
      </c>
      <c r="AC40" s="3196"/>
      <c r="AD40" s="3181">
        <f t="shared" si="53"/>
        <v>4.7999999999999996E-3</v>
      </c>
    </row>
    <row r="41" spans="1:30" ht="14.25" thickTop="1"/>
    <row r="42" spans="1:30">
      <c r="A42" s="3424" t="s">
        <v>3348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16" t="s">
        <v>452</v>
      </c>
      <c r="C1" s="3916"/>
      <c r="D1" s="3916"/>
      <c r="E1" s="3916"/>
      <c r="F1" s="3916"/>
      <c r="G1" s="3912" t="s">
        <v>453</v>
      </c>
      <c r="H1" s="3912"/>
      <c r="I1" s="3912"/>
      <c r="J1" s="3912"/>
      <c r="K1" s="3912"/>
      <c r="L1" s="3912"/>
      <c r="N1" s="3912" t="s">
        <v>454</v>
      </c>
      <c r="O1" s="3912"/>
      <c r="P1" s="3912"/>
      <c r="Q1" s="3912"/>
      <c r="S1" s="3912" t="s">
        <v>455</v>
      </c>
      <c r="T1" s="3912"/>
      <c r="U1" s="3912"/>
      <c r="V1" s="3912"/>
      <c r="X1" s="3911" t="s">
        <v>456</v>
      </c>
      <c r="Y1" s="3912"/>
      <c r="Z1" s="3912"/>
      <c r="AA1" s="3912"/>
      <c r="AB1" s="3912"/>
      <c r="AD1" s="3911" t="s">
        <v>457</v>
      </c>
      <c r="AE1" s="3912"/>
      <c r="AF1" s="3912"/>
      <c r="AG1" s="3912"/>
      <c r="AH1" s="391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2096</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3344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1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3341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1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2097</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3342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1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3343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1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8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2294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2293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2292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2112</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2110</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2109</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2108</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2106</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2105</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2107</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2103</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2102</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2095</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2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2093</v>
      </c>
      <c r="B25" s="2220">
        <v>439</v>
      </c>
      <c r="C25" s="2220">
        <v>327</v>
      </c>
      <c r="D25" s="2220">
        <f>C25</f>
        <v>327</v>
      </c>
      <c r="E25" s="2220">
        <v>627</v>
      </c>
      <c r="F25" s="2221">
        <v>283</v>
      </c>
      <c r="G25" s="391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2094</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2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1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1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1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1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2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45159</v>
      </c>
      <c r="D13" s="2798">
        <v>3.45</v>
      </c>
      <c r="E13" s="2798">
        <f>D13</f>
        <v>3.45</v>
      </c>
      <c r="F13" s="2798">
        <f>D13</f>
        <v>3.45</v>
      </c>
      <c r="G13" s="2798">
        <f>D13</f>
        <v>3.45</v>
      </c>
      <c r="H13" s="279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45097</v>
      </c>
      <c r="D14" s="2793">
        <v>3.55</v>
      </c>
      <c r="E14" s="2793">
        <f>D14</f>
        <v>3.55</v>
      </c>
      <c r="F14" s="2793">
        <f>D14</f>
        <v>3.55</v>
      </c>
      <c r="G14" s="2793">
        <f>D14</f>
        <v>3.55</v>
      </c>
      <c r="H14" s="2793">
        <v>4.2</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44795</v>
      </c>
      <c r="D15" s="2793">
        <v>3.65</v>
      </c>
      <c r="E15" s="2793">
        <v>3.65</v>
      </c>
      <c r="F15" s="2793">
        <v>3.65</v>
      </c>
      <c r="G15" s="2793">
        <v>3.65</v>
      </c>
      <c r="H15" s="2793">
        <v>4.3</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4">
        <v>44701</v>
      </c>
      <c r="D16" s="2793">
        <v>3.7</v>
      </c>
      <c r="E16" s="2793">
        <f>D16</f>
        <v>3.7</v>
      </c>
      <c r="F16" s="2793">
        <f>D16</f>
        <v>3.7</v>
      </c>
      <c r="G16" s="2793">
        <f>D16</f>
        <v>3.7</v>
      </c>
      <c r="H16" s="2793">
        <v>4.45</v>
      </c>
      <c r="I16" s="2798"/>
      <c r="J16" s="279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4">
        <v>44581</v>
      </c>
      <c r="D17" s="2793">
        <v>3.7</v>
      </c>
      <c r="E17" s="2793">
        <f>D17</f>
        <v>3.7</v>
      </c>
      <c r="F17" s="2793">
        <f>D17</f>
        <v>3.7</v>
      </c>
      <c r="G17" s="2793">
        <f>D17</f>
        <v>3.7</v>
      </c>
      <c r="H17" s="2793">
        <v>4.5999999999999996</v>
      </c>
      <c r="I17" s="2798"/>
      <c r="J17" s="279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44550</v>
      </c>
      <c r="D18" s="2793">
        <v>3.8</v>
      </c>
      <c r="E18" s="2793">
        <f>D18</f>
        <v>3.8</v>
      </c>
      <c r="F18" s="2793">
        <f>D18</f>
        <v>3.8</v>
      </c>
      <c r="G18" s="2793">
        <f>D18</f>
        <v>3.8</v>
      </c>
      <c r="H18" s="2793">
        <v>4.6500000000000004</v>
      </c>
      <c r="I18" s="2793"/>
      <c r="J18" s="2798"/>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43941</v>
      </c>
      <c r="D19" s="2793">
        <v>3.85</v>
      </c>
      <c r="E19" s="2793">
        <v>3.85</v>
      </c>
      <c r="F19" s="2793">
        <v>3.85</v>
      </c>
      <c r="G19" s="2793">
        <v>3.85</v>
      </c>
      <c r="H19" s="2793">
        <v>4.6500000000000004</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43881</v>
      </c>
      <c r="D20" s="2793">
        <v>4.05</v>
      </c>
      <c r="E20" s="2793">
        <v>4.05</v>
      </c>
      <c r="F20" s="2793">
        <v>4.05</v>
      </c>
      <c r="G20" s="2793">
        <v>4.05</v>
      </c>
      <c r="H20" s="2793">
        <v>4.75</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3"/>
      <c r="C21" s="2794">
        <v>43789</v>
      </c>
      <c r="D21" s="2793">
        <v>4.1500000000000004</v>
      </c>
      <c r="E21" s="2793">
        <v>4.1500000000000004</v>
      </c>
      <c r="F21" s="2793">
        <v>4.1500000000000004</v>
      </c>
      <c r="G21" s="2793">
        <v>4.1500000000000004</v>
      </c>
      <c r="H21" s="2793">
        <v>4.8</v>
      </c>
      <c r="I21" s="2793"/>
      <c r="J21" s="279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3"/>
      <c r="C22" s="2794">
        <v>43728</v>
      </c>
      <c r="D22" s="2793">
        <v>4.2</v>
      </c>
      <c r="E22" s="2793">
        <v>4.2</v>
      </c>
      <c r="F22" s="2793">
        <v>4.2</v>
      </c>
      <c r="G22" s="2793">
        <v>4.2</v>
      </c>
      <c r="H22" s="2793">
        <v>4.8499999999999996</v>
      </c>
      <c r="I22" s="2793"/>
      <c r="J22" s="279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9"/>
      <c r="B23" s="2792" t="s">
        <v>2290</v>
      </c>
      <c r="C23" s="2795">
        <v>43697</v>
      </c>
      <c r="D23" s="2796">
        <v>4.25</v>
      </c>
      <c r="E23" s="2796">
        <v>4.25</v>
      </c>
      <c r="F23" s="2796">
        <v>4.25</v>
      </c>
      <c r="G23" s="2796">
        <v>4.25</v>
      </c>
      <c r="H23" s="2796">
        <v>4.8499999999999996</v>
      </c>
      <c r="I23" s="2796"/>
      <c r="J23" s="279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00"/>
      <c r="C24" s="2801">
        <v>42301</v>
      </c>
      <c r="D24" s="2802">
        <v>4.3499999999999996</v>
      </c>
      <c r="E24" s="2802">
        <v>4.3499999999999996</v>
      </c>
      <c r="F24" s="2802">
        <v>4.75</v>
      </c>
      <c r="G24" s="2802">
        <v>4.75</v>
      </c>
      <c r="H24" s="2802">
        <v>4.9000000000000004</v>
      </c>
      <c r="I24" s="2802"/>
      <c r="J24" s="280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92" t="str">
        <f>IF(项目基本情况!B9="房地产市场价值","估价结果一览表","结果表-2")</f>
        <v>结果表-2</v>
      </c>
      <c r="B1" s="3592"/>
      <c r="C1" s="3592"/>
      <c r="D1" s="3592"/>
      <c r="E1" s="3592"/>
      <c r="F1" s="3592"/>
      <c r="G1" s="3592"/>
      <c r="H1" s="3592"/>
      <c r="I1" s="3592"/>
    </row>
    <row r="2" spans="1:9" ht="30" customHeight="1" thickTop="1">
      <c r="A2" s="3593" t="s">
        <v>928</v>
      </c>
      <c r="B2" s="3593" t="s">
        <v>929</v>
      </c>
      <c r="C2" s="3593" t="s">
        <v>930</v>
      </c>
      <c r="D2" s="3593" t="str">
        <f>结果表!D116</f>
        <v>出让国有建设用地使用权价值</v>
      </c>
      <c r="E2" s="3593"/>
      <c r="F2" s="3593" t="str">
        <f>结果表!F116</f>
        <v>在建建筑物价值</v>
      </c>
      <c r="G2" s="3593"/>
      <c r="H2" s="3593" t="str">
        <f>IF(项目基本情况!B9="房地产市场价值","房地产市场价值","房地产价值")</f>
        <v>房地产价值</v>
      </c>
      <c r="I2" s="3593"/>
    </row>
    <row r="3" spans="1:9" ht="15">
      <c r="A3" s="3594"/>
      <c r="B3" s="3594"/>
      <c r="C3" s="3594"/>
      <c r="D3" s="854" t="s">
        <v>925</v>
      </c>
      <c r="E3" s="854" t="s">
        <v>931</v>
      </c>
      <c r="F3" s="854" t="s">
        <v>925</v>
      </c>
      <c r="G3" s="854" t="s">
        <v>926</v>
      </c>
      <c r="H3" s="854" t="s">
        <v>925</v>
      </c>
      <c r="I3" s="854" t="s">
        <v>926</v>
      </c>
    </row>
    <row r="4" spans="1:9" ht="30">
      <c r="A4" s="1505" t="str">
        <f>项目基本情况!S2</f>
        <v>北京市朝阳区朝阳门外大街5号院1号楼房地产</v>
      </c>
      <c r="B4" s="854">
        <f>项目基本情况!C17</f>
        <v>32105.55</v>
      </c>
      <c r="C4" s="854">
        <f>项目基本情况!C18</f>
        <v>0</v>
      </c>
      <c r="D4" s="854">
        <f ca="1">结果表!D118</f>
        <v>107095</v>
      </c>
      <c r="E4" s="854">
        <f ca="1">结果表!E118</f>
        <v>33357</v>
      </c>
      <c r="F4" s="854">
        <f ca="1">结果表!F118</f>
        <v>27955</v>
      </c>
      <c r="G4" s="854">
        <f ca="1">结果表!G118</f>
        <v>8707</v>
      </c>
      <c r="H4" s="854">
        <f ca="1">结果表!H118</f>
        <v>135050</v>
      </c>
      <c r="I4" s="854">
        <f ca="1">结果表!I118</f>
        <v>42064</v>
      </c>
    </row>
    <row r="5" spans="1:9" ht="30" customHeight="1">
      <c r="A5" s="3594" t="s">
        <v>927</v>
      </c>
      <c r="B5" s="3594"/>
      <c r="C5" s="3594"/>
      <c r="D5" s="3594" t="str">
        <f ca="1">结果表!D119</f>
        <v>壹拾亿柒仟零玖拾伍万元整</v>
      </c>
      <c r="E5" s="3594"/>
      <c r="F5" s="3594" t="str">
        <f ca="1">结果表!F119</f>
        <v>贰亿柒仟玖佰伍拾伍万元整</v>
      </c>
      <c r="G5" s="3594"/>
      <c r="H5" s="3594" t="str">
        <f ca="1">结果表!H119</f>
        <v>壹拾叁亿伍仟零伍拾万元整</v>
      </c>
      <c r="I5" s="3594"/>
    </row>
    <row r="6" spans="1:9" ht="15.75">
      <c r="A6" s="3595" t="str">
        <f>结果表!A120</f>
        <v>估价师知悉的除抵押担保权以外的法定优先受偿款</v>
      </c>
      <c r="B6" s="3595"/>
      <c r="C6" s="3595"/>
      <c r="D6" s="3595">
        <f>结果表!D120</f>
        <v>0</v>
      </c>
      <c r="E6" s="3595"/>
      <c r="F6" s="3595"/>
      <c r="G6" s="3595"/>
      <c r="H6" s="3595"/>
      <c r="I6" s="3595"/>
    </row>
    <row r="7" spans="1:9" ht="15">
      <c r="A7" s="3594" t="s">
        <v>927</v>
      </c>
      <c r="B7" s="3594"/>
      <c r="C7" s="3594"/>
      <c r="D7" s="3596" t="str">
        <f>结果表!D121</f>
        <v>零元整</v>
      </c>
      <c r="E7" s="3597"/>
      <c r="F7" s="3597"/>
      <c r="G7" s="3597"/>
      <c r="H7" s="3597"/>
      <c r="I7" s="3598"/>
    </row>
    <row r="8" spans="1:9" ht="15.75">
      <c r="A8" s="3595" t="str">
        <f>结果表!A122</f>
        <v/>
      </c>
      <c r="B8" s="3595"/>
      <c r="C8" s="3595"/>
      <c r="D8" s="3595" t="str">
        <f>结果表!D122</f>
        <v>——</v>
      </c>
      <c r="E8" s="3595"/>
      <c r="F8" s="3595"/>
      <c r="G8" s="3595"/>
      <c r="H8" s="3595"/>
      <c r="I8" s="3595"/>
    </row>
    <row r="9" spans="1:9" ht="15">
      <c r="A9" s="3594" t="s">
        <v>927</v>
      </c>
      <c r="B9" s="3594"/>
      <c r="C9" s="3594"/>
      <c r="D9" s="3594" t="e">
        <f>结果表!D123</f>
        <v>#VALUE!</v>
      </c>
      <c r="E9" s="3594"/>
      <c r="F9" s="3594"/>
      <c r="G9" s="3594"/>
      <c r="H9" s="3594"/>
      <c r="I9" s="3594"/>
    </row>
    <row r="10" spans="1:9" ht="15.75">
      <c r="A10" s="3595" t="str">
        <f>结果表!A124</f>
        <v>抵押担保权已注销时的房地产抵押价值</v>
      </c>
      <c r="B10" s="3595"/>
      <c r="C10" s="3595"/>
      <c r="D10" s="3595">
        <f ca="1">结果表!D124</f>
        <v>135050</v>
      </c>
      <c r="E10" s="3595"/>
      <c r="F10" s="3595"/>
      <c r="G10" s="3595"/>
      <c r="H10" s="3595"/>
      <c r="I10" s="3595"/>
    </row>
    <row r="11" spans="1:9" ht="15">
      <c r="A11" s="3594" t="s">
        <v>927</v>
      </c>
      <c r="B11" s="3594"/>
      <c r="C11" s="3594"/>
      <c r="D11" s="3594" t="str">
        <f ca="1">结果表!D125</f>
        <v>壹拾叁亿伍仟零伍拾万元整</v>
      </c>
      <c r="E11" s="3594"/>
      <c r="F11" s="3594"/>
      <c r="G11" s="3594"/>
      <c r="H11" s="3594"/>
      <c r="I11" s="3594"/>
    </row>
    <row r="12" spans="1:9" ht="15.75">
      <c r="A12" s="3595" t="str">
        <f>结果表!A126</f>
        <v>抵押净值</v>
      </c>
      <c r="B12" s="3595"/>
      <c r="C12" s="3595"/>
      <c r="D12" s="3595">
        <f ca="1">结果表!D126</f>
        <v>134982</v>
      </c>
      <c r="E12" s="3595"/>
      <c r="F12" s="3595"/>
      <c r="G12" s="3595"/>
      <c r="H12" s="3595"/>
      <c r="I12" s="3595"/>
    </row>
    <row r="13" spans="1:9" ht="15.75" thickBot="1">
      <c r="A13" s="3599" t="s">
        <v>927</v>
      </c>
      <c r="B13" s="3599"/>
      <c r="C13" s="3599"/>
      <c r="D13" s="3599" t="str">
        <f ca="1">结果表!D127</f>
        <v>壹拾叁亿肆仟玖佰捌拾贰万元整</v>
      </c>
      <c r="E13" s="3599"/>
      <c r="F13" s="3599"/>
      <c r="G13" s="3599"/>
      <c r="H13" s="3599"/>
      <c r="I13" s="3599"/>
    </row>
    <row r="14" spans="1:9" ht="15" thickTop="1">
      <c r="A14" s="3600" t="s">
        <v>932</v>
      </c>
      <c r="B14" s="3600"/>
      <c r="C14" s="3600"/>
      <c r="D14" s="3600"/>
      <c r="E14" s="3600"/>
      <c r="F14" s="3600"/>
      <c r="G14" s="3600"/>
      <c r="H14" s="3600"/>
      <c r="I14" s="360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topLeftCell="A2" workbookViewId="0">
      <selection activeCell="E48" sqref="E48"/>
    </sheetView>
  </sheetViews>
  <sheetFormatPr defaultColWidth="7" defaultRowHeight="11.25"/>
  <cols>
    <col min="1" max="1" width="3.75" style="3487" customWidth="1"/>
    <col min="2" max="2" width="30.875" style="3487" bestFit="1" customWidth="1"/>
    <col min="3" max="3" width="4.25" style="3487" bestFit="1" customWidth="1"/>
    <col min="4" max="5" width="7" style="3487" bestFit="1" customWidth="1"/>
    <col min="6" max="6" width="14.75" style="3492" bestFit="1" customWidth="1"/>
    <col min="7" max="7" width="4.25" style="3487" bestFit="1" customWidth="1"/>
    <col min="8" max="8" width="5.75" style="3487" customWidth="1"/>
    <col min="9" max="9" width="24.25" style="3487" bestFit="1" customWidth="1"/>
    <col min="10" max="10" width="27.25" style="3487" bestFit="1" customWidth="1"/>
    <col min="11" max="11" width="11.625" style="3492" bestFit="1" customWidth="1"/>
    <col min="12" max="12" width="14" style="3492" bestFit="1" customWidth="1"/>
    <col min="13" max="13" width="10.5" style="3487" bestFit="1" customWidth="1"/>
    <col min="14" max="14" width="2.625" style="3487" customWidth="1"/>
    <col min="15" max="15" width="7" style="3487"/>
    <col min="16" max="16" width="23.625" style="3487" customWidth="1"/>
    <col min="17" max="16384" width="7" style="3487"/>
  </cols>
  <sheetData>
    <row r="1" spans="1:13" ht="24.75" customHeight="1">
      <c r="A1" s="3485" t="s">
        <v>3573</v>
      </c>
      <c r="B1" s="3485"/>
      <c r="C1" s="3485"/>
      <c r="D1" s="3485"/>
      <c r="E1" s="3485"/>
      <c r="F1" s="3486"/>
      <c r="G1" s="3485"/>
      <c r="H1" s="3485"/>
      <c r="I1" s="3485"/>
      <c r="J1" s="3485"/>
      <c r="K1" s="3486"/>
      <c r="L1" s="3486"/>
      <c r="M1" s="3485"/>
    </row>
    <row r="2" spans="1:13" s="3490" customFormat="1" ht="12.95" customHeight="1">
      <c r="A2" s="3488" t="s">
        <v>3574</v>
      </c>
      <c r="B2" s="3488" t="s">
        <v>3575</v>
      </c>
      <c r="C2" s="3488" t="s">
        <v>3576</v>
      </c>
      <c r="D2" s="3488" t="s">
        <v>3577</v>
      </c>
      <c r="E2" s="3488" t="s">
        <v>3578</v>
      </c>
      <c r="F2" s="3489" t="s">
        <v>3579</v>
      </c>
      <c r="G2" s="3488" t="s">
        <v>3580</v>
      </c>
      <c r="H2" s="3488" t="s">
        <v>3581</v>
      </c>
      <c r="I2" s="3488" t="s">
        <v>3582</v>
      </c>
      <c r="J2" s="3488" t="s">
        <v>3583</v>
      </c>
      <c r="K2" s="3489" t="s">
        <v>3584</v>
      </c>
      <c r="L2" s="3489" t="s">
        <v>3585</v>
      </c>
      <c r="M2" s="3488" t="s">
        <v>3586</v>
      </c>
    </row>
    <row r="3" spans="1:13" s="3490" customFormat="1" ht="12.95" hidden="1" customHeight="1">
      <c r="A3" s="3488">
        <v>1</v>
      </c>
      <c r="B3" s="3488" t="s">
        <v>3587</v>
      </c>
      <c r="C3" s="3488" t="s">
        <v>3588</v>
      </c>
      <c r="D3" s="3488" t="s">
        <v>3589</v>
      </c>
      <c r="E3" s="3488" t="s">
        <v>3452</v>
      </c>
      <c r="F3" s="3489">
        <v>6662</v>
      </c>
      <c r="G3" s="3488" t="s">
        <v>3590</v>
      </c>
      <c r="H3" s="3488">
        <v>2022</v>
      </c>
      <c r="I3" s="3488" t="s">
        <v>3591</v>
      </c>
      <c r="J3" s="3488" t="s">
        <v>3592</v>
      </c>
      <c r="K3" s="3489">
        <v>370</v>
      </c>
      <c r="L3" s="3489">
        <v>56000</v>
      </c>
      <c r="M3" s="3488" t="s">
        <v>3484</v>
      </c>
    </row>
    <row r="4" spans="1:13" s="3490" customFormat="1" ht="12.95" hidden="1" customHeight="1">
      <c r="A4" s="3488">
        <v>2</v>
      </c>
      <c r="B4" s="3488" t="s">
        <v>3593</v>
      </c>
      <c r="C4" s="3488" t="s">
        <v>3588</v>
      </c>
      <c r="D4" s="3488" t="s">
        <v>3594</v>
      </c>
      <c r="E4" s="3488" t="s">
        <v>21</v>
      </c>
      <c r="F4" s="3489">
        <v>5136</v>
      </c>
      <c r="G4" s="3488" t="s">
        <v>3590</v>
      </c>
      <c r="H4" s="3488">
        <v>2022</v>
      </c>
      <c r="I4" s="3488" t="s">
        <v>3595</v>
      </c>
      <c r="J4" s="3488" t="s">
        <v>3596</v>
      </c>
      <c r="K4" s="3489">
        <v>248</v>
      </c>
      <c r="L4" s="3489">
        <v>48287</v>
      </c>
      <c r="M4" s="3488" t="s">
        <v>3438</v>
      </c>
    </row>
    <row r="5" spans="1:13" s="3490" customFormat="1" ht="12.95" hidden="1" customHeight="1">
      <c r="A5" s="3488">
        <v>3</v>
      </c>
      <c r="B5" s="3488" t="s">
        <v>3597</v>
      </c>
      <c r="C5" s="3488" t="s">
        <v>3588</v>
      </c>
      <c r="D5" s="3488" t="s">
        <v>3598</v>
      </c>
      <c r="E5" s="3488" t="s">
        <v>3430</v>
      </c>
      <c r="F5" s="3489">
        <v>3012</v>
      </c>
      <c r="G5" s="3488" t="s">
        <v>3590</v>
      </c>
      <c r="H5" s="3488">
        <v>2022</v>
      </c>
      <c r="I5" s="3488" t="s">
        <v>3599</v>
      </c>
      <c r="J5" s="3488" t="s">
        <v>3600</v>
      </c>
      <c r="K5" s="3489">
        <v>110</v>
      </c>
      <c r="L5" s="3489">
        <v>36500</v>
      </c>
      <c r="M5" s="3488" t="s">
        <v>3423</v>
      </c>
    </row>
    <row r="6" spans="1:13" s="3490" customFormat="1" ht="12.95" hidden="1" customHeight="1">
      <c r="A6" s="3488">
        <v>4</v>
      </c>
      <c r="B6" s="3488" t="s">
        <v>3601</v>
      </c>
      <c r="C6" s="3488" t="s">
        <v>3588</v>
      </c>
      <c r="D6" s="3488" t="s">
        <v>3602</v>
      </c>
      <c r="E6" s="3488" t="s">
        <v>3603</v>
      </c>
      <c r="F6" s="3489">
        <v>131215</v>
      </c>
      <c r="G6" s="3488" t="s">
        <v>3590</v>
      </c>
      <c r="H6" s="3488">
        <v>2022</v>
      </c>
      <c r="I6" s="3488" t="s">
        <v>3604</v>
      </c>
      <c r="J6" s="3488" t="s">
        <v>3605</v>
      </c>
      <c r="K6" s="3489">
        <v>1375</v>
      </c>
      <c r="L6" s="3489">
        <v>10479</v>
      </c>
      <c r="M6" s="3488" t="s">
        <v>3423</v>
      </c>
    </row>
    <row r="7" spans="1:13" s="3490" customFormat="1" ht="12.95" hidden="1" customHeight="1">
      <c r="A7" s="3488">
        <v>5</v>
      </c>
      <c r="B7" s="3488" t="s">
        <v>3606</v>
      </c>
      <c r="C7" s="3488" t="s">
        <v>3588</v>
      </c>
      <c r="D7" s="3488" t="s">
        <v>3602</v>
      </c>
      <c r="E7" s="3488" t="s">
        <v>21</v>
      </c>
      <c r="F7" s="3489">
        <v>1398</v>
      </c>
      <c r="G7" s="3488" t="s">
        <v>3590</v>
      </c>
      <c r="H7" s="3488">
        <v>2022</v>
      </c>
      <c r="I7" s="3488" t="s">
        <v>3607</v>
      </c>
      <c r="J7" s="3488" t="s">
        <v>3608</v>
      </c>
      <c r="K7" s="3489">
        <v>147</v>
      </c>
      <c r="L7" s="3489">
        <v>104902</v>
      </c>
      <c r="M7" s="3488" t="s">
        <v>3438</v>
      </c>
    </row>
    <row r="8" spans="1:13" s="3490" customFormat="1" ht="12.95" hidden="1" customHeight="1">
      <c r="A8" s="3488">
        <v>6</v>
      </c>
      <c r="B8" s="3488" t="s">
        <v>3609</v>
      </c>
      <c r="C8" s="3488" t="s">
        <v>3588</v>
      </c>
      <c r="D8" s="3488" t="s">
        <v>3610</v>
      </c>
      <c r="E8" s="3488" t="s">
        <v>3435</v>
      </c>
      <c r="F8" s="3489">
        <v>7017</v>
      </c>
      <c r="G8" s="3488" t="s">
        <v>3590</v>
      </c>
      <c r="H8" s="3488">
        <v>2022</v>
      </c>
      <c r="I8" s="3488" t="s">
        <v>3611</v>
      </c>
      <c r="J8" s="3488" t="s">
        <v>3612</v>
      </c>
      <c r="K8" s="3489">
        <v>213</v>
      </c>
      <c r="L8" s="3489">
        <v>29970</v>
      </c>
      <c r="M8" s="3488" t="s">
        <v>3438</v>
      </c>
    </row>
    <row r="9" spans="1:13" s="3490" customFormat="1" ht="12.95" hidden="1" customHeight="1">
      <c r="A9" s="3488">
        <v>7</v>
      </c>
      <c r="B9" s="3488" t="s">
        <v>3613</v>
      </c>
      <c r="C9" s="3488" t="s">
        <v>3588</v>
      </c>
      <c r="D9" s="3488" t="s">
        <v>3614</v>
      </c>
      <c r="E9" s="3488" t="s">
        <v>3615</v>
      </c>
      <c r="F9" s="3489">
        <v>67000</v>
      </c>
      <c r="G9" s="3488" t="s">
        <v>3590</v>
      </c>
      <c r="H9" s="3488">
        <v>2022</v>
      </c>
      <c r="I9" s="3488" t="s">
        <v>3616</v>
      </c>
      <c r="J9" s="3488" t="s">
        <v>3617</v>
      </c>
      <c r="K9" s="3489">
        <v>800</v>
      </c>
      <c r="L9" s="3489">
        <v>12000</v>
      </c>
      <c r="M9" s="3488" t="s">
        <v>3423</v>
      </c>
    </row>
    <row r="10" spans="1:13" s="3490" customFormat="1" ht="15" hidden="1" customHeight="1">
      <c r="A10" s="3488">
        <v>8</v>
      </c>
      <c r="B10" s="3488" t="s">
        <v>3618</v>
      </c>
      <c r="C10" s="3488" t="s">
        <v>3588</v>
      </c>
      <c r="D10" s="3488" t="s">
        <v>3594</v>
      </c>
      <c r="E10" s="3488" t="s">
        <v>3615</v>
      </c>
      <c r="F10" s="3489">
        <v>17930</v>
      </c>
      <c r="G10" s="3488" t="s">
        <v>3590</v>
      </c>
      <c r="H10" s="3488">
        <v>2022</v>
      </c>
      <c r="I10" s="3488" t="s">
        <v>3619</v>
      </c>
      <c r="J10" s="3488" t="s">
        <v>3620</v>
      </c>
      <c r="K10" s="3489">
        <v>663</v>
      </c>
      <c r="L10" s="3489">
        <v>36977</v>
      </c>
      <c r="M10" s="3488" t="s">
        <v>3438</v>
      </c>
    </row>
    <row r="11" spans="1:13" s="3490" customFormat="1" ht="15" hidden="1" customHeight="1">
      <c r="A11" s="3488">
        <v>9</v>
      </c>
      <c r="B11" s="3488" t="s">
        <v>3621</v>
      </c>
      <c r="C11" s="3488" t="s">
        <v>3588</v>
      </c>
      <c r="D11" s="3488" t="s">
        <v>3622</v>
      </c>
      <c r="E11" s="3488" t="s">
        <v>21</v>
      </c>
      <c r="F11" s="3489">
        <v>6772</v>
      </c>
      <c r="G11" s="3488" t="s">
        <v>3590</v>
      </c>
      <c r="H11" s="3488">
        <v>2022</v>
      </c>
      <c r="I11" s="3488" t="s">
        <v>3623</v>
      </c>
      <c r="J11" s="3488" t="s">
        <v>3624</v>
      </c>
      <c r="K11" s="3489">
        <v>203</v>
      </c>
      <c r="L11" s="3489">
        <v>29976</v>
      </c>
      <c r="M11" s="3488" t="s">
        <v>3423</v>
      </c>
    </row>
    <row r="12" spans="1:13" s="3490" customFormat="1" ht="15" hidden="1" customHeight="1">
      <c r="A12" s="3488">
        <v>10</v>
      </c>
      <c r="B12" s="3488" t="s">
        <v>3625</v>
      </c>
      <c r="C12" s="3488" t="s">
        <v>3588</v>
      </c>
      <c r="D12" s="3488" t="s">
        <v>3614</v>
      </c>
      <c r="E12" s="3488" t="s">
        <v>3615</v>
      </c>
      <c r="F12" s="3489">
        <v>8100</v>
      </c>
      <c r="G12" s="3488" t="s">
        <v>3590</v>
      </c>
      <c r="H12" s="3488">
        <v>2022</v>
      </c>
      <c r="I12" s="3488" t="s">
        <v>3626</v>
      </c>
      <c r="J12" s="3488" t="s">
        <v>3627</v>
      </c>
      <c r="K12" s="3489">
        <v>220</v>
      </c>
      <c r="L12" s="3489">
        <v>27160</v>
      </c>
      <c r="M12" s="3488" t="s">
        <v>3423</v>
      </c>
    </row>
    <row r="13" spans="1:13" s="3490" customFormat="1" ht="15" hidden="1" customHeight="1">
      <c r="A13" s="3488">
        <v>11</v>
      </c>
      <c r="B13" s="3488" t="s">
        <v>3628</v>
      </c>
      <c r="C13" s="3488" t="s">
        <v>3588</v>
      </c>
      <c r="D13" s="3488" t="s">
        <v>3629</v>
      </c>
      <c r="E13" s="3488" t="s">
        <v>3615</v>
      </c>
      <c r="F13" s="3489">
        <v>11756</v>
      </c>
      <c r="G13" s="3488" t="s">
        <v>3590</v>
      </c>
      <c r="H13" s="3488">
        <v>2022</v>
      </c>
      <c r="I13" s="3488" t="s">
        <v>3630</v>
      </c>
      <c r="J13" s="3488" t="s">
        <v>3631</v>
      </c>
      <c r="K13" s="3489">
        <v>458</v>
      </c>
      <c r="L13" s="3489">
        <v>39000</v>
      </c>
      <c r="M13" s="3488" t="s">
        <v>3423</v>
      </c>
    </row>
    <row r="14" spans="1:13" s="3490" customFormat="1" ht="15" hidden="1" customHeight="1">
      <c r="A14" s="3488">
        <v>12</v>
      </c>
      <c r="B14" s="3488" t="s">
        <v>3632</v>
      </c>
      <c r="C14" s="3488" t="s">
        <v>3588</v>
      </c>
      <c r="D14" s="3488" t="s">
        <v>3589</v>
      </c>
      <c r="E14" s="3488" t="s">
        <v>3430</v>
      </c>
      <c r="F14" s="3489">
        <v>4677</v>
      </c>
      <c r="G14" s="3488" t="s">
        <v>3590</v>
      </c>
      <c r="H14" s="3488">
        <v>2022</v>
      </c>
      <c r="I14" s="3488" t="s">
        <v>3633</v>
      </c>
      <c r="J14" s="3488" t="s">
        <v>3634</v>
      </c>
      <c r="K14" s="3489">
        <v>183</v>
      </c>
      <c r="L14" s="3489">
        <v>39128</v>
      </c>
      <c r="M14" s="3488" t="s">
        <v>3438</v>
      </c>
    </row>
    <row r="15" spans="1:13" s="3490" customFormat="1" ht="15" hidden="1" customHeight="1">
      <c r="A15" s="3488">
        <v>13</v>
      </c>
      <c r="B15" s="3488" t="s">
        <v>3635</v>
      </c>
      <c r="C15" s="3488" t="s">
        <v>3588</v>
      </c>
      <c r="D15" s="3488" t="s">
        <v>3602</v>
      </c>
      <c r="E15" s="3488" t="s">
        <v>21</v>
      </c>
      <c r="F15" s="3489">
        <v>8573</v>
      </c>
      <c r="G15" s="3488" t="s">
        <v>3590</v>
      </c>
      <c r="H15" s="3488">
        <v>2022</v>
      </c>
      <c r="I15" s="3488" t="s">
        <v>3636</v>
      </c>
      <c r="J15" s="3488" t="s">
        <v>3637</v>
      </c>
      <c r="K15" s="3489">
        <v>386</v>
      </c>
      <c r="L15" s="3489">
        <v>45025</v>
      </c>
      <c r="M15" s="3488" t="s">
        <v>3438</v>
      </c>
    </row>
    <row r="16" spans="1:13" s="3490" customFormat="1" ht="15" hidden="1" customHeight="1">
      <c r="A16" s="3488">
        <v>14</v>
      </c>
      <c r="B16" s="3488" t="s">
        <v>3638</v>
      </c>
      <c r="C16" s="3488" t="s">
        <v>3588</v>
      </c>
      <c r="D16" s="3488" t="s">
        <v>3639</v>
      </c>
      <c r="E16" s="3488" t="s">
        <v>3435</v>
      </c>
      <c r="F16" s="3489">
        <v>109905</v>
      </c>
      <c r="G16" s="3488" t="s">
        <v>3590</v>
      </c>
      <c r="H16" s="3488">
        <v>2022</v>
      </c>
      <c r="I16" s="3488" t="s">
        <v>3640</v>
      </c>
      <c r="J16" s="3488" t="s">
        <v>3641</v>
      </c>
      <c r="K16" s="3489">
        <v>4500</v>
      </c>
      <c r="L16" s="3489">
        <v>40944</v>
      </c>
      <c r="M16" s="3488" t="s">
        <v>3423</v>
      </c>
    </row>
    <row r="17" spans="1:13" s="3490" customFormat="1" ht="15" hidden="1" customHeight="1">
      <c r="A17" s="3488">
        <v>15</v>
      </c>
      <c r="B17" s="3488" t="s">
        <v>3642</v>
      </c>
      <c r="C17" s="3488" t="s">
        <v>3588</v>
      </c>
      <c r="D17" s="3488" t="s">
        <v>3602</v>
      </c>
      <c r="E17" s="3488" t="s">
        <v>21</v>
      </c>
      <c r="F17" s="3489">
        <v>15695</v>
      </c>
      <c r="G17" s="3488" t="s">
        <v>3590</v>
      </c>
      <c r="H17" s="3488">
        <v>2022</v>
      </c>
      <c r="I17" s="3488" t="s">
        <v>3643</v>
      </c>
      <c r="J17" s="3488" t="s">
        <v>3644</v>
      </c>
      <c r="K17" s="3489">
        <v>439</v>
      </c>
      <c r="L17" s="3489">
        <v>28000</v>
      </c>
      <c r="M17" s="3488" t="s">
        <v>3438</v>
      </c>
    </row>
    <row r="18" spans="1:13" s="3490" customFormat="1" ht="15" hidden="1" customHeight="1">
      <c r="A18" s="3488">
        <v>16</v>
      </c>
      <c r="B18" s="3488" t="s">
        <v>3645</v>
      </c>
      <c r="C18" s="3488" t="s">
        <v>3588</v>
      </c>
      <c r="D18" s="3488" t="s">
        <v>3614</v>
      </c>
      <c r="E18" s="3488" t="s">
        <v>3615</v>
      </c>
      <c r="F18" s="3489">
        <v>29473</v>
      </c>
      <c r="G18" s="3488" t="s">
        <v>3590</v>
      </c>
      <c r="H18" s="3488">
        <v>2022</v>
      </c>
      <c r="I18" s="3488" t="s">
        <v>3646</v>
      </c>
      <c r="J18" s="3488" t="s">
        <v>3647</v>
      </c>
      <c r="K18" s="3489">
        <v>994</v>
      </c>
      <c r="L18" s="3489">
        <v>33738</v>
      </c>
      <c r="M18" s="3488" t="s">
        <v>3438</v>
      </c>
    </row>
    <row r="19" spans="1:13" s="3490" customFormat="1" ht="15" hidden="1" customHeight="1">
      <c r="A19" s="3488">
        <v>17</v>
      </c>
      <c r="B19" s="3488" t="s">
        <v>3648</v>
      </c>
      <c r="C19" s="3488" t="s">
        <v>3588</v>
      </c>
      <c r="D19" s="3488" t="s">
        <v>3598</v>
      </c>
      <c r="E19" s="3488" t="s">
        <v>3488</v>
      </c>
      <c r="F19" s="3489">
        <v>420000</v>
      </c>
      <c r="G19" s="3488" t="s">
        <v>3590</v>
      </c>
      <c r="H19" s="3488">
        <v>2022</v>
      </c>
      <c r="I19" s="3488" t="s">
        <v>3649</v>
      </c>
      <c r="J19" s="3488" t="s">
        <v>3650</v>
      </c>
      <c r="K19" s="3489">
        <v>11539</v>
      </c>
      <c r="L19" s="3489">
        <v>54948</v>
      </c>
      <c r="M19" s="3488" t="s">
        <v>3423</v>
      </c>
    </row>
    <row r="20" spans="1:13" s="3490" customFormat="1" ht="15" hidden="1" customHeight="1">
      <c r="A20" s="3488">
        <v>18</v>
      </c>
      <c r="B20" s="3488" t="s">
        <v>3651</v>
      </c>
      <c r="C20" s="3488" t="s">
        <v>3588</v>
      </c>
      <c r="D20" s="3488" t="s">
        <v>3610</v>
      </c>
      <c r="E20" s="3488" t="s">
        <v>21</v>
      </c>
      <c r="F20" s="3489">
        <v>57800</v>
      </c>
      <c r="G20" s="3488" t="s">
        <v>3590</v>
      </c>
      <c r="H20" s="3488">
        <v>2022</v>
      </c>
      <c r="I20" s="3488" t="s">
        <v>3652</v>
      </c>
      <c r="J20" s="3488" t="s">
        <v>3653</v>
      </c>
      <c r="K20" s="3489">
        <v>2984</v>
      </c>
      <c r="L20" s="3489">
        <v>51800</v>
      </c>
      <c r="M20" s="3488" t="s">
        <v>3438</v>
      </c>
    </row>
    <row r="21" spans="1:13" s="3490" customFormat="1" ht="15" hidden="1" customHeight="1">
      <c r="A21" s="3488">
        <v>19</v>
      </c>
      <c r="B21" s="3488" t="s">
        <v>3654</v>
      </c>
      <c r="C21" s="3488" t="s">
        <v>3588</v>
      </c>
      <c r="D21" s="3488" t="s">
        <v>3598</v>
      </c>
      <c r="E21" s="3488" t="s">
        <v>21</v>
      </c>
      <c r="F21" s="3489">
        <v>40393</v>
      </c>
      <c r="G21" s="3488" t="s">
        <v>3655</v>
      </c>
      <c r="H21" s="3488">
        <v>2022</v>
      </c>
      <c r="I21" s="3488" t="s">
        <v>3656</v>
      </c>
      <c r="J21" s="3488" t="s">
        <v>3657</v>
      </c>
      <c r="K21" s="3489">
        <v>1396</v>
      </c>
      <c r="L21" s="3489">
        <v>34560</v>
      </c>
      <c r="M21" s="3488" t="s">
        <v>3438</v>
      </c>
    </row>
    <row r="22" spans="1:13" s="3490" customFormat="1" ht="15" hidden="1" customHeight="1">
      <c r="A22" s="3488">
        <v>20</v>
      </c>
      <c r="B22" s="3488" t="s">
        <v>3658</v>
      </c>
      <c r="C22" s="3488" t="s">
        <v>3588</v>
      </c>
      <c r="D22" s="3488" t="s">
        <v>3629</v>
      </c>
      <c r="E22" s="3488" t="s">
        <v>3615</v>
      </c>
      <c r="F22" s="3489">
        <v>20187</v>
      </c>
      <c r="G22" s="3488" t="s">
        <v>3655</v>
      </c>
      <c r="H22" s="3488">
        <v>2022</v>
      </c>
      <c r="I22" s="3488" t="s">
        <v>3659</v>
      </c>
      <c r="J22" s="3488" t="s">
        <v>3660</v>
      </c>
      <c r="K22" s="3489">
        <v>396</v>
      </c>
      <c r="L22" s="3489">
        <v>19617</v>
      </c>
      <c r="M22" s="3488" t="s">
        <v>3438</v>
      </c>
    </row>
    <row r="23" spans="1:13" s="3490" customFormat="1" ht="15" hidden="1" customHeight="1">
      <c r="A23" s="3488">
        <v>21</v>
      </c>
      <c r="B23" s="3488" t="s">
        <v>3661</v>
      </c>
      <c r="C23" s="3488" t="s">
        <v>3588</v>
      </c>
      <c r="D23" s="3488" t="s">
        <v>3589</v>
      </c>
      <c r="E23" s="3488" t="s">
        <v>3430</v>
      </c>
      <c r="F23" s="3489">
        <v>19127</v>
      </c>
      <c r="G23" s="3488" t="s">
        <v>3655</v>
      </c>
      <c r="H23" s="3488">
        <v>2022</v>
      </c>
      <c r="I23" s="3488" t="s">
        <v>3662</v>
      </c>
      <c r="J23" s="3488" t="s">
        <v>3663</v>
      </c>
      <c r="K23" s="3489">
        <v>840</v>
      </c>
      <c r="L23" s="3489">
        <v>43917</v>
      </c>
      <c r="M23" s="3488" t="s">
        <v>3423</v>
      </c>
    </row>
    <row r="24" spans="1:13" s="3490" customFormat="1" ht="15" hidden="1" customHeight="1">
      <c r="A24" s="3488">
        <v>22</v>
      </c>
      <c r="B24" s="3488" t="s">
        <v>3664</v>
      </c>
      <c r="C24" s="3488" t="s">
        <v>3588</v>
      </c>
      <c r="D24" s="3488" t="s">
        <v>3665</v>
      </c>
      <c r="E24" s="3488" t="s">
        <v>3666</v>
      </c>
      <c r="F24" s="3489">
        <v>71260</v>
      </c>
      <c r="G24" s="3488" t="s">
        <v>3655</v>
      </c>
      <c r="H24" s="3488">
        <v>2022</v>
      </c>
      <c r="I24" s="3488" t="s">
        <v>3667</v>
      </c>
      <c r="J24" s="3488" t="s">
        <v>3668</v>
      </c>
      <c r="K24" s="3489">
        <v>392</v>
      </c>
      <c r="L24" s="3489">
        <v>5500</v>
      </c>
      <c r="M24" s="3488" t="s">
        <v>3438</v>
      </c>
    </row>
    <row r="25" spans="1:13" s="3490" customFormat="1" ht="15" hidden="1" customHeight="1">
      <c r="A25" s="3488">
        <v>23</v>
      </c>
      <c r="B25" s="3488" t="s">
        <v>3669</v>
      </c>
      <c r="C25" s="3488" t="s">
        <v>3588</v>
      </c>
      <c r="D25" s="3488" t="s">
        <v>3602</v>
      </c>
      <c r="E25" s="3488" t="s">
        <v>21</v>
      </c>
      <c r="F25" s="3489">
        <v>37924</v>
      </c>
      <c r="G25" s="3488" t="s">
        <v>3655</v>
      </c>
      <c r="H25" s="3488">
        <v>2022</v>
      </c>
      <c r="I25" s="3488" t="s">
        <v>3644</v>
      </c>
      <c r="J25" s="3488" t="s">
        <v>3670</v>
      </c>
      <c r="K25" s="3489">
        <v>950</v>
      </c>
      <c r="L25" s="3489">
        <v>25050</v>
      </c>
      <c r="M25" s="3488" t="s">
        <v>3423</v>
      </c>
    </row>
    <row r="26" spans="1:13" s="3490" customFormat="1" ht="15" hidden="1" customHeight="1">
      <c r="A26" s="3488">
        <v>24</v>
      </c>
      <c r="B26" s="3488" t="s">
        <v>3671</v>
      </c>
      <c r="C26" s="3488" t="s">
        <v>3588</v>
      </c>
      <c r="D26" s="3488" t="s">
        <v>3614</v>
      </c>
      <c r="E26" s="3488" t="s">
        <v>21</v>
      </c>
      <c r="F26" s="3489">
        <v>54200</v>
      </c>
      <c r="G26" s="3488" t="s">
        <v>3655</v>
      </c>
      <c r="H26" s="3488">
        <v>2022</v>
      </c>
      <c r="I26" s="3488" t="s">
        <v>3641</v>
      </c>
      <c r="J26" s="3488" t="s">
        <v>3672</v>
      </c>
      <c r="K26" s="3489">
        <v>3057</v>
      </c>
      <c r="L26" s="3489">
        <v>56403</v>
      </c>
      <c r="M26" s="3488" t="s">
        <v>3438</v>
      </c>
    </row>
    <row r="27" spans="1:13" s="3490" customFormat="1" ht="15" hidden="1" customHeight="1">
      <c r="A27" s="3488">
        <v>25</v>
      </c>
      <c r="B27" s="3488" t="s">
        <v>3673</v>
      </c>
      <c r="C27" s="3488" t="s">
        <v>3588</v>
      </c>
      <c r="D27" s="3488" t="s">
        <v>3614</v>
      </c>
      <c r="E27" s="3488" t="s">
        <v>3452</v>
      </c>
      <c r="F27" s="3489">
        <v>8690</v>
      </c>
      <c r="G27" s="3488" t="s">
        <v>3655</v>
      </c>
      <c r="H27" s="3488">
        <v>2022</v>
      </c>
      <c r="I27" s="3488" t="s">
        <v>3674</v>
      </c>
      <c r="J27" s="3488" t="s">
        <v>3675</v>
      </c>
      <c r="K27" s="3489">
        <v>282</v>
      </c>
      <c r="L27" s="3489">
        <v>32451</v>
      </c>
      <c r="M27" s="3488" t="s">
        <v>3438</v>
      </c>
    </row>
    <row r="28" spans="1:13" s="3490" customFormat="1" ht="15" hidden="1" customHeight="1">
      <c r="A28" s="3488">
        <v>26</v>
      </c>
      <c r="B28" s="3488" t="s">
        <v>3676</v>
      </c>
      <c r="C28" s="3488" t="s">
        <v>3588</v>
      </c>
      <c r="D28" s="3488" t="s">
        <v>3639</v>
      </c>
      <c r="E28" s="3488" t="s">
        <v>21</v>
      </c>
      <c r="F28" s="3489">
        <v>31000</v>
      </c>
      <c r="G28" s="3488" t="s">
        <v>3655</v>
      </c>
      <c r="H28" s="3488">
        <v>2022</v>
      </c>
      <c r="I28" s="3488" t="s">
        <v>3677</v>
      </c>
      <c r="J28" s="3488" t="s">
        <v>3678</v>
      </c>
      <c r="K28" s="3489">
        <v>2283</v>
      </c>
      <c r="L28" s="3489">
        <v>90920</v>
      </c>
      <c r="M28" s="3488" t="s">
        <v>3423</v>
      </c>
    </row>
    <row r="29" spans="1:13" s="3490" customFormat="1" ht="15" hidden="1" customHeight="1">
      <c r="A29" s="3488">
        <v>27</v>
      </c>
      <c r="B29" s="3488" t="s">
        <v>3679</v>
      </c>
      <c r="C29" s="3488" t="s">
        <v>3588</v>
      </c>
      <c r="D29" s="3488" t="s">
        <v>3614</v>
      </c>
      <c r="E29" s="3488" t="s">
        <v>3615</v>
      </c>
      <c r="F29" s="3489">
        <v>32274</v>
      </c>
      <c r="G29" s="3488" t="s">
        <v>3655</v>
      </c>
      <c r="H29" s="3488">
        <v>2022</v>
      </c>
      <c r="I29" s="3488" t="s">
        <v>3591</v>
      </c>
      <c r="J29" s="3488" t="s">
        <v>3680</v>
      </c>
      <c r="K29" s="3489">
        <v>1300</v>
      </c>
      <c r="L29" s="3489">
        <v>40280</v>
      </c>
      <c r="M29" s="3488" t="s">
        <v>3484</v>
      </c>
    </row>
    <row r="30" spans="1:13" s="3490" customFormat="1" ht="15" hidden="1" customHeight="1">
      <c r="A30" s="3488">
        <v>28</v>
      </c>
      <c r="B30" s="3488" t="s">
        <v>3681</v>
      </c>
      <c r="C30" s="3488" t="s">
        <v>3588</v>
      </c>
      <c r="D30" s="3488" t="s">
        <v>3614</v>
      </c>
      <c r="E30" s="3488" t="s">
        <v>3615</v>
      </c>
      <c r="F30" s="3489">
        <v>8940</v>
      </c>
      <c r="G30" s="3488" t="s">
        <v>3682</v>
      </c>
      <c r="H30" s="3488">
        <v>2022</v>
      </c>
      <c r="I30" s="3488" t="s">
        <v>3662</v>
      </c>
      <c r="J30" s="3488" t="s">
        <v>3683</v>
      </c>
      <c r="K30" s="3489">
        <v>270</v>
      </c>
      <c r="L30" s="3489">
        <v>30200</v>
      </c>
      <c r="M30" s="3488" t="s">
        <v>3423</v>
      </c>
    </row>
    <row r="31" spans="1:13" s="3490" customFormat="1" ht="15" hidden="1" customHeight="1">
      <c r="A31" s="3488">
        <v>29</v>
      </c>
      <c r="B31" s="3488" t="s">
        <v>3684</v>
      </c>
      <c r="C31" s="3488" t="s">
        <v>3588</v>
      </c>
      <c r="D31" s="3488" t="s">
        <v>3614</v>
      </c>
      <c r="E31" s="3488" t="s">
        <v>3666</v>
      </c>
      <c r="F31" s="3489">
        <v>40038</v>
      </c>
      <c r="G31" s="3488" t="s">
        <v>3682</v>
      </c>
      <c r="H31" s="3488">
        <v>2022</v>
      </c>
      <c r="I31" s="3488" t="s">
        <v>3685</v>
      </c>
      <c r="J31" s="3488" t="s">
        <v>3686</v>
      </c>
      <c r="K31" s="3489">
        <v>180</v>
      </c>
      <c r="L31" s="3489">
        <v>4496</v>
      </c>
      <c r="M31" s="3488" t="s">
        <v>3438</v>
      </c>
    </row>
    <row r="32" spans="1:13" s="3490" customFormat="1" ht="15" hidden="1" customHeight="1">
      <c r="A32" s="3488">
        <v>30</v>
      </c>
      <c r="B32" s="3488" t="s">
        <v>3687</v>
      </c>
      <c r="C32" s="3488" t="s">
        <v>3588</v>
      </c>
      <c r="D32" s="3488" t="s">
        <v>3688</v>
      </c>
      <c r="E32" s="3488" t="s">
        <v>21</v>
      </c>
      <c r="F32" s="3489">
        <v>5403</v>
      </c>
      <c r="G32" s="3488" t="s">
        <v>3682</v>
      </c>
      <c r="H32" s="3488">
        <v>2022</v>
      </c>
      <c r="I32" s="3488" t="s">
        <v>3689</v>
      </c>
      <c r="J32" s="3488" t="s">
        <v>3690</v>
      </c>
      <c r="K32" s="3489">
        <v>176</v>
      </c>
      <c r="L32" s="3489">
        <v>32574</v>
      </c>
      <c r="M32" s="3488" t="s">
        <v>3438</v>
      </c>
    </row>
    <row r="33" spans="1:13" s="3490" customFormat="1" ht="15" hidden="1" customHeight="1">
      <c r="A33" s="3488">
        <v>31</v>
      </c>
      <c r="B33" s="3488" t="s">
        <v>3691</v>
      </c>
      <c r="C33" s="3488" t="s">
        <v>3588</v>
      </c>
      <c r="D33" s="3488" t="s">
        <v>3622</v>
      </c>
      <c r="E33" s="3488" t="s">
        <v>3430</v>
      </c>
      <c r="F33" s="3489">
        <v>41866</v>
      </c>
      <c r="G33" s="3488" t="s">
        <v>3682</v>
      </c>
      <c r="H33" s="3488">
        <v>2022</v>
      </c>
      <c r="I33" s="3488" t="s">
        <v>3692</v>
      </c>
      <c r="J33" s="3488" t="s">
        <v>3693</v>
      </c>
      <c r="K33" s="3489">
        <v>1350</v>
      </c>
      <c r="L33" s="3489">
        <v>32000</v>
      </c>
      <c r="M33" s="3488" t="s">
        <v>3438</v>
      </c>
    </row>
    <row r="34" spans="1:13" s="3490" customFormat="1" ht="15" hidden="1" customHeight="1">
      <c r="A34" s="3488">
        <v>32</v>
      </c>
      <c r="B34" s="3488" t="s">
        <v>3694</v>
      </c>
      <c r="C34" s="3488" t="s">
        <v>3588</v>
      </c>
      <c r="D34" s="3488" t="s">
        <v>3598</v>
      </c>
      <c r="E34" s="3488" t="s">
        <v>21</v>
      </c>
      <c r="F34" s="3489">
        <v>13986</v>
      </c>
      <c r="G34" s="3488" t="s">
        <v>3682</v>
      </c>
      <c r="H34" s="3488">
        <v>2022</v>
      </c>
      <c r="I34" s="3488" t="s">
        <v>3695</v>
      </c>
      <c r="J34" s="3488" t="s">
        <v>3696</v>
      </c>
      <c r="K34" s="3489">
        <v>1672</v>
      </c>
      <c r="L34" s="3489">
        <v>119548</v>
      </c>
      <c r="M34" s="3488" t="s">
        <v>3438</v>
      </c>
    </row>
    <row r="35" spans="1:13" s="3490" customFormat="1" ht="15" hidden="1" customHeight="1">
      <c r="A35" s="3488">
        <v>33</v>
      </c>
      <c r="B35" s="3488" t="s">
        <v>3697</v>
      </c>
      <c r="C35" s="3488" t="s">
        <v>3698</v>
      </c>
      <c r="D35" s="3488" t="s">
        <v>3699</v>
      </c>
      <c r="E35" s="3488" t="s">
        <v>3700</v>
      </c>
      <c r="F35" s="3489">
        <v>67715</v>
      </c>
      <c r="G35" s="3488" t="s">
        <v>3701</v>
      </c>
      <c r="H35" s="3488">
        <v>2022</v>
      </c>
      <c r="I35" s="3488" t="s">
        <v>3702</v>
      </c>
      <c r="J35" s="3488" t="s">
        <v>3703</v>
      </c>
      <c r="K35" s="3489">
        <v>2520</v>
      </c>
      <c r="L35" s="3489">
        <v>37215</v>
      </c>
      <c r="M35" s="3488" t="s">
        <v>3704</v>
      </c>
    </row>
    <row r="36" spans="1:13" s="3490" customFormat="1" ht="15" hidden="1" customHeight="1">
      <c r="A36" s="3488">
        <v>34</v>
      </c>
      <c r="B36" s="3488" t="s">
        <v>3705</v>
      </c>
      <c r="C36" s="3488" t="s">
        <v>3698</v>
      </c>
      <c r="D36" s="3488" t="s">
        <v>3699</v>
      </c>
      <c r="E36" s="3488" t="s">
        <v>3706</v>
      </c>
      <c r="F36" s="3489">
        <v>23226</v>
      </c>
      <c r="G36" s="3488" t="s">
        <v>3701</v>
      </c>
      <c r="H36" s="3488">
        <v>2022</v>
      </c>
      <c r="I36" s="3488" t="s">
        <v>3707</v>
      </c>
      <c r="J36" s="3488" t="s">
        <v>3708</v>
      </c>
      <c r="K36" s="3489">
        <v>397</v>
      </c>
      <c r="L36" s="3489">
        <v>17093</v>
      </c>
      <c r="M36" s="3488" t="s">
        <v>3704</v>
      </c>
    </row>
    <row r="37" spans="1:13" s="3490" customFormat="1" ht="15" hidden="1" customHeight="1">
      <c r="A37" s="3488">
        <v>35</v>
      </c>
      <c r="B37" s="3488" t="s">
        <v>3709</v>
      </c>
      <c r="C37" s="3488" t="s">
        <v>3698</v>
      </c>
      <c r="D37" s="3488" t="s">
        <v>3710</v>
      </c>
      <c r="E37" s="3488" t="s">
        <v>3700</v>
      </c>
      <c r="F37" s="3489">
        <v>15101</v>
      </c>
      <c r="G37" s="3488" t="s">
        <v>3701</v>
      </c>
      <c r="H37" s="3488">
        <v>2022</v>
      </c>
      <c r="I37" s="3488" t="s">
        <v>3711</v>
      </c>
      <c r="J37" s="3488" t="s">
        <v>3712</v>
      </c>
      <c r="K37" s="3489">
        <v>680</v>
      </c>
      <c r="L37" s="3489">
        <v>45000</v>
      </c>
      <c r="M37" s="3488" t="s">
        <v>3704</v>
      </c>
    </row>
    <row r="38" spans="1:13" s="3490" customFormat="1" ht="15" hidden="1" customHeight="1">
      <c r="A38" s="3488">
        <v>36</v>
      </c>
      <c r="B38" s="3488" t="s">
        <v>3713</v>
      </c>
      <c r="C38" s="3488" t="s">
        <v>3698</v>
      </c>
      <c r="D38" s="3488" t="s">
        <v>3710</v>
      </c>
      <c r="E38" s="3488" t="s">
        <v>3700</v>
      </c>
      <c r="F38" s="3489">
        <v>15101</v>
      </c>
      <c r="G38" s="3488" t="s">
        <v>3701</v>
      </c>
      <c r="H38" s="3488">
        <v>2022</v>
      </c>
      <c r="I38" s="3488" t="s">
        <v>3711</v>
      </c>
      <c r="J38" s="3488" t="s">
        <v>3714</v>
      </c>
      <c r="K38" s="3489">
        <v>680</v>
      </c>
      <c r="L38" s="3489">
        <v>45000</v>
      </c>
      <c r="M38" s="3488" t="s">
        <v>3704</v>
      </c>
    </row>
    <row r="39" spans="1:13" s="3490" customFormat="1" ht="15" hidden="1" customHeight="1">
      <c r="A39" s="3488">
        <v>37</v>
      </c>
      <c r="B39" s="3488" t="s">
        <v>3715</v>
      </c>
      <c r="C39" s="3488" t="s">
        <v>3698</v>
      </c>
      <c r="D39" s="3488" t="s">
        <v>3716</v>
      </c>
      <c r="E39" s="3488" t="s">
        <v>3706</v>
      </c>
      <c r="F39" s="3489">
        <v>14095</v>
      </c>
      <c r="G39" s="3488" t="s">
        <v>3701</v>
      </c>
      <c r="H39" s="3488">
        <v>2022</v>
      </c>
      <c r="I39" s="3488" t="s">
        <v>3717</v>
      </c>
      <c r="J39" s="3488" t="s">
        <v>3718</v>
      </c>
      <c r="K39" s="3489">
        <v>333</v>
      </c>
      <c r="L39" s="3489">
        <v>23625</v>
      </c>
      <c r="M39" s="3488" t="s">
        <v>3704</v>
      </c>
    </row>
    <row r="40" spans="1:13" s="3490" customFormat="1" ht="15" hidden="1" customHeight="1">
      <c r="A40" s="3488">
        <v>38</v>
      </c>
      <c r="B40" s="3488" t="s">
        <v>3719</v>
      </c>
      <c r="C40" s="3488" t="s">
        <v>3698</v>
      </c>
      <c r="D40" s="3488" t="s">
        <v>3716</v>
      </c>
      <c r="E40" s="3488" t="s">
        <v>3706</v>
      </c>
      <c r="F40" s="3489">
        <v>19862</v>
      </c>
      <c r="G40" s="3488" t="s">
        <v>3701</v>
      </c>
      <c r="H40" s="3488">
        <v>2022</v>
      </c>
      <c r="I40" s="3488" t="s">
        <v>3717</v>
      </c>
      <c r="J40" s="3488" t="s">
        <v>3718</v>
      </c>
      <c r="K40" s="3489">
        <v>480</v>
      </c>
      <c r="L40" s="3489">
        <v>24200</v>
      </c>
      <c r="M40" s="3488" t="s">
        <v>3704</v>
      </c>
    </row>
    <row r="41" spans="1:13" s="3490" customFormat="1" ht="15" hidden="1" customHeight="1">
      <c r="A41" s="3488">
        <v>39</v>
      </c>
      <c r="B41" s="3488" t="s">
        <v>3720</v>
      </c>
      <c r="C41" s="3488" t="s">
        <v>3698</v>
      </c>
      <c r="D41" s="3488" t="s">
        <v>3721</v>
      </c>
      <c r="E41" s="3488" t="s">
        <v>3700</v>
      </c>
      <c r="F41" s="3489">
        <v>45395</v>
      </c>
      <c r="G41" s="3488" t="s">
        <v>3701</v>
      </c>
      <c r="H41" s="3488">
        <v>2022</v>
      </c>
      <c r="I41" s="3488" t="s">
        <v>3722</v>
      </c>
      <c r="J41" s="3488" t="s">
        <v>3723</v>
      </c>
      <c r="K41" s="3489">
        <v>2633</v>
      </c>
      <c r="L41" s="3489">
        <v>58000</v>
      </c>
      <c r="M41" s="3488" t="s">
        <v>3704</v>
      </c>
    </row>
    <row r="42" spans="1:13" s="3490" customFormat="1" ht="15" hidden="1" customHeight="1">
      <c r="A42" s="3488">
        <v>40</v>
      </c>
      <c r="B42" s="3488" t="s">
        <v>3724</v>
      </c>
      <c r="C42" s="3488" t="s">
        <v>3698</v>
      </c>
      <c r="D42" s="3488" t="s">
        <v>3721</v>
      </c>
      <c r="E42" s="3488" t="s">
        <v>3700</v>
      </c>
      <c r="F42" s="3489">
        <v>93780</v>
      </c>
      <c r="G42" s="3488" t="s">
        <v>3701</v>
      </c>
      <c r="H42" s="3488">
        <v>2022</v>
      </c>
      <c r="I42" s="3488" t="s">
        <v>3725</v>
      </c>
      <c r="J42" s="3488" t="s">
        <v>3726</v>
      </c>
      <c r="K42" s="3489">
        <v>5700</v>
      </c>
      <c r="L42" s="3489">
        <v>60781</v>
      </c>
      <c r="M42" s="3488" t="s">
        <v>3704</v>
      </c>
    </row>
    <row r="43" spans="1:13" s="3490" customFormat="1" ht="15" hidden="1" customHeight="1">
      <c r="A43" s="3488">
        <v>41</v>
      </c>
      <c r="B43" s="3488" t="s">
        <v>3727</v>
      </c>
      <c r="C43" s="3488" t="s">
        <v>3698</v>
      </c>
      <c r="D43" s="3488" t="s">
        <v>3721</v>
      </c>
      <c r="E43" s="3488" t="s">
        <v>3728</v>
      </c>
      <c r="F43" s="3489">
        <v>20507</v>
      </c>
      <c r="G43" s="3488" t="s">
        <v>3701</v>
      </c>
      <c r="H43" s="3488">
        <v>2022</v>
      </c>
      <c r="I43" s="3488" t="s">
        <v>3725</v>
      </c>
      <c r="J43" s="3488" t="s">
        <v>3729</v>
      </c>
      <c r="K43" s="3489">
        <v>1150</v>
      </c>
      <c r="L43" s="3489">
        <v>56078</v>
      </c>
      <c r="M43" s="3488" t="s">
        <v>3704</v>
      </c>
    </row>
    <row r="44" spans="1:13" s="3490" customFormat="1" ht="15" hidden="1" customHeight="1">
      <c r="A44" s="3488">
        <v>42</v>
      </c>
      <c r="B44" s="3488" t="s">
        <v>3730</v>
      </c>
      <c r="C44" s="3488" t="s">
        <v>3698</v>
      </c>
      <c r="D44" s="3488" t="s">
        <v>3731</v>
      </c>
      <c r="E44" s="3488" t="s">
        <v>3700</v>
      </c>
      <c r="F44" s="3489">
        <v>3739</v>
      </c>
      <c r="G44" s="3488" t="s">
        <v>3701</v>
      </c>
      <c r="H44" s="3488">
        <v>2022</v>
      </c>
      <c r="I44" s="3488" t="s">
        <v>3722</v>
      </c>
      <c r="J44" s="3488" t="s">
        <v>3732</v>
      </c>
      <c r="K44" s="3489">
        <v>180</v>
      </c>
      <c r="L44" s="3489">
        <v>48141</v>
      </c>
      <c r="M44" s="3488" t="s">
        <v>3704</v>
      </c>
    </row>
    <row r="45" spans="1:13" s="3490" customFormat="1" ht="15" hidden="1" customHeight="1">
      <c r="A45" s="3488">
        <v>43</v>
      </c>
      <c r="B45" s="3488" t="s">
        <v>3733</v>
      </c>
      <c r="C45" s="3488" t="s">
        <v>3698</v>
      </c>
      <c r="D45" s="3488" t="s">
        <v>3734</v>
      </c>
      <c r="E45" s="3488" t="s">
        <v>3700</v>
      </c>
      <c r="F45" s="3489">
        <v>10232</v>
      </c>
      <c r="G45" s="3488" t="s">
        <v>3701</v>
      </c>
      <c r="H45" s="3488">
        <v>2022</v>
      </c>
      <c r="I45" s="3488" t="s">
        <v>3735</v>
      </c>
      <c r="J45" s="3488" t="s">
        <v>3736</v>
      </c>
      <c r="K45" s="3489">
        <v>657</v>
      </c>
      <c r="L45" s="3489">
        <v>64210</v>
      </c>
      <c r="M45" s="3488" t="s">
        <v>3704</v>
      </c>
    </row>
    <row r="46" spans="1:13" s="3490" customFormat="1" ht="15" hidden="1" customHeight="1">
      <c r="A46" s="3488">
        <v>44</v>
      </c>
      <c r="B46" s="3488" t="s">
        <v>3737</v>
      </c>
      <c r="C46" s="3488" t="s">
        <v>3698</v>
      </c>
      <c r="D46" s="3488" t="s">
        <v>3699</v>
      </c>
      <c r="E46" s="3488" t="s">
        <v>3728</v>
      </c>
      <c r="F46" s="3489">
        <v>33456</v>
      </c>
      <c r="G46" s="3488" t="s">
        <v>3701</v>
      </c>
      <c r="H46" s="3488">
        <v>2022</v>
      </c>
      <c r="I46" s="3488" t="s">
        <v>3738</v>
      </c>
      <c r="J46" s="3488" t="s">
        <v>3739</v>
      </c>
      <c r="K46" s="3489">
        <v>892</v>
      </c>
      <c r="L46" s="3489">
        <v>26700</v>
      </c>
      <c r="M46" s="3488" t="s">
        <v>3704</v>
      </c>
    </row>
    <row r="47" spans="1:13" s="3490" customFormat="1" ht="15" hidden="1" customHeight="1">
      <c r="A47" s="3488">
        <v>45</v>
      </c>
      <c r="B47" s="3488" t="s">
        <v>3740</v>
      </c>
      <c r="C47" s="3488" t="s">
        <v>3698</v>
      </c>
      <c r="D47" s="3488" t="s">
        <v>3721</v>
      </c>
      <c r="E47" s="3488" t="s">
        <v>3700</v>
      </c>
      <c r="F47" s="3489">
        <v>27427</v>
      </c>
      <c r="G47" s="3488" t="s">
        <v>3701</v>
      </c>
      <c r="H47" s="3488">
        <v>2022</v>
      </c>
      <c r="I47" s="3488" t="s">
        <v>3741</v>
      </c>
      <c r="J47" s="3488" t="s">
        <v>3742</v>
      </c>
      <c r="K47" s="3489">
        <v>1100</v>
      </c>
      <c r="L47" s="3489">
        <v>40106</v>
      </c>
      <c r="M47" s="3488" t="s">
        <v>3704</v>
      </c>
    </row>
    <row r="48" spans="1:13" s="3490" customFormat="1" ht="15" hidden="1" customHeight="1">
      <c r="A48" s="3488">
        <v>46</v>
      </c>
      <c r="B48" s="3488" t="s">
        <v>3743</v>
      </c>
      <c r="C48" s="3488" t="s">
        <v>3698</v>
      </c>
      <c r="D48" s="3488" t="s">
        <v>3699</v>
      </c>
      <c r="E48" s="3488" t="s">
        <v>3700</v>
      </c>
      <c r="F48" s="3489">
        <v>57318</v>
      </c>
      <c r="G48" s="3488" t="s">
        <v>3701</v>
      </c>
      <c r="H48" s="3488">
        <v>2022</v>
      </c>
      <c r="I48" s="3488" t="s">
        <v>3744</v>
      </c>
      <c r="J48" s="3488" t="s">
        <v>3745</v>
      </c>
      <c r="K48" s="3489">
        <v>2850</v>
      </c>
      <c r="L48" s="3489">
        <v>50595</v>
      </c>
      <c r="M48" s="3488" t="s">
        <v>3746</v>
      </c>
    </row>
    <row r="49" spans="1:13" s="3490" customFormat="1" ht="15" hidden="1" customHeight="1">
      <c r="A49" s="3488">
        <v>47</v>
      </c>
      <c r="B49" s="3488" t="s">
        <v>3747</v>
      </c>
      <c r="C49" s="3488" t="s">
        <v>3698</v>
      </c>
      <c r="D49" s="3488" t="s">
        <v>3748</v>
      </c>
      <c r="E49" s="3488" t="s">
        <v>3749</v>
      </c>
      <c r="F49" s="3489">
        <v>68433</v>
      </c>
      <c r="G49" s="3488" t="s">
        <v>3701</v>
      </c>
      <c r="H49" s="3488">
        <v>2022</v>
      </c>
      <c r="I49" s="3488" t="s">
        <v>3750</v>
      </c>
      <c r="J49" s="3488" t="s">
        <v>3751</v>
      </c>
      <c r="K49" s="3489">
        <v>411</v>
      </c>
      <c r="L49" s="3489">
        <v>6000</v>
      </c>
      <c r="M49" s="3488" t="s">
        <v>3746</v>
      </c>
    </row>
    <row r="50" spans="1:13" s="3490" customFormat="1" ht="15" hidden="1" customHeight="1">
      <c r="A50" s="3488">
        <v>48</v>
      </c>
      <c r="B50" s="3488" t="s">
        <v>3752</v>
      </c>
      <c r="C50" s="3488" t="s">
        <v>3698</v>
      </c>
      <c r="D50" s="3488" t="s">
        <v>3731</v>
      </c>
      <c r="E50" s="3488" t="s">
        <v>3700</v>
      </c>
      <c r="F50" s="3489">
        <v>34350</v>
      </c>
      <c r="G50" s="3488" t="s">
        <v>3701</v>
      </c>
      <c r="H50" s="3488">
        <v>2022</v>
      </c>
      <c r="I50" s="3488" t="s">
        <v>3753</v>
      </c>
      <c r="J50" s="3488" t="s">
        <v>3754</v>
      </c>
      <c r="K50" s="3489">
        <v>700</v>
      </c>
      <c r="L50" s="3489">
        <v>20378</v>
      </c>
      <c r="M50" s="3488" t="s">
        <v>3746</v>
      </c>
    </row>
    <row r="51" spans="1:13" s="3490" customFormat="1" ht="15" hidden="1" customHeight="1">
      <c r="A51" s="3488">
        <v>49</v>
      </c>
      <c r="B51" s="3488" t="s">
        <v>3755</v>
      </c>
      <c r="C51" s="3488" t="s">
        <v>3698</v>
      </c>
      <c r="D51" s="3488" t="s">
        <v>3721</v>
      </c>
      <c r="E51" s="3488" t="s">
        <v>3706</v>
      </c>
      <c r="F51" s="3489">
        <v>6002</v>
      </c>
      <c r="G51" s="3488" t="s">
        <v>3701</v>
      </c>
      <c r="H51" s="3488">
        <v>2022</v>
      </c>
      <c r="I51" s="3488" t="s">
        <v>3756</v>
      </c>
      <c r="J51" s="3488" t="s">
        <v>3757</v>
      </c>
      <c r="K51" s="3489">
        <v>120</v>
      </c>
      <c r="L51" s="3489">
        <v>19993</v>
      </c>
      <c r="M51" s="3488" t="s">
        <v>3704</v>
      </c>
    </row>
    <row r="52" spans="1:13" s="3490" customFormat="1" ht="15" hidden="1" customHeight="1">
      <c r="A52" s="3488">
        <v>50</v>
      </c>
      <c r="B52" s="3488" t="s">
        <v>3758</v>
      </c>
      <c r="C52" s="3488" t="s">
        <v>3698</v>
      </c>
      <c r="D52" s="3488" t="s">
        <v>3759</v>
      </c>
      <c r="E52" s="3488" t="s">
        <v>3760</v>
      </c>
      <c r="F52" s="3489">
        <v>13100</v>
      </c>
      <c r="G52" s="3488" t="s">
        <v>3701</v>
      </c>
      <c r="H52" s="3488">
        <v>2022</v>
      </c>
      <c r="I52" s="3488" t="s">
        <v>3761</v>
      </c>
      <c r="J52" s="3488" t="s">
        <v>3762</v>
      </c>
      <c r="K52" s="3489">
        <v>113</v>
      </c>
      <c r="L52" s="3489">
        <v>8626</v>
      </c>
      <c r="M52" s="3488" t="s">
        <v>3746</v>
      </c>
    </row>
    <row r="53" spans="1:13" s="3490" customFormat="1" ht="15" hidden="1" customHeight="1">
      <c r="A53" s="3488">
        <v>51</v>
      </c>
      <c r="B53" s="3488" t="s">
        <v>3763</v>
      </c>
      <c r="C53" s="3488" t="s">
        <v>3698</v>
      </c>
      <c r="D53" s="3488" t="s">
        <v>3699</v>
      </c>
      <c r="E53" s="3488" t="s">
        <v>3706</v>
      </c>
      <c r="F53" s="3489">
        <v>38149</v>
      </c>
      <c r="G53" s="3488" t="s">
        <v>3701</v>
      </c>
      <c r="H53" s="3488">
        <v>2022</v>
      </c>
      <c r="I53" s="3488" t="s">
        <v>3764</v>
      </c>
      <c r="J53" s="3488" t="s">
        <v>3765</v>
      </c>
      <c r="K53" s="3489">
        <v>420</v>
      </c>
      <c r="L53" s="3489">
        <v>11009</v>
      </c>
      <c r="M53" s="3488" t="s">
        <v>3746</v>
      </c>
    </row>
    <row r="54" spans="1:13" s="3490" customFormat="1" ht="15" hidden="1" customHeight="1">
      <c r="A54" s="3488">
        <v>52</v>
      </c>
      <c r="B54" s="3488" t="s">
        <v>3766</v>
      </c>
      <c r="C54" s="3488" t="s">
        <v>3698</v>
      </c>
      <c r="D54" s="3488" t="s">
        <v>3710</v>
      </c>
      <c r="E54" s="3488" t="s">
        <v>3700</v>
      </c>
      <c r="F54" s="3489">
        <v>5874</v>
      </c>
      <c r="G54" s="3488" t="s">
        <v>3767</v>
      </c>
      <c r="H54" s="3488">
        <v>2022</v>
      </c>
      <c r="I54" s="3488" t="s">
        <v>3768</v>
      </c>
      <c r="J54" s="3488" t="s">
        <v>3769</v>
      </c>
      <c r="K54" s="3489">
        <v>200</v>
      </c>
      <c r="L54" s="3489">
        <v>34048</v>
      </c>
      <c r="M54" s="3488" t="s">
        <v>3704</v>
      </c>
    </row>
    <row r="55" spans="1:13" s="3490" customFormat="1" ht="15" hidden="1" customHeight="1">
      <c r="A55" s="3488">
        <v>53</v>
      </c>
      <c r="B55" s="3488" t="s">
        <v>3770</v>
      </c>
      <c r="C55" s="3488" t="s">
        <v>3698</v>
      </c>
      <c r="D55" s="3488" t="s">
        <v>3716</v>
      </c>
      <c r="E55" s="3488" t="s">
        <v>3706</v>
      </c>
      <c r="F55" s="3489">
        <v>5135</v>
      </c>
      <c r="G55" s="3488" t="s">
        <v>3767</v>
      </c>
      <c r="H55" s="3488">
        <v>2022</v>
      </c>
      <c r="I55" s="3488" t="s">
        <v>3771</v>
      </c>
      <c r="J55" s="3488" t="s">
        <v>3772</v>
      </c>
      <c r="K55" s="3489">
        <v>200</v>
      </c>
      <c r="L55" s="3489">
        <v>39000</v>
      </c>
      <c r="M55" s="3488" t="s">
        <v>3704</v>
      </c>
    </row>
    <row r="56" spans="1:13" s="3490" customFormat="1" ht="15" hidden="1" customHeight="1">
      <c r="A56" s="3488">
        <v>54</v>
      </c>
      <c r="B56" s="3488" t="s">
        <v>3773</v>
      </c>
      <c r="C56" s="3488" t="s">
        <v>3698</v>
      </c>
      <c r="D56" s="3488" t="s">
        <v>3774</v>
      </c>
      <c r="E56" s="3488" t="s">
        <v>3706</v>
      </c>
      <c r="F56" s="3489">
        <v>79260</v>
      </c>
      <c r="G56" s="3488" t="s">
        <v>3767</v>
      </c>
      <c r="H56" s="3488">
        <v>2022</v>
      </c>
      <c r="I56" s="3488" t="s">
        <v>3775</v>
      </c>
      <c r="J56" s="3488" t="s">
        <v>3776</v>
      </c>
      <c r="K56" s="3489">
        <v>2753</v>
      </c>
      <c r="L56" s="3489">
        <v>34734</v>
      </c>
      <c r="M56" s="3488" t="s">
        <v>3777</v>
      </c>
    </row>
    <row r="57" spans="1:13" s="3490" customFormat="1" ht="15" hidden="1" customHeight="1">
      <c r="A57" s="3488">
        <v>55</v>
      </c>
      <c r="B57" s="3488" t="s">
        <v>3778</v>
      </c>
      <c r="C57" s="3488" t="s">
        <v>3698</v>
      </c>
      <c r="D57" s="3488" t="s">
        <v>3699</v>
      </c>
      <c r="E57" s="3488" t="s">
        <v>3749</v>
      </c>
      <c r="F57" s="3489">
        <v>29380</v>
      </c>
      <c r="G57" s="3488" t="s">
        <v>3767</v>
      </c>
      <c r="H57" s="3488">
        <v>2022</v>
      </c>
      <c r="I57" s="3488" t="s">
        <v>3779</v>
      </c>
      <c r="J57" s="3488" t="s">
        <v>3780</v>
      </c>
      <c r="K57" s="3489">
        <v>283</v>
      </c>
      <c r="L57" s="3489">
        <v>9632</v>
      </c>
      <c r="M57" s="3488" t="s">
        <v>3746</v>
      </c>
    </row>
    <row r="58" spans="1:13" s="3490" customFormat="1" ht="15" hidden="1" customHeight="1">
      <c r="A58" s="3488">
        <v>56</v>
      </c>
      <c r="B58" s="3488" t="s">
        <v>3781</v>
      </c>
      <c r="C58" s="3488" t="s">
        <v>3698</v>
      </c>
      <c r="D58" s="3488" t="s">
        <v>3782</v>
      </c>
      <c r="E58" s="3488" t="s">
        <v>3783</v>
      </c>
      <c r="F58" s="3489">
        <v>11427</v>
      </c>
      <c r="G58" s="3488" t="s">
        <v>3767</v>
      </c>
      <c r="H58" s="3488">
        <v>2022</v>
      </c>
      <c r="I58" s="3488" t="s">
        <v>3784</v>
      </c>
      <c r="J58" s="3488" t="s">
        <v>3785</v>
      </c>
      <c r="K58" s="3489">
        <v>253</v>
      </c>
      <c r="L58" s="3489">
        <v>22141</v>
      </c>
      <c r="M58" s="3488" t="s">
        <v>3746</v>
      </c>
    </row>
    <row r="59" spans="1:13" s="3490" customFormat="1" ht="15" hidden="1" customHeight="1">
      <c r="A59" s="3488">
        <v>57</v>
      </c>
      <c r="B59" s="3488" t="s">
        <v>3786</v>
      </c>
      <c r="C59" s="3488" t="s">
        <v>3698</v>
      </c>
      <c r="D59" s="3488" t="s">
        <v>3721</v>
      </c>
      <c r="E59" s="3488" t="s">
        <v>3783</v>
      </c>
      <c r="F59" s="3489">
        <v>3209</v>
      </c>
      <c r="G59" s="3488" t="s">
        <v>3767</v>
      </c>
      <c r="H59" s="3488">
        <v>2022</v>
      </c>
      <c r="I59" s="3488" t="s">
        <v>3787</v>
      </c>
      <c r="J59" s="3488" t="s">
        <v>3788</v>
      </c>
      <c r="K59" s="3489">
        <v>92</v>
      </c>
      <c r="L59" s="3489">
        <v>28669</v>
      </c>
      <c r="M59" s="3488" t="s">
        <v>3746</v>
      </c>
    </row>
    <row r="60" spans="1:13" s="3490" customFormat="1" ht="15" hidden="1" customHeight="1">
      <c r="A60" s="3488">
        <v>58</v>
      </c>
      <c r="B60" s="3488" t="s">
        <v>3789</v>
      </c>
      <c r="C60" s="3488" t="s">
        <v>3698</v>
      </c>
      <c r="D60" s="3488" t="s">
        <v>3699</v>
      </c>
      <c r="E60" s="3488" t="s">
        <v>3706</v>
      </c>
      <c r="F60" s="3489">
        <v>22073</v>
      </c>
      <c r="G60" s="3488" t="s">
        <v>3767</v>
      </c>
      <c r="H60" s="3488">
        <v>2022</v>
      </c>
      <c r="I60" s="3488" t="s">
        <v>3790</v>
      </c>
      <c r="J60" s="3488" t="s">
        <v>3791</v>
      </c>
      <c r="K60" s="3489">
        <v>580</v>
      </c>
      <c r="L60" s="3489">
        <v>26276</v>
      </c>
      <c r="M60" s="3488" t="s">
        <v>3746</v>
      </c>
    </row>
    <row r="61" spans="1:13" s="3490" customFormat="1" ht="15" hidden="1" customHeight="1">
      <c r="A61" s="3488">
        <v>59</v>
      </c>
      <c r="B61" s="3488" t="s">
        <v>3792</v>
      </c>
      <c r="C61" s="3488" t="s">
        <v>3698</v>
      </c>
      <c r="D61" s="3488" t="s">
        <v>3721</v>
      </c>
      <c r="E61" s="3488" t="s">
        <v>3728</v>
      </c>
      <c r="F61" s="3489">
        <v>4636</v>
      </c>
      <c r="G61" s="3488" t="s">
        <v>3767</v>
      </c>
      <c r="H61" s="3488">
        <v>2022</v>
      </c>
      <c r="I61" s="3488" t="s">
        <v>3793</v>
      </c>
      <c r="J61" s="3488" t="s">
        <v>3757</v>
      </c>
      <c r="K61" s="3489">
        <v>140</v>
      </c>
      <c r="L61" s="3489">
        <v>30198</v>
      </c>
      <c r="M61" s="3488" t="s">
        <v>3704</v>
      </c>
    </row>
    <row r="62" spans="1:13" s="3490" customFormat="1" ht="15" hidden="1" customHeight="1">
      <c r="A62" s="3488">
        <v>60</v>
      </c>
      <c r="B62" s="3488" t="s">
        <v>3794</v>
      </c>
      <c r="C62" s="3488" t="s">
        <v>3698</v>
      </c>
      <c r="D62" s="3488" t="s">
        <v>3699</v>
      </c>
      <c r="E62" s="3488" t="s">
        <v>3706</v>
      </c>
      <c r="F62" s="3489">
        <v>26755</v>
      </c>
      <c r="G62" s="3488" t="s">
        <v>3767</v>
      </c>
      <c r="H62" s="3488">
        <v>2022</v>
      </c>
      <c r="I62" s="3488" t="s">
        <v>3795</v>
      </c>
      <c r="J62" s="3488" t="s">
        <v>3796</v>
      </c>
      <c r="K62" s="3489">
        <v>1070</v>
      </c>
      <c r="L62" s="3489">
        <v>40000</v>
      </c>
      <c r="M62" s="3488" t="s">
        <v>3746</v>
      </c>
    </row>
    <row r="63" spans="1:13" s="3490" customFormat="1" ht="15" hidden="1" customHeight="1">
      <c r="A63" s="3488">
        <v>61</v>
      </c>
      <c r="B63" s="3488" t="s">
        <v>3797</v>
      </c>
      <c r="C63" s="3488" t="s">
        <v>3698</v>
      </c>
      <c r="D63" s="3488" t="s">
        <v>3798</v>
      </c>
      <c r="E63" s="3488" t="s">
        <v>3700</v>
      </c>
      <c r="F63" s="3489">
        <v>145642</v>
      </c>
      <c r="G63" s="3488" t="s">
        <v>3767</v>
      </c>
      <c r="H63" s="3488">
        <v>2022</v>
      </c>
      <c r="I63" s="3488" t="s">
        <v>3799</v>
      </c>
      <c r="J63" s="3488" t="s">
        <v>3800</v>
      </c>
      <c r="K63" s="3489">
        <v>7300</v>
      </c>
      <c r="L63" s="3489">
        <v>50123</v>
      </c>
      <c r="M63" s="3488" t="s">
        <v>3746</v>
      </c>
    </row>
    <row r="64" spans="1:13" s="3490" customFormat="1" ht="15" hidden="1" customHeight="1">
      <c r="A64" s="3488">
        <v>62</v>
      </c>
      <c r="B64" s="3488" t="s">
        <v>3801</v>
      </c>
      <c r="C64" s="3488" t="s">
        <v>3698</v>
      </c>
      <c r="D64" s="3488" t="s">
        <v>3710</v>
      </c>
      <c r="E64" s="3488" t="s">
        <v>3700</v>
      </c>
      <c r="F64" s="3489">
        <v>33702</v>
      </c>
      <c r="G64" s="3488" t="s">
        <v>3767</v>
      </c>
      <c r="H64" s="3488">
        <v>2022</v>
      </c>
      <c r="I64" s="3488" t="s">
        <v>3741</v>
      </c>
      <c r="J64" s="3488" t="s">
        <v>3802</v>
      </c>
      <c r="K64" s="3489">
        <v>1139</v>
      </c>
      <c r="L64" s="3489">
        <v>33796</v>
      </c>
      <c r="M64" s="3488" t="s">
        <v>3704</v>
      </c>
    </row>
    <row r="65" spans="1:17" s="3490" customFormat="1" ht="15" hidden="1" customHeight="1">
      <c r="A65" s="3488">
        <v>63</v>
      </c>
      <c r="B65" s="3488" t="s">
        <v>3803</v>
      </c>
      <c r="C65" s="3488" t="s">
        <v>3698</v>
      </c>
      <c r="D65" s="3488" t="s">
        <v>3734</v>
      </c>
      <c r="E65" s="3488" t="s">
        <v>3700</v>
      </c>
      <c r="F65" s="3489">
        <v>52998</v>
      </c>
      <c r="G65" s="3488" t="s">
        <v>3767</v>
      </c>
      <c r="H65" s="3488">
        <v>2022</v>
      </c>
      <c r="I65" s="3488" t="s">
        <v>3804</v>
      </c>
      <c r="J65" s="3488" t="s">
        <v>3805</v>
      </c>
      <c r="K65" s="3489">
        <v>3328</v>
      </c>
      <c r="L65" s="3489">
        <v>62795</v>
      </c>
      <c r="M65" s="3488" t="s">
        <v>3704</v>
      </c>
    </row>
    <row r="66" spans="1:17" s="3490" customFormat="1" ht="15" hidden="1" customHeight="1">
      <c r="A66" s="3488">
        <v>64</v>
      </c>
      <c r="B66" s="3488" t="s">
        <v>3806</v>
      </c>
      <c r="C66" s="3488" t="s">
        <v>3698</v>
      </c>
      <c r="D66" s="3488" t="s">
        <v>3734</v>
      </c>
      <c r="E66" s="3488" t="s">
        <v>3700</v>
      </c>
      <c r="F66" s="3489">
        <v>23778</v>
      </c>
      <c r="G66" s="3488" t="s">
        <v>3767</v>
      </c>
      <c r="H66" s="3488">
        <v>2022</v>
      </c>
      <c r="I66" s="3488" t="s">
        <v>3804</v>
      </c>
      <c r="J66" s="3488" t="s">
        <v>3807</v>
      </c>
      <c r="K66" s="3489">
        <v>1493</v>
      </c>
      <c r="L66" s="3489">
        <v>62800</v>
      </c>
      <c r="M66" s="3488" t="s">
        <v>3704</v>
      </c>
    </row>
    <row r="67" spans="1:17" s="3490" customFormat="1" ht="15" hidden="1" customHeight="1">
      <c r="A67" s="3488">
        <v>65</v>
      </c>
      <c r="B67" s="3488" t="s">
        <v>3808</v>
      </c>
      <c r="C67" s="3488" t="s">
        <v>3698</v>
      </c>
      <c r="D67" s="3488" t="s">
        <v>3699</v>
      </c>
      <c r="E67" s="3488" t="s">
        <v>3706</v>
      </c>
      <c r="F67" s="3489">
        <v>30406</v>
      </c>
      <c r="G67" s="3488" t="s">
        <v>3767</v>
      </c>
      <c r="H67" s="3488">
        <v>2022</v>
      </c>
      <c r="I67" s="3488" t="s">
        <v>3809</v>
      </c>
      <c r="J67" s="3488" t="s">
        <v>3810</v>
      </c>
      <c r="K67" s="3489">
        <v>979</v>
      </c>
      <c r="L67" s="3489">
        <v>32198</v>
      </c>
      <c r="M67" s="3488" t="s">
        <v>3704</v>
      </c>
    </row>
    <row r="68" spans="1:17" s="3490" customFormat="1" ht="15" hidden="1" customHeight="1">
      <c r="A68" s="3488">
        <v>66</v>
      </c>
      <c r="B68" s="3488" t="s">
        <v>3811</v>
      </c>
      <c r="C68" s="3488" t="s">
        <v>3698</v>
      </c>
      <c r="D68" s="3488" t="s">
        <v>3774</v>
      </c>
      <c r="E68" s="3488" t="s">
        <v>3700</v>
      </c>
      <c r="F68" s="3489">
        <v>4227</v>
      </c>
      <c r="G68" s="3488" t="s">
        <v>3767</v>
      </c>
      <c r="H68" s="3488">
        <v>2022</v>
      </c>
      <c r="I68" s="3488" t="s">
        <v>3812</v>
      </c>
      <c r="J68" s="3488" t="s">
        <v>3813</v>
      </c>
      <c r="K68" s="3489">
        <v>267</v>
      </c>
      <c r="L68" s="3489">
        <v>63165</v>
      </c>
      <c r="M68" s="3488" t="s">
        <v>3704</v>
      </c>
    </row>
    <row r="69" spans="1:17" s="3490" customFormat="1" ht="15" hidden="1" customHeight="1">
      <c r="A69" s="3488">
        <v>67</v>
      </c>
      <c r="B69" s="3488" t="s">
        <v>3814</v>
      </c>
      <c r="C69" s="3488" t="s">
        <v>3698</v>
      </c>
      <c r="D69" s="3488" t="s">
        <v>3731</v>
      </c>
      <c r="E69" s="3488" t="s">
        <v>3783</v>
      </c>
      <c r="F69" s="3489">
        <v>49112</v>
      </c>
      <c r="G69" s="3488" t="s">
        <v>3767</v>
      </c>
      <c r="H69" s="3488">
        <v>2022</v>
      </c>
      <c r="I69" s="3488" t="s">
        <v>3787</v>
      </c>
      <c r="J69" s="3488" t="s">
        <v>3785</v>
      </c>
      <c r="K69" s="3489">
        <v>263</v>
      </c>
      <c r="L69" s="3489">
        <v>21420</v>
      </c>
      <c r="M69" s="3488" t="s">
        <v>3746</v>
      </c>
    </row>
    <row r="70" spans="1:17" s="3490" customFormat="1" ht="15" hidden="1" customHeight="1">
      <c r="A70" s="3488">
        <v>68</v>
      </c>
      <c r="B70" s="3488" t="s">
        <v>3815</v>
      </c>
      <c r="C70" s="3488" t="s">
        <v>3698</v>
      </c>
      <c r="D70" s="3488" t="s">
        <v>3798</v>
      </c>
      <c r="E70" s="3488" t="s">
        <v>3700</v>
      </c>
      <c r="F70" s="3489">
        <v>23013</v>
      </c>
      <c r="G70" s="3488" t="s">
        <v>3767</v>
      </c>
      <c r="H70" s="3488">
        <v>2022</v>
      </c>
      <c r="I70" s="3488" t="s">
        <v>3816</v>
      </c>
      <c r="J70" s="3488" t="s">
        <v>3817</v>
      </c>
      <c r="K70" s="3489">
        <v>2640</v>
      </c>
      <c r="L70" s="3489">
        <v>115000</v>
      </c>
      <c r="M70" s="3488" t="s">
        <v>3704</v>
      </c>
    </row>
    <row r="71" spans="1:17" s="3490" customFormat="1" ht="15" hidden="1" customHeight="1">
      <c r="A71" s="3488">
        <v>69</v>
      </c>
      <c r="B71" s="3488" t="s">
        <v>3818</v>
      </c>
      <c r="C71" s="3488" t="s">
        <v>3698</v>
      </c>
      <c r="D71" s="3488" t="s">
        <v>3716</v>
      </c>
      <c r="E71" s="3488" t="s">
        <v>3749</v>
      </c>
      <c r="F71" s="3489">
        <v>29495</v>
      </c>
      <c r="G71" s="3488" t="s">
        <v>3767</v>
      </c>
      <c r="H71" s="3488">
        <v>2022</v>
      </c>
      <c r="I71" s="3488" t="s">
        <v>3819</v>
      </c>
      <c r="J71" s="3488" t="s">
        <v>3820</v>
      </c>
      <c r="K71" s="3489">
        <v>132</v>
      </c>
      <c r="L71" s="3489">
        <v>4478</v>
      </c>
      <c r="M71" s="3488" t="s">
        <v>3704</v>
      </c>
    </row>
    <row r="72" spans="1:17" s="3490" customFormat="1" ht="15" hidden="1" customHeight="1">
      <c r="A72" s="3488">
        <v>70</v>
      </c>
      <c r="B72" s="3488" t="s">
        <v>3821</v>
      </c>
      <c r="C72" s="3488" t="s">
        <v>3698</v>
      </c>
      <c r="D72" s="3488" t="s">
        <v>3798</v>
      </c>
      <c r="E72" s="3488" t="s">
        <v>3700</v>
      </c>
      <c r="F72" s="3489">
        <v>15600</v>
      </c>
      <c r="G72" s="3488" t="s">
        <v>3767</v>
      </c>
      <c r="H72" s="3488">
        <v>2022</v>
      </c>
      <c r="I72" s="3488" t="s">
        <v>3822</v>
      </c>
      <c r="J72" s="3488" t="s">
        <v>3823</v>
      </c>
      <c r="K72" s="3489">
        <v>505</v>
      </c>
      <c r="L72" s="3489">
        <v>32372</v>
      </c>
      <c r="M72" s="3488" t="s">
        <v>3704</v>
      </c>
    </row>
    <row r="73" spans="1:17" s="3490" customFormat="1" ht="15" customHeight="1">
      <c r="A73" s="3488">
        <v>71</v>
      </c>
      <c r="B73" s="3488" t="s">
        <v>3824</v>
      </c>
      <c r="C73" s="3488" t="s">
        <v>3825</v>
      </c>
      <c r="D73" s="3488" t="s">
        <v>3826</v>
      </c>
      <c r="E73" s="3488" t="s">
        <v>3700</v>
      </c>
      <c r="F73" s="3489">
        <v>6343</v>
      </c>
      <c r="G73" s="3488" t="s">
        <v>3827</v>
      </c>
      <c r="H73" s="3488">
        <v>2022</v>
      </c>
      <c r="I73" s="3488" t="s">
        <v>3828</v>
      </c>
      <c r="J73" s="3488" t="s">
        <v>3829</v>
      </c>
      <c r="K73" s="3489">
        <v>152</v>
      </c>
      <c r="L73" s="3489">
        <v>23963</v>
      </c>
      <c r="M73" s="3488" t="s">
        <v>3704</v>
      </c>
    </row>
    <row r="74" spans="1:17" s="3490" customFormat="1" ht="15" hidden="1" customHeight="1">
      <c r="A74" s="3488">
        <v>72</v>
      </c>
      <c r="B74" s="3488" t="s">
        <v>3830</v>
      </c>
      <c r="C74" s="3488" t="s">
        <v>3825</v>
      </c>
      <c r="D74" s="3488" t="s">
        <v>3831</v>
      </c>
      <c r="E74" s="3488" t="s">
        <v>3728</v>
      </c>
      <c r="F74" s="3489">
        <v>17265</v>
      </c>
      <c r="G74" s="3488" t="s">
        <v>3827</v>
      </c>
      <c r="H74" s="3488">
        <v>2022</v>
      </c>
      <c r="I74" s="3488" t="s">
        <v>3832</v>
      </c>
      <c r="J74" s="3488" t="s">
        <v>3833</v>
      </c>
      <c r="K74" s="3489">
        <v>163</v>
      </c>
      <c r="L74" s="3489">
        <v>9441</v>
      </c>
      <c r="M74" s="3488" t="s">
        <v>3704</v>
      </c>
    </row>
    <row r="75" spans="1:17" s="3490" customFormat="1" ht="15" customHeight="1">
      <c r="A75" s="3488">
        <v>73</v>
      </c>
      <c r="B75" s="3488" t="s">
        <v>3834</v>
      </c>
      <c r="C75" s="3488" t="s">
        <v>3825</v>
      </c>
      <c r="D75" s="3488" t="s">
        <v>3835</v>
      </c>
      <c r="E75" s="3488" t="s">
        <v>3700</v>
      </c>
      <c r="F75" s="3489">
        <v>24165</v>
      </c>
      <c r="G75" s="3488" t="s">
        <v>3827</v>
      </c>
      <c r="H75" s="3488">
        <v>2022</v>
      </c>
      <c r="I75" s="3488" t="s">
        <v>3836</v>
      </c>
      <c r="J75" s="3488" t="s">
        <v>3837</v>
      </c>
      <c r="K75" s="3489">
        <v>750</v>
      </c>
      <c r="L75" s="3489">
        <v>31037</v>
      </c>
      <c r="M75" s="3488" t="s">
        <v>3838</v>
      </c>
    </row>
    <row r="76" spans="1:17" s="3490" customFormat="1" ht="15" hidden="1" customHeight="1">
      <c r="A76" s="3488">
        <v>74</v>
      </c>
      <c r="B76" s="3488" t="s">
        <v>3839</v>
      </c>
      <c r="C76" s="3488" t="s">
        <v>3825</v>
      </c>
      <c r="D76" s="3488" t="s">
        <v>3840</v>
      </c>
      <c r="E76" s="3488" t="s">
        <v>3783</v>
      </c>
      <c r="F76" s="3489">
        <v>96740</v>
      </c>
      <c r="G76" s="3488" t="s">
        <v>3827</v>
      </c>
      <c r="H76" s="3488">
        <v>2022</v>
      </c>
      <c r="I76" s="3488" t="s">
        <v>3841</v>
      </c>
      <c r="J76" s="3488" t="s">
        <v>3842</v>
      </c>
      <c r="K76" s="3489">
        <v>1870</v>
      </c>
      <c r="L76" s="3489">
        <v>19330</v>
      </c>
      <c r="M76" s="3488" t="s">
        <v>3704</v>
      </c>
    </row>
    <row r="77" spans="1:17" s="3522" customFormat="1" ht="15" customHeight="1">
      <c r="A77" s="3520">
        <v>75</v>
      </c>
      <c r="B77" s="3523" t="s">
        <v>4612</v>
      </c>
      <c r="C77" s="3520" t="s">
        <v>3825</v>
      </c>
      <c r="D77" s="3520" t="s">
        <v>3843</v>
      </c>
      <c r="E77" s="3520" t="s">
        <v>3700</v>
      </c>
      <c r="F77" s="3521">
        <v>119000</v>
      </c>
      <c r="G77" s="3520" t="s">
        <v>3844</v>
      </c>
      <c r="H77" s="3520">
        <v>2022</v>
      </c>
      <c r="I77" s="3520" t="s">
        <v>3845</v>
      </c>
      <c r="J77" s="3520" t="s">
        <v>3846</v>
      </c>
      <c r="K77" s="3521">
        <v>5015</v>
      </c>
      <c r="L77" s="3521">
        <v>42143</v>
      </c>
      <c r="M77" s="3520" t="s">
        <v>3838</v>
      </c>
    </row>
    <row r="78" spans="1:17" s="3490" customFormat="1" ht="15" customHeight="1">
      <c r="A78" s="3488">
        <v>76</v>
      </c>
      <c r="B78" s="3491" t="s">
        <v>3847</v>
      </c>
      <c r="C78" s="3488" t="s">
        <v>3825</v>
      </c>
      <c r="D78" s="3488" t="s">
        <v>3848</v>
      </c>
      <c r="E78" s="3488" t="s">
        <v>3849</v>
      </c>
      <c r="F78" s="3489">
        <v>30120</v>
      </c>
      <c r="G78" s="3488" t="s">
        <v>3844</v>
      </c>
      <c r="H78" s="3488">
        <v>2022</v>
      </c>
      <c r="I78" s="3488" t="s">
        <v>3850</v>
      </c>
      <c r="J78" s="3488" t="s">
        <v>3851</v>
      </c>
      <c r="K78" s="3489">
        <v>1080</v>
      </c>
      <c r="L78" s="3489">
        <v>35857</v>
      </c>
      <c r="M78" s="3488" t="s">
        <v>3838</v>
      </c>
      <c r="P78" s="3490">
        <f>ROUND(K78*1000000/F78,0)</f>
        <v>35857</v>
      </c>
      <c r="Q78" s="3490" t="s">
        <v>3852</v>
      </c>
    </row>
    <row r="79" spans="1:17" s="3490" customFormat="1" ht="15" customHeight="1">
      <c r="A79" s="3488">
        <v>77</v>
      </c>
      <c r="B79" s="3488" t="s">
        <v>3853</v>
      </c>
      <c r="C79" s="3488" t="s">
        <v>3825</v>
      </c>
      <c r="D79" s="3488" t="s">
        <v>3835</v>
      </c>
      <c r="E79" s="3488" t="s">
        <v>3854</v>
      </c>
      <c r="F79" s="3489">
        <v>175969</v>
      </c>
      <c r="G79" s="3488" t="s">
        <v>3844</v>
      </c>
      <c r="H79" s="3488">
        <v>2022</v>
      </c>
      <c r="I79" s="3488" t="s">
        <v>3845</v>
      </c>
      <c r="J79" s="3488" t="s">
        <v>3855</v>
      </c>
      <c r="K79" s="3489">
        <v>3000</v>
      </c>
      <c r="L79" s="3489">
        <v>34097</v>
      </c>
      <c r="M79" s="3488" t="s">
        <v>3838</v>
      </c>
    </row>
    <row r="80" spans="1:17" s="3490" customFormat="1" ht="15" hidden="1" customHeight="1">
      <c r="A80" s="3488">
        <v>78</v>
      </c>
      <c r="B80" s="3488" t="s">
        <v>3856</v>
      </c>
      <c r="C80" s="3488" t="s">
        <v>3825</v>
      </c>
      <c r="D80" s="3488" t="s">
        <v>3857</v>
      </c>
      <c r="E80" s="3488" t="s">
        <v>3783</v>
      </c>
      <c r="F80" s="3489">
        <v>13139</v>
      </c>
      <c r="G80" s="3488" t="s">
        <v>3844</v>
      </c>
      <c r="H80" s="3488">
        <v>2022</v>
      </c>
      <c r="I80" s="3488" t="s">
        <v>3858</v>
      </c>
      <c r="J80" s="3488" t="s">
        <v>3859</v>
      </c>
      <c r="K80" s="3489">
        <v>580</v>
      </c>
      <c r="L80" s="3489">
        <v>44143</v>
      </c>
      <c r="M80" s="3488" t="s">
        <v>3838</v>
      </c>
    </row>
    <row r="81" spans="1:17" s="3490" customFormat="1" ht="15" customHeight="1">
      <c r="A81" s="3488">
        <v>79</v>
      </c>
      <c r="B81" s="3488" t="s">
        <v>3860</v>
      </c>
      <c r="C81" s="3488" t="s">
        <v>3825</v>
      </c>
      <c r="D81" s="3488" t="s">
        <v>3826</v>
      </c>
      <c r="E81" s="3488" t="s">
        <v>3706</v>
      </c>
      <c r="F81" s="3489">
        <v>14585</v>
      </c>
      <c r="G81" s="3488" t="s">
        <v>3701</v>
      </c>
      <c r="H81" s="3488">
        <v>2022</v>
      </c>
      <c r="I81" s="3488" t="s">
        <v>3861</v>
      </c>
      <c r="J81" s="3488" t="s">
        <v>3862</v>
      </c>
      <c r="K81" s="3489">
        <v>294</v>
      </c>
      <c r="L81" s="3489">
        <v>20158</v>
      </c>
      <c r="M81" s="3488" t="s">
        <v>3704</v>
      </c>
    </row>
    <row r="82" spans="1:17" s="3490" customFormat="1" ht="15" customHeight="1">
      <c r="A82" s="3488">
        <v>80</v>
      </c>
      <c r="B82" s="3491" t="s">
        <v>3863</v>
      </c>
      <c r="C82" s="3488" t="s">
        <v>3825</v>
      </c>
      <c r="D82" s="3488" t="s">
        <v>3835</v>
      </c>
      <c r="E82" s="3488" t="s">
        <v>3849</v>
      </c>
      <c r="F82" s="3489">
        <v>12092</v>
      </c>
      <c r="G82" s="3488" t="s">
        <v>3701</v>
      </c>
      <c r="H82" s="3488">
        <v>2022</v>
      </c>
      <c r="I82" s="3488" t="s">
        <v>3837</v>
      </c>
      <c r="J82" s="3488" t="s">
        <v>3864</v>
      </c>
      <c r="K82" s="3489">
        <v>500</v>
      </c>
      <c r="L82" s="3489">
        <v>41350</v>
      </c>
      <c r="M82" s="3488" t="s">
        <v>3838</v>
      </c>
      <c r="P82" s="3490">
        <f>ROUND(K82*1000000/F82,0)</f>
        <v>41350</v>
      </c>
    </row>
    <row r="83" spans="1:17" s="3490" customFormat="1" ht="15" customHeight="1">
      <c r="A83" s="3488">
        <v>81</v>
      </c>
      <c r="B83" s="3488" t="s">
        <v>3865</v>
      </c>
      <c r="C83" s="3488" t="s">
        <v>3825</v>
      </c>
      <c r="D83" s="3488" t="s">
        <v>3840</v>
      </c>
      <c r="E83" s="3488" t="s">
        <v>3706</v>
      </c>
      <c r="F83" s="3489">
        <v>118997</v>
      </c>
      <c r="G83" s="3488" t="s">
        <v>3701</v>
      </c>
      <c r="H83" s="3488">
        <v>2022</v>
      </c>
      <c r="I83" s="3488" t="s">
        <v>3866</v>
      </c>
      <c r="J83" s="3488" t="s">
        <v>3867</v>
      </c>
      <c r="K83" s="3489">
        <v>1250</v>
      </c>
      <c r="L83" s="3489">
        <v>10500</v>
      </c>
      <c r="M83" s="3488" t="s">
        <v>3838</v>
      </c>
    </row>
    <row r="84" spans="1:17" s="3490" customFormat="1" ht="15" customHeight="1">
      <c r="A84" s="3488">
        <v>82</v>
      </c>
      <c r="B84" s="3488" t="s">
        <v>3868</v>
      </c>
      <c r="C84" s="3488" t="s">
        <v>3825</v>
      </c>
      <c r="D84" s="3488" t="s">
        <v>3835</v>
      </c>
      <c r="E84" s="3488" t="s">
        <v>3700</v>
      </c>
      <c r="F84" s="3489">
        <v>40824</v>
      </c>
      <c r="G84" s="3488" t="s">
        <v>3701</v>
      </c>
      <c r="H84" s="3488">
        <v>2022</v>
      </c>
      <c r="I84" s="3488" t="s">
        <v>3869</v>
      </c>
      <c r="J84" s="3488" t="s">
        <v>3870</v>
      </c>
      <c r="K84" s="3489">
        <v>1342</v>
      </c>
      <c r="L84" s="3489">
        <v>70831</v>
      </c>
      <c r="M84" s="3488" t="s">
        <v>3838</v>
      </c>
    </row>
    <row r="85" spans="1:17" s="3490" customFormat="1" ht="15" customHeight="1">
      <c r="A85" s="3488">
        <v>83</v>
      </c>
      <c r="B85" s="3488" t="s">
        <v>3871</v>
      </c>
      <c r="C85" s="3488" t="s">
        <v>3825</v>
      </c>
      <c r="D85" s="3488" t="s">
        <v>3826</v>
      </c>
      <c r="E85" s="3488" t="s">
        <v>3706</v>
      </c>
      <c r="F85" s="3489">
        <v>11235</v>
      </c>
      <c r="G85" s="3488" t="s">
        <v>3701</v>
      </c>
      <c r="H85" s="3488">
        <v>2022</v>
      </c>
      <c r="I85" s="3488" t="s">
        <v>3872</v>
      </c>
      <c r="J85" s="3488" t="s">
        <v>3873</v>
      </c>
      <c r="K85" s="3489">
        <v>427</v>
      </c>
      <c r="L85" s="3489">
        <v>38000</v>
      </c>
      <c r="M85" s="3488" t="s">
        <v>3704</v>
      </c>
    </row>
    <row r="86" spans="1:17" s="3522" customFormat="1" ht="15" customHeight="1">
      <c r="A86" s="3520">
        <v>84</v>
      </c>
      <c r="B86" s="3523" t="s">
        <v>4614</v>
      </c>
      <c r="C86" s="3520" t="s">
        <v>3825</v>
      </c>
      <c r="D86" s="3520" t="s">
        <v>3843</v>
      </c>
      <c r="E86" s="3520" t="s">
        <v>3700</v>
      </c>
      <c r="F86" s="3521">
        <v>12500</v>
      </c>
      <c r="G86" s="3520" t="s">
        <v>3701</v>
      </c>
      <c r="H86" s="3520">
        <v>2022</v>
      </c>
      <c r="I86" s="3520" t="s">
        <v>3725</v>
      </c>
      <c r="J86" s="3520" t="s">
        <v>3874</v>
      </c>
      <c r="K86" s="3521">
        <v>550</v>
      </c>
      <c r="L86" s="3521">
        <v>44000</v>
      </c>
      <c r="M86" s="3520" t="s">
        <v>3704</v>
      </c>
    </row>
    <row r="87" spans="1:17" s="3490" customFormat="1" ht="15" hidden="1" customHeight="1">
      <c r="A87" s="3488">
        <v>85</v>
      </c>
      <c r="B87" s="3488" t="s">
        <v>3875</v>
      </c>
      <c r="C87" s="3488" t="s">
        <v>3825</v>
      </c>
      <c r="D87" s="3488" t="s">
        <v>3835</v>
      </c>
      <c r="E87" s="3488" t="s">
        <v>3728</v>
      </c>
      <c r="F87" s="3489">
        <v>6297</v>
      </c>
      <c r="G87" s="3488" t="s">
        <v>3701</v>
      </c>
      <c r="H87" s="3488">
        <v>2022</v>
      </c>
      <c r="I87" s="3488" t="s">
        <v>3722</v>
      </c>
      <c r="J87" s="3488" t="s">
        <v>3876</v>
      </c>
      <c r="K87" s="3489">
        <v>187</v>
      </c>
      <c r="L87" s="3489">
        <v>29697</v>
      </c>
      <c r="M87" s="3488" t="s">
        <v>3704</v>
      </c>
    </row>
    <row r="88" spans="1:17" s="3490" customFormat="1" ht="15" customHeight="1">
      <c r="A88" s="3488">
        <v>86</v>
      </c>
      <c r="B88" s="3488" t="s">
        <v>3877</v>
      </c>
      <c r="C88" s="3488" t="s">
        <v>3825</v>
      </c>
      <c r="D88" s="3488" t="s">
        <v>3843</v>
      </c>
      <c r="E88" s="3488" t="s">
        <v>3700</v>
      </c>
      <c r="F88" s="3489">
        <v>7618</v>
      </c>
      <c r="G88" s="3488" t="s">
        <v>3701</v>
      </c>
      <c r="H88" s="3488">
        <v>2022</v>
      </c>
      <c r="I88" s="3488" t="s">
        <v>3878</v>
      </c>
      <c r="J88" s="3488" t="s">
        <v>3879</v>
      </c>
      <c r="K88" s="3489">
        <v>433</v>
      </c>
      <c r="L88" s="3489">
        <v>56867</v>
      </c>
      <c r="M88" s="3488" t="s">
        <v>3704</v>
      </c>
    </row>
    <row r="89" spans="1:17" s="3490" customFormat="1" ht="15" customHeight="1">
      <c r="A89" s="3488">
        <v>87</v>
      </c>
      <c r="B89" s="3488" t="s">
        <v>3880</v>
      </c>
      <c r="C89" s="3488" t="s">
        <v>3825</v>
      </c>
      <c r="D89" s="3488" t="s">
        <v>3835</v>
      </c>
      <c r="E89" s="3488" t="s">
        <v>3700</v>
      </c>
      <c r="F89" s="3489">
        <v>58239</v>
      </c>
      <c r="G89" s="3488" t="s">
        <v>3767</v>
      </c>
      <c r="H89" s="3488">
        <v>2022</v>
      </c>
      <c r="I89" s="3488" t="s">
        <v>3881</v>
      </c>
      <c r="J89" s="3488" t="s">
        <v>3754</v>
      </c>
      <c r="K89" s="3489">
        <v>2037</v>
      </c>
      <c r="L89" s="3489">
        <v>34977</v>
      </c>
      <c r="M89" s="3488" t="s">
        <v>3704</v>
      </c>
    </row>
    <row r="90" spans="1:17" s="3490" customFormat="1" ht="15" customHeight="1">
      <c r="A90" s="3488">
        <v>88</v>
      </c>
      <c r="B90" s="3491" t="s">
        <v>3882</v>
      </c>
      <c r="C90" s="3488" t="s">
        <v>3825</v>
      </c>
      <c r="D90" s="3488" t="s">
        <v>3835</v>
      </c>
      <c r="E90" s="3488" t="s">
        <v>3849</v>
      </c>
      <c r="F90" s="3489">
        <v>30530</v>
      </c>
      <c r="G90" s="3488" t="s">
        <v>3767</v>
      </c>
      <c r="H90" s="3488">
        <v>2022</v>
      </c>
      <c r="I90" s="3488" t="s">
        <v>3883</v>
      </c>
      <c r="J90" s="3488" t="s">
        <v>3884</v>
      </c>
      <c r="K90" s="3489">
        <v>849</v>
      </c>
      <c r="L90" s="3489">
        <v>27809</v>
      </c>
      <c r="M90" s="3488" t="s">
        <v>3704</v>
      </c>
      <c r="P90" s="3490">
        <f>ROUND(K90*1000000/F90,0)</f>
        <v>27809</v>
      </c>
      <c r="Q90" s="3490" t="s">
        <v>3885</v>
      </c>
    </row>
    <row r="91" spans="1:17" s="3495" customFormat="1" ht="15" customHeight="1">
      <c r="A91" s="3493">
        <v>89</v>
      </c>
      <c r="B91" s="3493" t="s">
        <v>3886</v>
      </c>
      <c r="C91" s="3493" t="s">
        <v>3825</v>
      </c>
      <c r="D91" s="3493" t="s">
        <v>3843</v>
      </c>
      <c r="E91" s="3493" t="s">
        <v>3700</v>
      </c>
      <c r="F91" s="3494">
        <v>6461</v>
      </c>
      <c r="G91" s="3493" t="s">
        <v>3767</v>
      </c>
      <c r="H91" s="3493">
        <v>2022</v>
      </c>
      <c r="I91" s="3493" t="s">
        <v>3887</v>
      </c>
      <c r="J91" s="3493" t="s">
        <v>3888</v>
      </c>
      <c r="K91" s="3494">
        <v>321</v>
      </c>
      <c r="L91" s="3494">
        <v>49683</v>
      </c>
      <c r="M91" s="3493" t="s">
        <v>3704</v>
      </c>
    </row>
    <row r="92" spans="1:17" s="3490" customFormat="1" ht="15" customHeight="1">
      <c r="A92" s="3488">
        <v>90</v>
      </c>
      <c r="B92" s="3488" t="s">
        <v>3889</v>
      </c>
      <c r="C92" s="3488" t="s">
        <v>3825</v>
      </c>
      <c r="D92" s="3488" t="s">
        <v>3843</v>
      </c>
      <c r="E92" s="3488" t="s">
        <v>3700</v>
      </c>
      <c r="F92" s="3489">
        <v>5000</v>
      </c>
      <c r="G92" s="3488" t="s">
        <v>3767</v>
      </c>
      <c r="H92" s="3488">
        <v>2022</v>
      </c>
      <c r="I92" s="3488" t="s">
        <v>3890</v>
      </c>
      <c r="J92" s="3488" t="s">
        <v>3891</v>
      </c>
      <c r="K92" s="3489">
        <v>425</v>
      </c>
      <c r="L92" s="3489">
        <v>85000</v>
      </c>
      <c r="M92" s="3488" t="s">
        <v>3704</v>
      </c>
    </row>
    <row r="93" spans="1:17" s="3490" customFormat="1" ht="15" customHeight="1">
      <c r="A93" s="3488">
        <v>91</v>
      </c>
      <c r="B93" s="3491" t="s">
        <v>3892</v>
      </c>
      <c r="C93" s="3488" t="s">
        <v>3825</v>
      </c>
      <c r="D93" s="3488" t="s">
        <v>3893</v>
      </c>
      <c r="E93" s="3488" t="s">
        <v>3849</v>
      </c>
      <c r="F93" s="3489">
        <v>43460</v>
      </c>
      <c r="G93" s="3488" t="s">
        <v>3767</v>
      </c>
      <c r="H93" s="3488">
        <v>2022</v>
      </c>
      <c r="I93" s="3488" t="s">
        <v>3894</v>
      </c>
      <c r="J93" s="3488" t="s">
        <v>3895</v>
      </c>
      <c r="K93" s="3489">
        <v>550</v>
      </c>
      <c r="L93" s="3489">
        <v>12655</v>
      </c>
      <c r="M93" s="3488" t="s">
        <v>3838</v>
      </c>
      <c r="P93" s="3490">
        <f>ROUND(K93*1000000/F93,0)</f>
        <v>12655</v>
      </c>
    </row>
    <row r="94" spans="1:17" s="3490" customFormat="1" ht="15" customHeight="1">
      <c r="A94" s="3488">
        <v>92</v>
      </c>
      <c r="B94" s="3488" t="s">
        <v>3896</v>
      </c>
      <c r="C94" s="3488" t="s">
        <v>3825</v>
      </c>
      <c r="D94" s="3488" t="s">
        <v>3826</v>
      </c>
      <c r="E94" s="3488" t="s">
        <v>3706</v>
      </c>
      <c r="F94" s="3489">
        <v>26584</v>
      </c>
      <c r="G94" s="3488" t="s">
        <v>3767</v>
      </c>
      <c r="H94" s="3488">
        <v>2022</v>
      </c>
      <c r="I94" s="3488" t="s">
        <v>3897</v>
      </c>
      <c r="J94" s="3488" t="s">
        <v>3898</v>
      </c>
      <c r="K94" s="3489">
        <v>906</v>
      </c>
      <c r="L94" s="3489">
        <v>34081</v>
      </c>
      <c r="M94" s="3488" t="s">
        <v>3704</v>
      </c>
    </row>
    <row r="95" spans="1:17" s="3495" customFormat="1" ht="15" customHeight="1">
      <c r="A95" s="3493">
        <v>93</v>
      </c>
      <c r="B95" s="3493" t="s">
        <v>3899</v>
      </c>
      <c r="C95" s="3493" t="s">
        <v>3825</v>
      </c>
      <c r="D95" s="3493" t="s">
        <v>3831</v>
      </c>
      <c r="E95" s="3493" t="s">
        <v>3700</v>
      </c>
      <c r="F95" s="3494">
        <v>53000</v>
      </c>
      <c r="G95" s="3493" t="s">
        <v>3767</v>
      </c>
      <c r="H95" s="3493">
        <v>2022</v>
      </c>
      <c r="I95" s="3493" t="s">
        <v>3894</v>
      </c>
      <c r="J95" s="3493" t="s">
        <v>3900</v>
      </c>
      <c r="K95" s="3494">
        <v>2650</v>
      </c>
      <c r="L95" s="3494">
        <v>50000</v>
      </c>
      <c r="M95" s="3493" t="s">
        <v>3704</v>
      </c>
    </row>
    <row r="96" spans="1:17" s="3490" customFormat="1" ht="15" hidden="1" customHeight="1">
      <c r="A96" s="3488">
        <v>94</v>
      </c>
      <c r="B96" s="3488" t="s">
        <v>3901</v>
      </c>
      <c r="C96" s="3488" t="s">
        <v>3825</v>
      </c>
      <c r="D96" s="3488" t="s">
        <v>3840</v>
      </c>
      <c r="E96" s="3488" t="s">
        <v>3783</v>
      </c>
      <c r="F96" s="3489">
        <v>31100</v>
      </c>
      <c r="G96" s="3488" t="s">
        <v>3767</v>
      </c>
      <c r="H96" s="3488">
        <v>2022</v>
      </c>
      <c r="I96" s="3488" t="s">
        <v>3902</v>
      </c>
      <c r="J96" s="3488" t="s">
        <v>3903</v>
      </c>
      <c r="K96" s="3489">
        <v>373</v>
      </c>
      <c r="L96" s="3489">
        <v>12000</v>
      </c>
      <c r="M96" s="3488" t="s">
        <v>3704</v>
      </c>
    </row>
    <row r="97" spans="1:13" s="3495" customFormat="1" ht="15" customHeight="1">
      <c r="A97" s="3493">
        <v>95</v>
      </c>
      <c r="B97" s="3493" t="s">
        <v>3904</v>
      </c>
      <c r="C97" s="3493" t="s">
        <v>3825</v>
      </c>
      <c r="D97" s="3493" t="s">
        <v>3840</v>
      </c>
      <c r="E97" s="3493" t="s">
        <v>3700</v>
      </c>
      <c r="F97" s="3494">
        <v>6747</v>
      </c>
      <c r="G97" s="3493" t="s">
        <v>3767</v>
      </c>
      <c r="H97" s="3493">
        <v>2022</v>
      </c>
      <c r="I97" s="3493" t="s">
        <v>3905</v>
      </c>
      <c r="J97" s="3493" t="s">
        <v>3906</v>
      </c>
      <c r="K97" s="3494">
        <v>324</v>
      </c>
      <c r="L97" s="3494">
        <v>48036</v>
      </c>
      <c r="M97" s="3493" t="s">
        <v>3704</v>
      </c>
    </row>
    <row r="98" spans="1:13" s="3490" customFormat="1" ht="15" customHeight="1">
      <c r="A98" s="3488">
        <v>96</v>
      </c>
      <c r="B98" s="3488" t="s">
        <v>3907</v>
      </c>
      <c r="C98" s="3488" t="s">
        <v>3825</v>
      </c>
      <c r="D98" s="3488" t="s">
        <v>3835</v>
      </c>
      <c r="E98" s="3488" t="s">
        <v>3706</v>
      </c>
      <c r="F98" s="3489">
        <v>25503</v>
      </c>
      <c r="G98" s="3488" t="s">
        <v>3767</v>
      </c>
      <c r="H98" s="3488">
        <v>2022</v>
      </c>
      <c r="I98" s="3488" t="s">
        <v>3908</v>
      </c>
      <c r="J98" s="3488" t="s">
        <v>3909</v>
      </c>
      <c r="K98" s="3489">
        <v>592</v>
      </c>
      <c r="L98" s="3489">
        <v>23204</v>
      </c>
      <c r="M98" s="3488" t="s">
        <v>3704</v>
      </c>
    </row>
    <row r="99" spans="1:13" s="3522" customFormat="1" ht="15" customHeight="1">
      <c r="A99" s="3520">
        <v>97</v>
      </c>
      <c r="B99" s="3523" t="s">
        <v>4615</v>
      </c>
      <c r="C99" s="3520" t="s">
        <v>3825</v>
      </c>
      <c r="D99" s="3520" t="s">
        <v>3843</v>
      </c>
      <c r="E99" s="3520" t="s">
        <v>3700</v>
      </c>
      <c r="F99" s="3521">
        <v>34999</v>
      </c>
      <c r="G99" s="3520" t="s">
        <v>3767</v>
      </c>
      <c r="H99" s="3520">
        <v>2022</v>
      </c>
      <c r="I99" s="3520" t="s">
        <v>3722</v>
      </c>
      <c r="J99" s="3520" t="s">
        <v>3910</v>
      </c>
      <c r="K99" s="3521">
        <v>1500</v>
      </c>
      <c r="L99" s="3521">
        <v>42858</v>
      </c>
      <c r="M99" s="3520" t="s">
        <v>3704</v>
      </c>
    </row>
    <row r="100" spans="1:13" s="3490" customFormat="1" ht="15" customHeight="1">
      <c r="A100" s="3488">
        <v>98</v>
      </c>
      <c r="B100" s="3488" t="s">
        <v>3911</v>
      </c>
      <c r="C100" s="3488" t="s">
        <v>3825</v>
      </c>
      <c r="D100" s="3488" t="s">
        <v>3843</v>
      </c>
      <c r="E100" s="3488" t="s">
        <v>3700</v>
      </c>
      <c r="F100" s="3489">
        <v>184914</v>
      </c>
      <c r="G100" s="3488" t="s">
        <v>3767</v>
      </c>
      <c r="H100" s="3488">
        <v>2022</v>
      </c>
      <c r="I100" s="3488" t="s">
        <v>3912</v>
      </c>
      <c r="J100" s="3488" t="s">
        <v>3855</v>
      </c>
      <c r="K100" s="3489">
        <v>6404</v>
      </c>
      <c r="L100" s="3489">
        <v>34611</v>
      </c>
      <c r="M100" s="3488" t="s">
        <v>3838</v>
      </c>
    </row>
    <row r="101" spans="1:13" s="3490" customFormat="1" ht="15" hidden="1" customHeight="1">
      <c r="A101" s="3488">
        <v>99</v>
      </c>
      <c r="B101" s="3488" t="s">
        <v>3913</v>
      </c>
      <c r="C101" s="3488" t="s">
        <v>3825</v>
      </c>
      <c r="D101" s="3488" t="s">
        <v>3893</v>
      </c>
      <c r="E101" s="3488" t="s">
        <v>3728</v>
      </c>
      <c r="F101" s="3489">
        <v>3300</v>
      </c>
      <c r="G101" s="3488" t="s">
        <v>3767</v>
      </c>
      <c r="H101" s="3488">
        <v>2022</v>
      </c>
      <c r="I101" s="3488" t="s">
        <v>3914</v>
      </c>
      <c r="J101" s="3488" t="s">
        <v>3757</v>
      </c>
      <c r="K101" s="3489">
        <v>149</v>
      </c>
      <c r="L101" s="3489">
        <v>45000</v>
      </c>
      <c r="M101" s="3488" t="s">
        <v>3704</v>
      </c>
    </row>
    <row r="102" spans="1:13" s="3490" customFormat="1" ht="15" customHeight="1">
      <c r="A102" s="3488">
        <v>100</v>
      </c>
      <c r="B102" s="3491" t="s">
        <v>4611</v>
      </c>
      <c r="C102" s="3488" t="s">
        <v>3825</v>
      </c>
      <c r="D102" s="3488" t="s">
        <v>3857</v>
      </c>
      <c r="E102" s="3488" t="s">
        <v>3700</v>
      </c>
      <c r="F102" s="3489">
        <v>6200</v>
      </c>
      <c r="G102" s="3488" t="s">
        <v>3767</v>
      </c>
      <c r="H102" s="3488">
        <v>2022</v>
      </c>
      <c r="I102" s="3488" t="s">
        <v>3915</v>
      </c>
      <c r="J102" s="3488" t="s">
        <v>3916</v>
      </c>
      <c r="K102" s="3489">
        <v>242</v>
      </c>
      <c r="L102" s="3489">
        <v>39000</v>
      </c>
      <c r="M102" s="3488" t="s">
        <v>3704</v>
      </c>
    </row>
    <row r="103" spans="1:13" s="3490" customFormat="1" ht="15" hidden="1" customHeight="1">
      <c r="A103" s="3488">
        <v>101</v>
      </c>
      <c r="B103" s="3488" t="s">
        <v>3917</v>
      </c>
      <c r="C103" s="3488" t="s">
        <v>3825</v>
      </c>
      <c r="D103" s="3488" t="s">
        <v>3843</v>
      </c>
      <c r="E103" s="3488" t="s">
        <v>3728</v>
      </c>
      <c r="F103" s="3489">
        <v>17000</v>
      </c>
      <c r="G103" s="3488" t="s">
        <v>3767</v>
      </c>
      <c r="H103" s="3488">
        <v>2022</v>
      </c>
      <c r="I103" s="3488" t="s">
        <v>3918</v>
      </c>
      <c r="J103" s="3488" t="s">
        <v>3919</v>
      </c>
      <c r="K103" s="3489">
        <v>230</v>
      </c>
      <c r="L103" s="3489">
        <v>13529</v>
      </c>
      <c r="M103" s="3488" t="s">
        <v>3838</v>
      </c>
    </row>
    <row r="104" spans="1:13" s="3490" customFormat="1" ht="15" hidden="1" customHeight="1">
      <c r="A104" s="3488">
        <v>102</v>
      </c>
      <c r="B104" s="3488" t="s">
        <v>3920</v>
      </c>
      <c r="C104" s="3488" t="s">
        <v>3921</v>
      </c>
      <c r="D104" s="3488" t="s">
        <v>3922</v>
      </c>
      <c r="E104" s="3488" t="s">
        <v>3700</v>
      </c>
      <c r="F104" s="3489">
        <v>2101</v>
      </c>
      <c r="G104" s="3488" t="s">
        <v>3827</v>
      </c>
      <c r="H104" s="3488">
        <v>2022</v>
      </c>
      <c r="I104" s="3488" t="s">
        <v>3923</v>
      </c>
      <c r="J104" s="3488" t="s">
        <v>3924</v>
      </c>
      <c r="K104" s="3489">
        <v>285</v>
      </c>
      <c r="L104" s="3489">
        <v>135600</v>
      </c>
      <c r="M104" s="3488" t="s">
        <v>3838</v>
      </c>
    </row>
    <row r="105" spans="1:13" s="3490" customFormat="1" ht="15" hidden="1" customHeight="1">
      <c r="A105" s="3488">
        <v>103</v>
      </c>
      <c r="B105" s="3488" t="s">
        <v>3925</v>
      </c>
      <c r="C105" s="3488" t="s">
        <v>3921</v>
      </c>
      <c r="D105" s="3488" t="s">
        <v>3926</v>
      </c>
      <c r="E105" s="3488" t="s">
        <v>3700</v>
      </c>
      <c r="F105" s="3489">
        <v>23322</v>
      </c>
      <c r="G105" s="3488" t="s">
        <v>3827</v>
      </c>
      <c r="H105" s="3488">
        <v>2022</v>
      </c>
      <c r="I105" s="3488" t="s">
        <v>3927</v>
      </c>
      <c r="J105" s="3488" t="s">
        <v>3928</v>
      </c>
      <c r="K105" s="3489">
        <v>500</v>
      </c>
      <c r="L105" s="3489">
        <v>21439</v>
      </c>
      <c r="M105" s="3488" t="s">
        <v>3838</v>
      </c>
    </row>
    <row r="106" spans="1:13" s="3490" customFormat="1" ht="15" hidden="1" customHeight="1">
      <c r="A106" s="3488">
        <v>104</v>
      </c>
      <c r="B106" s="3488" t="s">
        <v>3929</v>
      </c>
      <c r="C106" s="3488" t="s">
        <v>3921</v>
      </c>
      <c r="D106" s="3488" t="s">
        <v>3930</v>
      </c>
      <c r="E106" s="3488" t="s">
        <v>3854</v>
      </c>
      <c r="F106" s="3489">
        <v>36876</v>
      </c>
      <c r="G106" s="3488" t="s">
        <v>3844</v>
      </c>
      <c r="H106" s="3488">
        <v>2022</v>
      </c>
      <c r="I106" s="3488" t="s">
        <v>3931</v>
      </c>
      <c r="J106" s="3488" t="s">
        <v>3932</v>
      </c>
      <c r="K106" s="3489">
        <v>727</v>
      </c>
      <c r="L106" s="3489">
        <v>19715</v>
      </c>
      <c r="M106" s="3488" t="s">
        <v>3933</v>
      </c>
    </row>
    <row r="107" spans="1:13" s="3490" customFormat="1" ht="15" hidden="1" customHeight="1">
      <c r="A107" s="3488">
        <v>105</v>
      </c>
      <c r="B107" s="3488" t="s">
        <v>3934</v>
      </c>
      <c r="C107" s="3488" t="s">
        <v>3921</v>
      </c>
      <c r="D107" s="3488" t="s">
        <v>3935</v>
      </c>
      <c r="E107" s="3488" t="s">
        <v>3700</v>
      </c>
      <c r="F107" s="3489">
        <v>6000</v>
      </c>
      <c r="G107" s="3488" t="s">
        <v>3844</v>
      </c>
      <c r="H107" s="3488">
        <v>2022</v>
      </c>
      <c r="I107" s="3488" t="s">
        <v>3936</v>
      </c>
      <c r="J107" s="3488" t="s">
        <v>3937</v>
      </c>
      <c r="K107" s="3489">
        <v>450</v>
      </c>
      <c r="L107" s="3489">
        <v>75000</v>
      </c>
      <c r="M107" s="3488" t="s">
        <v>3704</v>
      </c>
    </row>
    <row r="108" spans="1:13" s="3490" customFormat="1" ht="15" hidden="1" customHeight="1">
      <c r="A108" s="3488">
        <v>106</v>
      </c>
      <c r="B108" s="3488" t="s">
        <v>3938</v>
      </c>
      <c r="C108" s="3488" t="s">
        <v>3921</v>
      </c>
      <c r="D108" s="3488" t="s">
        <v>3922</v>
      </c>
      <c r="E108" s="3488" t="s">
        <v>3706</v>
      </c>
      <c r="F108" s="3489">
        <v>10288</v>
      </c>
      <c r="G108" s="3488" t="s">
        <v>3844</v>
      </c>
      <c r="H108" s="3488">
        <v>2022</v>
      </c>
      <c r="I108" s="3488" t="s">
        <v>3939</v>
      </c>
      <c r="J108" s="3488" t="s">
        <v>3940</v>
      </c>
      <c r="K108" s="3489">
        <v>420</v>
      </c>
      <c r="L108" s="3489">
        <v>40824</v>
      </c>
      <c r="M108" s="3488" t="s">
        <v>3704</v>
      </c>
    </row>
    <row r="109" spans="1:13" s="3490" customFormat="1" ht="15" hidden="1" customHeight="1">
      <c r="A109" s="3488">
        <v>107</v>
      </c>
      <c r="B109" s="3488" t="s">
        <v>3941</v>
      </c>
      <c r="C109" s="3488" t="s">
        <v>3921</v>
      </c>
      <c r="D109" s="3488" t="s">
        <v>3935</v>
      </c>
      <c r="E109" s="3488" t="s">
        <v>3706</v>
      </c>
      <c r="F109" s="3489">
        <v>42750</v>
      </c>
      <c r="G109" s="3488" t="s">
        <v>3844</v>
      </c>
      <c r="H109" s="3488">
        <v>2022</v>
      </c>
      <c r="I109" s="3488" t="s">
        <v>3942</v>
      </c>
      <c r="J109" s="3488" t="s">
        <v>3943</v>
      </c>
      <c r="K109" s="3489">
        <v>1727</v>
      </c>
      <c r="L109" s="3489">
        <v>40398</v>
      </c>
      <c r="M109" s="3488" t="s">
        <v>3838</v>
      </c>
    </row>
    <row r="110" spans="1:13" s="3490" customFormat="1" ht="15" hidden="1" customHeight="1">
      <c r="A110" s="3488">
        <v>108</v>
      </c>
      <c r="B110" s="3488" t="s">
        <v>3944</v>
      </c>
      <c r="C110" s="3488" t="s">
        <v>3921</v>
      </c>
      <c r="D110" s="3488" t="s">
        <v>3926</v>
      </c>
      <c r="E110" s="3488" t="s">
        <v>3706</v>
      </c>
      <c r="F110" s="3489">
        <v>17000</v>
      </c>
      <c r="G110" s="3488" t="s">
        <v>3701</v>
      </c>
      <c r="H110" s="3488">
        <v>2022</v>
      </c>
      <c r="I110" s="3488" t="s">
        <v>3905</v>
      </c>
      <c r="J110" s="3488" t="s">
        <v>3945</v>
      </c>
      <c r="K110" s="3489">
        <v>465</v>
      </c>
      <c r="L110" s="3489">
        <v>27353</v>
      </c>
      <c r="M110" s="3488" t="s">
        <v>3704</v>
      </c>
    </row>
    <row r="111" spans="1:13" s="3490" customFormat="1" ht="15" hidden="1" customHeight="1">
      <c r="A111" s="3488">
        <v>109</v>
      </c>
      <c r="B111" s="3488" t="s">
        <v>3946</v>
      </c>
      <c r="C111" s="3488" t="s">
        <v>3921</v>
      </c>
      <c r="D111" s="3488" t="s">
        <v>3930</v>
      </c>
      <c r="E111" s="3488" t="s">
        <v>3947</v>
      </c>
      <c r="F111" s="3489">
        <v>14988</v>
      </c>
      <c r="G111" s="3488" t="s">
        <v>3701</v>
      </c>
      <c r="H111" s="3488">
        <v>2022</v>
      </c>
      <c r="I111" s="3488" t="s">
        <v>3948</v>
      </c>
      <c r="J111" s="3488" t="s">
        <v>3949</v>
      </c>
      <c r="K111" s="3489">
        <v>180</v>
      </c>
      <c r="L111" s="3489">
        <v>12010</v>
      </c>
      <c r="M111" s="3488" t="s">
        <v>3704</v>
      </c>
    </row>
    <row r="112" spans="1:13" s="3490" customFormat="1" ht="15" hidden="1" customHeight="1">
      <c r="A112" s="3488">
        <v>110</v>
      </c>
      <c r="B112" s="3488" t="s">
        <v>3950</v>
      </c>
      <c r="C112" s="3488" t="s">
        <v>3921</v>
      </c>
      <c r="D112" s="3488" t="s">
        <v>3951</v>
      </c>
      <c r="E112" s="3488" t="s">
        <v>3700</v>
      </c>
      <c r="F112" s="3489">
        <v>40306</v>
      </c>
      <c r="G112" s="3488" t="s">
        <v>3701</v>
      </c>
      <c r="H112" s="3488">
        <v>2022</v>
      </c>
      <c r="I112" s="3488" t="s">
        <v>3952</v>
      </c>
      <c r="J112" s="3488" t="s">
        <v>3953</v>
      </c>
      <c r="K112" s="3489">
        <v>1505</v>
      </c>
      <c r="L112" s="3489" t="s">
        <v>3954</v>
      </c>
      <c r="M112" s="3488" t="s">
        <v>3704</v>
      </c>
    </row>
    <row r="113" spans="1:13" s="3490" customFormat="1" ht="15" hidden="1" customHeight="1">
      <c r="A113" s="3488">
        <v>111</v>
      </c>
      <c r="B113" s="3488" t="s">
        <v>3955</v>
      </c>
      <c r="C113" s="3488" t="s">
        <v>3921</v>
      </c>
      <c r="D113" s="3488" t="s">
        <v>3956</v>
      </c>
      <c r="E113" s="3488" t="s">
        <v>3700</v>
      </c>
      <c r="F113" s="3489">
        <v>22444</v>
      </c>
      <c r="G113" s="3488" t="s">
        <v>3701</v>
      </c>
      <c r="H113" s="3488">
        <v>2022</v>
      </c>
      <c r="I113" s="3488" t="s">
        <v>3957</v>
      </c>
      <c r="J113" s="3488" t="s">
        <v>3958</v>
      </c>
      <c r="K113" s="3489">
        <v>637</v>
      </c>
      <c r="L113" s="3489" t="s">
        <v>3954</v>
      </c>
      <c r="M113" s="3488" t="s">
        <v>3704</v>
      </c>
    </row>
    <row r="114" spans="1:13" s="3490" customFormat="1" ht="15" hidden="1" customHeight="1">
      <c r="A114" s="3488">
        <v>112</v>
      </c>
      <c r="B114" s="3488" t="s">
        <v>3959</v>
      </c>
      <c r="C114" s="3488" t="s">
        <v>3921</v>
      </c>
      <c r="D114" s="3488" t="s">
        <v>3922</v>
      </c>
      <c r="E114" s="3488" t="s">
        <v>3706</v>
      </c>
      <c r="F114" s="3489">
        <v>43861</v>
      </c>
      <c r="G114" s="3488" t="s">
        <v>3767</v>
      </c>
      <c r="H114" s="3488">
        <v>2022</v>
      </c>
      <c r="I114" s="3488" t="s">
        <v>3960</v>
      </c>
      <c r="J114" s="3488" t="s">
        <v>3961</v>
      </c>
      <c r="K114" s="3489">
        <v>1886</v>
      </c>
      <c r="L114" s="3489">
        <v>42999</v>
      </c>
      <c r="M114" s="3488" t="s">
        <v>3704</v>
      </c>
    </row>
    <row r="115" spans="1:13" s="3490" customFormat="1" ht="15" hidden="1" customHeight="1">
      <c r="A115" s="3488">
        <v>113</v>
      </c>
      <c r="B115" s="3488" t="s">
        <v>3962</v>
      </c>
      <c r="C115" s="3488" t="s">
        <v>3921</v>
      </c>
      <c r="D115" s="3488" t="s">
        <v>3951</v>
      </c>
      <c r="E115" s="3488" t="s">
        <v>3700</v>
      </c>
      <c r="F115" s="3489">
        <v>6486</v>
      </c>
      <c r="G115" s="3488" t="s">
        <v>3767</v>
      </c>
      <c r="H115" s="3488">
        <v>2022</v>
      </c>
      <c r="I115" s="3488" t="s">
        <v>3963</v>
      </c>
      <c r="J115" s="3488" t="s">
        <v>3964</v>
      </c>
      <c r="K115" s="3489">
        <v>462</v>
      </c>
      <c r="L115" s="3489">
        <v>71230</v>
      </c>
      <c r="M115" s="3488" t="s">
        <v>3704</v>
      </c>
    </row>
    <row r="116" spans="1:13" s="3490" customFormat="1" ht="15" hidden="1" customHeight="1">
      <c r="A116" s="3488">
        <v>114</v>
      </c>
      <c r="B116" s="3488" t="s">
        <v>3965</v>
      </c>
      <c r="C116" s="3488" t="s">
        <v>3921</v>
      </c>
      <c r="D116" s="3488" t="s">
        <v>3926</v>
      </c>
      <c r="E116" s="3488" t="s">
        <v>3921</v>
      </c>
      <c r="F116" s="3489">
        <v>45507</v>
      </c>
      <c r="G116" s="3488" t="s">
        <v>3767</v>
      </c>
      <c r="H116" s="3488">
        <v>2022</v>
      </c>
      <c r="I116" s="3488" t="s">
        <v>3966</v>
      </c>
      <c r="J116" s="3488" t="s">
        <v>3967</v>
      </c>
      <c r="K116" s="3489">
        <v>2600</v>
      </c>
      <c r="L116" s="3489">
        <v>57134</v>
      </c>
      <c r="M116" s="3488" t="s">
        <v>3704</v>
      </c>
    </row>
    <row r="117" spans="1:13" s="3490" customFormat="1" ht="15" hidden="1" customHeight="1">
      <c r="A117" s="3488">
        <v>115</v>
      </c>
      <c r="B117" s="3488" t="s">
        <v>3968</v>
      </c>
      <c r="C117" s="3488" t="s">
        <v>3969</v>
      </c>
      <c r="D117" s="3488" t="s">
        <v>3970</v>
      </c>
      <c r="E117" s="3488" t="s">
        <v>3971</v>
      </c>
      <c r="F117" s="3489">
        <v>23000</v>
      </c>
      <c r="G117" s="3488" t="s">
        <v>3827</v>
      </c>
      <c r="H117" s="3488">
        <v>2022</v>
      </c>
      <c r="I117" s="3488" t="s">
        <v>3972</v>
      </c>
      <c r="J117" s="3488" t="s">
        <v>3973</v>
      </c>
      <c r="K117" s="3489">
        <v>250</v>
      </c>
      <c r="L117" s="3489">
        <v>10870</v>
      </c>
      <c r="M117" s="3488" t="s">
        <v>3974</v>
      </c>
    </row>
    <row r="118" spans="1:13" s="3490" customFormat="1" ht="15" hidden="1" customHeight="1">
      <c r="A118" s="3488">
        <v>116</v>
      </c>
      <c r="B118" s="3488" t="s">
        <v>3975</v>
      </c>
      <c r="C118" s="3488" t="s">
        <v>3969</v>
      </c>
      <c r="D118" s="3488" t="s">
        <v>3970</v>
      </c>
      <c r="E118" s="3488" t="s">
        <v>3700</v>
      </c>
      <c r="F118" s="3489">
        <v>12000</v>
      </c>
      <c r="G118" s="3488" t="s">
        <v>3827</v>
      </c>
      <c r="H118" s="3488">
        <v>2022</v>
      </c>
      <c r="I118" s="3488" t="s">
        <v>3976</v>
      </c>
      <c r="J118" s="3488" t="s">
        <v>3977</v>
      </c>
      <c r="K118" s="3489">
        <v>300</v>
      </c>
      <c r="L118" s="3489">
        <v>25000</v>
      </c>
      <c r="M118" s="3488" t="s">
        <v>3838</v>
      </c>
    </row>
    <row r="119" spans="1:13" s="3490" customFormat="1" ht="15" hidden="1" customHeight="1">
      <c r="A119" s="3488">
        <v>117</v>
      </c>
      <c r="B119" s="3488" t="s">
        <v>3978</v>
      </c>
      <c r="C119" s="3488" t="s">
        <v>3969</v>
      </c>
      <c r="D119" s="3488" t="s">
        <v>3979</v>
      </c>
      <c r="E119" s="3488" t="s">
        <v>3700</v>
      </c>
      <c r="F119" s="3489">
        <v>23793</v>
      </c>
      <c r="G119" s="3488" t="s">
        <v>3844</v>
      </c>
      <c r="H119" s="3488">
        <v>2022</v>
      </c>
      <c r="I119" s="3488" t="s">
        <v>3980</v>
      </c>
      <c r="J119" s="3488" t="s">
        <v>3981</v>
      </c>
      <c r="K119" s="3489">
        <v>1146</v>
      </c>
      <c r="L119" s="3489">
        <v>48165</v>
      </c>
      <c r="M119" s="3488" t="s">
        <v>3704</v>
      </c>
    </row>
    <row r="120" spans="1:13" s="3490" customFormat="1" ht="15" hidden="1" customHeight="1">
      <c r="A120" s="3488">
        <v>118</v>
      </c>
      <c r="B120" s="3488" t="s">
        <v>3982</v>
      </c>
      <c r="C120" s="3488" t="s">
        <v>3969</v>
      </c>
      <c r="D120" s="3488" t="s">
        <v>3983</v>
      </c>
      <c r="E120" s="3488" t="s">
        <v>3700</v>
      </c>
      <c r="F120" s="3489">
        <v>68966</v>
      </c>
      <c r="G120" s="3488" t="s">
        <v>3844</v>
      </c>
      <c r="H120" s="3488">
        <v>2022</v>
      </c>
      <c r="I120" s="3488" t="s">
        <v>3984</v>
      </c>
      <c r="J120" s="3488" t="s">
        <v>3985</v>
      </c>
      <c r="K120" s="3489">
        <v>3491</v>
      </c>
      <c r="L120" s="3489">
        <v>50619</v>
      </c>
      <c r="M120" s="3488" t="s">
        <v>3704</v>
      </c>
    </row>
    <row r="121" spans="1:13" s="3490" customFormat="1" ht="15" hidden="1" customHeight="1">
      <c r="A121" s="3488">
        <v>119</v>
      </c>
      <c r="B121" s="3488" t="s">
        <v>3986</v>
      </c>
      <c r="C121" s="3488" t="s">
        <v>3969</v>
      </c>
      <c r="D121" s="3488" t="s">
        <v>3970</v>
      </c>
      <c r="E121" s="3488" t="s">
        <v>3728</v>
      </c>
      <c r="F121" s="3489">
        <v>33530</v>
      </c>
      <c r="G121" s="3488" t="s">
        <v>3844</v>
      </c>
      <c r="H121" s="3488">
        <v>2022</v>
      </c>
      <c r="I121" s="3488" t="s">
        <v>3987</v>
      </c>
      <c r="J121" s="3488" t="s">
        <v>3988</v>
      </c>
      <c r="K121" s="3489">
        <v>714</v>
      </c>
      <c r="L121" s="3489">
        <v>21300</v>
      </c>
      <c r="M121" s="3488" t="s">
        <v>3704</v>
      </c>
    </row>
    <row r="122" spans="1:13" s="3490" customFormat="1" ht="15" hidden="1" customHeight="1">
      <c r="A122" s="3488">
        <v>120</v>
      </c>
      <c r="B122" s="3488" t="s">
        <v>3989</v>
      </c>
      <c r="C122" s="3488" t="s">
        <v>3969</v>
      </c>
      <c r="D122" s="3488" t="s">
        <v>3970</v>
      </c>
      <c r="E122" s="3488" t="s">
        <v>3854</v>
      </c>
      <c r="F122" s="3489">
        <v>799700</v>
      </c>
      <c r="G122" s="3488" t="s">
        <v>3844</v>
      </c>
      <c r="H122" s="3488">
        <v>2022</v>
      </c>
      <c r="I122" s="3488" t="s">
        <v>3990</v>
      </c>
      <c r="J122" s="3488" t="s">
        <v>3991</v>
      </c>
      <c r="K122" s="3489">
        <v>4617</v>
      </c>
      <c r="L122" s="3489">
        <v>10832</v>
      </c>
      <c r="M122" s="3488" t="s">
        <v>3838</v>
      </c>
    </row>
    <row r="123" spans="1:13" s="3490" customFormat="1" ht="15" hidden="1" customHeight="1">
      <c r="A123" s="3488">
        <v>121</v>
      </c>
      <c r="B123" s="3488" t="s">
        <v>3992</v>
      </c>
      <c r="C123" s="3488" t="s">
        <v>3969</v>
      </c>
      <c r="D123" s="3488" t="s">
        <v>3983</v>
      </c>
      <c r="E123" s="3488" t="s">
        <v>3706</v>
      </c>
      <c r="F123" s="3489">
        <v>30886</v>
      </c>
      <c r="G123" s="3488" t="s">
        <v>3844</v>
      </c>
      <c r="H123" s="3488">
        <v>2022</v>
      </c>
      <c r="I123" s="3488" t="s">
        <v>3993</v>
      </c>
      <c r="J123" s="3488" t="s">
        <v>3994</v>
      </c>
      <c r="K123" s="3489">
        <v>530</v>
      </c>
      <c r="L123" s="3489">
        <v>17160</v>
      </c>
      <c r="M123" s="3488" t="s">
        <v>3838</v>
      </c>
    </row>
    <row r="124" spans="1:13" s="3490" customFormat="1" ht="15" hidden="1" customHeight="1">
      <c r="A124" s="3488">
        <v>122</v>
      </c>
      <c r="B124" s="3488" t="s">
        <v>3995</v>
      </c>
      <c r="C124" s="3488" t="s">
        <v>3969</v>
      </c>
      <c r="D124" s="3488" t="s">
        <v>3983</v>
      </c>
      <c r="E124" s="3488" t="s">
        <v>3700</v>
      </c>
      <c r="F124" s="3489">
        <v>19585</v>
      </c>
      <c r="G124" s="3488" t="s">
        <v>3701</v>
      </c>
      <c r="H124" s="3488">
        <v>2022</v>
      </c>
      <c r="I124" s="3488" t="s">
        <v>3996</v>
      </c>
      <c r="J124" s="3488" t="s">
        <v>3997</v>
      </c>
      <c r="K124" s="3489">
        <v>881</v>
      </c>
      <c r="L124" s="3489">
        <v>45000</v>
      </c>
      <c r="M124" s="3488" t="s">
        <v>3704</v>
      </c>
    </row>
    <row r="125" spans="1:13" s="3490" customFormat="1" ht="15" hidden="1" customHeight="1">
      <c r="A125" s="3488">
        <v>123</v>
      </c>
      <c r="B125" s="3488" t="s">
        <v>3998</v>
      </c>
      <c r="C125" s="3488" t="s">
        <v>3969</v>
      </c>
      <c r="D125" s="3488" t="s">
        <v>3999</v>
      </c>
      <c r="E125" s="3488" t="s">
        <v>3706</v>
      </c>
      <c r="F125" s="3489">
        <v>22000</v>
      </c>
      <c r="G125" s="3488" t="s">
        <v>3767</v>
      </c>
      <c r="H125" s="3488">
        <v>2022</v>
      </c>
      <c r="I125" s="3488" t="s">
        <v>3905</v>
      </c>
      <c r="J125" s="3488" t="s">
        <v>4000</v>
      </c>
      <c r="K125" s="3489">
        <v>400</v>
      </c>
      <c r="L125" s="3489">
        <v>18000</v>
      </c>
      <c r="M125" s="3488" t="s">
        <v>3746</v>
      </c>
    </row>
    <row r="126" spans="1:13" s="3490" customFormat="1" ht="15" hidden="1" customHeight="1">
      <c r="A126" s="3488">
        <v>124</v>
      </c>
      <c r="B126" s="3488" t="s">
        <v>4001</v>
      </c>
      <c r="C126" s="3488" t="s">
        <v>3969</v>
      </c>
      <c r="D126" s="3488" t="s">
        <v>3999</v>
      </c>
      <c r="E126" s="3488" t="s">
        <v>3706</v>
      </c>
      <c r="F126" s="3489">
        <v>95126</v>
      </c>
      <c r="G126" s="3488" t="s">
        <v>3767</v>
      </c>
      <c r="H126" s="3488">
        <v>2022</v>
      </c>
      <c r="I126" s="3488" t="s">
        <v>4002</v>
      </c>
      <c r="J126" s="3488" t="s">
        <v>4003</v>
      </c>
      <c r="K126" s="3489">
        <v>1428</v>
      </c>
      <c r="L126" s="3489">
        <v>15012</v>
      </c>
      <c r="M126" s="3488" t="s">
        <v>3704</v>
      </c>
    </row>
    <row r="127" spans="1:13" s="3490" customFormat="1" ht="15" hidden="1" customHeight="1">
      <c r="A127" s="3488">
        <v>125</v>
      </c>
      <c r="B127" s="3488" t="s">
        <v>4004</v>
      </c>
      <c r="C127" s="3488" t="s">
        <v>4005</v>
      </c>
      <c r="D127" s="3488" t="s">
        <v>4006</v>
      </c>
      <c r="E127" s="3488" t="s">
        <v>3700</v>
      </c>
      <c r="F127" s="3489">
        <v>52970</v>
      </c>
      <c r="G127" s="3488" t="s">
        <v>3827</v>
      </c>
      <c r="H127" s="3488">
        <v>2022</v>
      </c>
      <c r="I127" s="3488" t="s">
        <v>4007</v>
      </c>
      <c r="J127" s="3488" t="s">
        <v>4008</v>
      </c>
      <c r="K127" s="3489">
        <v>870</v>
      </c>
      <c r="L127" s="3489">
        <v>16424</v>
      </c>
      <c r="M127" s="3488" t="s">
        <v>3838</v>
      </c>
    </row>
    <row r="128" spans="1:13" s="3490" customFormat="1" ht="15" hidden="1" customHeight="1">
      <c r="A128" s="3488">
        <v>126</v>
      </c>
      <c r="B128" s="3488" t="s">
        <v>4009</v>
      </c>
      <c r="C128" s="3488" t="s">
        <v>4005</v>
      </c>
      <c r="D128" s="3488" t="s">
        <v>4010</v>
      </c>
      <c r="E128" s="3488" t="s">
        <v>3700</v>
      </c>
      <c r="F128" s="3489">
        <v>16000</v>
      </c>
      <c r="G128" s="3488" t="s">
        <v>3827</v>
      </c>
      <c r="H128" s="3488">
        <v>2022</v>
      </c>
      <c r="I128" s="3488" t="s">
        <v>4011</v>
      </c>
      <c r="J128" s="3488" t="s">
        <v>4012</v>
      </c>
      <c r="K128" s="3489">
        <v>288</v>
      </c>
      <c r="L128" s="3489">
        <v>18000</v>
      </c>
      <c r="M128" s="3488" t="s">
        <v>3704</v>
      </c>
    </row>
    <row r="129" spans="1:13" s="3490" customFormat="1" ht="15" hidden="1" customHeight="1">
      <c r="A129" s="3488">
        <v>127</v>
      </c>
      <c r="B129" s="3488" t="s">
        <v>4013</v>
      </c>
      <c r="C129" s="3488" t="s">
        <v>4005</v>
      </c>
      <c r="D129" s="3488" t="s">
        <v>4014</v>
      </c>
      <c r="E129" s="3488" t="s">
        <v>3700</v>
      </c>
      <c r="F129" s="3489">
        <v>20583</v>
      </c>
      <c r="G129" s="3488" t="s">
        <v>3827</v>
      </c>
      <c r="H129" s="3488">
        <v>2022</v>
      </c>
      <c r="I129" s="3488" t="s">
        <v>4015</v>
      </c>
      <c r="J129" s="3488" t="s">
        <v>4016</v>
      </c>
      <c r="K129" s="3489">
        <v>322</v>
      </c>
      <c r="L129" s="3489">
        <v>15644</v>
      </c>
      <c r="M129" s="3488" t="s">
        <v>3704</v>
      </c>
    </row>
    <row r="130" spans="1:13" s="3490" customFormat="1" ht="15" hidden="1" customHeight="1">
      <c r="A130" s="3488">
        <v>128</v>
      </c>
      <c r="B130" s="3488" t="s">
        <v>4017</v>
      </c>
      <c r="C130" s="3488" t="s">
        <v>4018</v>
      </c>
      <c r="D130" s="3488" t="s">
        <v>4019</v>
      </c>
      <c r="E130" s="3488" t="s">
        <v>3700</v>
      </c>
      <c r="F130" s="3489">
        <v>51892</v>
      </c>
      <c r="G130" s="3488" t="s">
        <v>3701</v>
      </c>
      <c r="H130" s="3488">
        <v>2022</v>
      </c>
      <c r="I130" s="3488" t="s">
        <v>4017</v>
      </c>
      <c r="J130" s="3488" t="s">
        <v>4020</v>
      </c>
      <c r="K130" s="3489">
        <v>488</v>
      </c>
      <c r="L130" s="3489">
        <v>9400</v>
      </c>
      <c r="M130" s="3488" t="s">
        <v>3838</v>
      </c>
    </row>
    <row r="131" spans="1:13" s="3490" customFormat="1" ht="15" hidden="1" customHeight="1">
      <c r="A131" s="3488">
        <v>129</v>
      </c>
      <c r="B131" s="3488" t="s">
        <v>4021</v>
      </c>
      <c r="C131" s="3488" t="s">
        <v>4005</v>
      </c>
      <c r="D131" s="3488" t="s">
        <v>4022</v>
      </c>
      <c r="E131" s="3488" t="s">
        <v>3728</v>
      </c>
      <c r="F131" s="3489">
        <v>6271</v>
      </c>
      <c r="G131" s="3488" t="s">
        <v>3701</v>
      </c>
      <c r="H131" s="3488">
        <v>2022</v>
      </c>
      <c r="I131" s="3488" t="s">
        <v>4023</v>
      </c>
      <c r="J131" s="3488" t="s">
        <v>3866</v>
      </c>
      <c r="K131" s="3489">
        <v>145</v>
      </c>
      <c r="L131" s="3489">
        <v>23122</v>
      </c>
      <c r="M131" s="3488" t="s">
        <v>3704</v>
      </c>
    </row>
    <row r="132" spans="1:13" s="3490" customFormat="1" ht="15" hidden="1" customHeight="1">
      <c r="A132" s="3488">
        <v>130</v>
      </c>
      <c r="B132" s="3488" t="s">
        <v>4024</v>
      </c>
      <c r="C132" s="3488" t="s">
        <v>4005</v>
      </c>
      <c r="D132" s="3488" t="s">
        <v>4014</v>
      </c>
      <c r="E132" s="3488" t="s">
        <v>3854</v>
      </c>
      <c r="F132" s="3489">
        <v>213000</v>
      </c>
      <c r="G132" s="3488" t="s">
        <v>3767</v>
      </c>
      <c r="H132" s="3488">
        <v>2022</v>
      </c>
      <c r="I132" s="3488" t="s">
        <v>4025</v>
      </c>
      <c r="J132" s="3488" t="s">
        <v>4026</v>
      </c>
      <c r="K132" s="3489">
        <v>371</v>
      </c>
      <c r="L132" s="3489">
        <v>3484</v>
      </c>
      <c r="M132" s="3488" t="s">
        <v>3838</v>
      </c>
    </row>
    <row r="133" spans="1:13" s="3490" customFormat="1" ht="15" hidden="1" customHeight="1">
      <c r="A133" s="3488">
        <v>131</v>
      </c>
      <c r="B133" s="3488" t="s">
        <v>4027</v>
      </c>
      <c r="C133" s="3488" t="s">
        <v>4018</v>
      </c>
      <c r="D133" s="3488" t="s">
        <v>4028</v>
      </c>
      <c r="E133" s="3488" t="s">
        <v>3700</v>
      </c>
      <c r="F133" s="3489">
        <v>16000</v>
      </c>
      <c r="G133" s="3488" t="s">
        <v>3701</v>
      </c>
      <c r="H133" s="3488">
        <v>2022</v>
      </c>
      <c r="I133" s="3488" t="s">
        <v>4029</v>
      </c>
      <c r="J133" s="3488" t="s">
        <v>4030</v>
      </c>
      <c r="K133" s="3489">
        <v>180</v>
      </c>
      <c r="L133" s="3489">
        <v>11250</v>
      </c>
      <c r="M133" s="3488" t="s">
        <v>3704</v>
      </c>
    </row>
    <row r="134" spans="1:13" s="3490" customFormat="1" ht="15" hidden="1" customHeight="1">
      <c r="A134" s="3488">
        <v>132</v>
      </c>
      <c r="B134" s="3488" t="s">
        <v>4031</v>
      </c>
      <c r="C134" s="3488" t="s">
        <v>4018</v>
      </c>
      <c r="D134" s="3488" t="s">
        <v>4032</v>
      </c>
      <c r="E134" s="3488" t="s">
        <v>3783</v>
      </c>
      <c r="F134" s="3489">
        <v>54435</v>
      </c>
      <c r="G134" s="3488" t="s">
        <v>3701</v>
      </c>
      <c r="H134" s="3488">
        <v>2022</v>
      </c>
      <c r="I134" s="3488" t="s">
        <v>4033</v>
      </c>
      <c r="J134" s="3488" t="s">
        <v>4034</v>
      </c>
      <c r="K134" s="3489">
        <v>403</v>
      </c>
      <c r="L134" s="3489">
        <v>7400</v>
      </c>
      <c r="M134" s="3488" t="s">
        <v>3704</v>
      </c>
    </row>
    <row r="135" spans="1:13" s="3490" customFormat="1" ht="15" hidden="1" customHeight="1">
      <c r="A135" s="3488">
        <v>133</v>
      </c>
      <c r="B135" s="3488" t="s">
        <v>4035</v>
      </c>
      <c r="C135" s="3488" t="s">
        <v>4018</v>
      </c>
      <c r="D135" s="3488" t="s">
        <v>4036</v>
      </c>
      <c r="E135" s="3488" t="s">
        <v>3783</v>
      </c>
      <c r="F135" s="3489">
        <v>11836</v>
      </c>
      <c r="G135" s="3488" t="s">
        <v>3701</v>
      </c>
      <c r="H135" s="3488">
        <v>2022</v>
      </c>
      <c r="I135" s="3488" t="s">
        <v>4037</v>
      </c>
      <c r="J135" s="3488" t="s">
        <v>4034</v>
      </c>
      <c r="K135" s="3489">
        <v>128</v>
      </c>
      <c r="L135" s="3489">
        <v>10800</v>
      </c>
      <c r="M135" s="3488" t="s">
        <v>3704</v>
      </c>
    </row>
    <row r="136" spans="1:13" s="3490" customFormat="1" ht="15" hidden="1" customHeight="1">
      <c r="A136" s="3488">
        <v>134</v>
      </c>
      <c r="B136" s="3488" t="s">
        <v>4038</v>
      </c>
      <c r="C136" s="3488" t="s">
        <v>4018</v>
      </c>
      <c r="D136" s="3488" t="s">
        <v>4032</v>
      </c>
      <c r="E136" s="3488" t="s">
        <v>3783</v>
      </c>
      <c r="F136" s="3489">
        <v>76000</v>
      </c>
      <c r="G136" s="3488" t="s">
        <v>3701</v>
      </c>
      <c r="H136" s="3488">
        <v>2022</v>
      </c>
      <c r="I136" s="3488" t="s">
        <v>4039</v>
      </c>
      <c r="J136" s="3488" t="s">
        <v>4034</v>
      </c>
      <c r="K136" s="3489">
        <v>566</v>
      </c>
      <c r="L136" s="3489">
        <v>7448</v>
      </c>
      <c r="M136" s="3488" t="s">
        <v>3704</v>
      </c>
    </row>
    <row r="137" spans="1:13" s="3490" customFormat="1" ht="15" hidden="1" customHeight="1">
      <c r="A137" s="3488">
        <v>135</v>
      </c>
      <c r="B137" s="3488" t="s">
        <v>4040</v>
      </c>
      <c r="C137" s="3488" t="s">
        <v>4018</v>
      </c>
      <c r="D137" s="3488" t="s">
        <v>4028</v>
      </c>
      <c r="E137" s="3488" t="s">
        <v>3783</v>
      </c>
      <c r="F137" s="3489">
        <v>47219</v>
      </c>
      <c r="G137" s="3488" t="s">
        <v>3701</v>
      </c>
      <c r="H137" s="3488">
        <v>2022</v>
      </c>
      <c r="I137" s="3488" t="s">
        <v>4041</v>
      </c>
      <c r="J137" s="3488" t="s">
        <v>4034</v>
      </c>
      <c r="K137" s="3489">
        <v>552</v>
      </c>
      <c r="L137" s="3489">
        <v>11700</v>
      </c>
      <c r="M137" s="3488" t="s">
        <v>3704</v>
      </c>
    </row>
    <row r="138" spans="1:13" s="3490" customFormat="1" ht="15" hidden="1" customHeight="1">
      <c r="A138" s="3488">
        <v>136</v>
      </c>
      <c r="B138" s="3488" t="s">
        <v>4042</v>
      </c>
      <c r="C138" s="3488" t="s">
        <v>4018</v>
      </c>
      <c r="D138" s="3488" t="s">
        <v>4019</v>
      </c>
      <c r="E138" s="3488" t="s">
        <v>3783</v>
      </c>
      <c r="F138" s="3489">
        <v>81000</v>
      </c>
      <c r="G138" s="3488" t="s">
        <v>3701</v>
      </c>
      <c r="H138" s="3488">
        <v>2022</v>
      </c>
      <c r="I138" s="3488" t="s">
        <v>4043</v>
      </c>
      <c r="J138" s="3488" t="s">
        <v>4034</v>
      </c>
      <c r="K138" s="3489">
        <v>810</v>
      </c>
      <c r="L138" s="3489">
        <v>10000</v>
      </c>
      <c r="M138" s="3488" t="s">
        <v>3704</v>
      </c>
    </row>
    <row r="139" spans="1:13" s="3490" customFormat="1" ht="15" hidden="1" customHeight="1">
      <c r="A139" s="3488">
        <v>137</v>
      </c>
      <c r="B139" s="3488" t="s">
        <v>4044</v>
      </c>
      <c r="C139" s="3488" t="s">
        <v>4018</v>
      </c>
      <c r="D139" s="3488" t="s">
        <v>4019</v>
      </c>
      <c r="E139" s="3488" t="s">
        <v>3783</v>
      </c>
      <c r="F139" s="3489">
        <v>6134</v>
      </c>
      <c r="G139" s="3488" t="s">
        <v>3701</v>
      </c>
      <c r="H139" s="3488">
        <v>2022</v>
      </c>
      <c r="I139" s="3488" t="s">
        <v>4045</v>
      </c>
      <c r="J139" s="3488" t="s">
        <v>4034</v>
      </c>
      <c r="K139" s="3489">
        <v>66</v>
      </c>
      <c r="L139" s="3489">
        <v>10760</v>
      </c>
      <c r="M139" s="3488" t="s">
        <v>3704</v>
      </c>
    </row>
    <row r="140" spans="1:13" s="3490" customFormat="1" ht="15" hidden="1" customHeight="1">
      <c r="A140" s="3488">
        <v>138</v>
      </c>
      <c r="B140" s="3488" t="s">
        <v>4046</v>
      </c>
      <c r="C140" s="3488" t="s">
        <v>4018</v>
      </c>
      <c r="D140" s="3488" t="s">
        <v>4019</v>
      </c>
      <c r="E140" s="3488" t="s">
        <v>3783</v>
      </c>
      <c r="F140" s="3489">
        <v>28398</v>
      </c>
      <c r="G140" s="3488" t="s">
        <v>3701</v>
      </c>
      <c r="H140" s="3488">
        <v>2022</v>
      </c>
      <c r="I140" s="3488" t="s">
        <v>3722</v>
      </c>
      <c r="J140" s="3488" t="s">
        <v>4034</v>
      </c>
      <c r="K140" s="3489">
        <v>284</v>
      </c>
      <c r="L140" s="3489">
        <v>10000</v>
      </c>
      <c r="M140" s="3488" t="s">
        <v>3704</v>
      </c>
    </row>
    <row r="141" spans="1:13" s="3490" customFormat="1" ht="15" hidden="1" customHeight="1">
      <c r="A141" s="3488">
        <v>139</v>
      </c>
      <c r="B141" s="3488" t="s">
        <v>4047</v>
      </c>
      <c r="C141" s="3488" t="s">
        <v>4018</v>
      </c>
      <c r="D141" s="3488" t="s">
        <v>4048</v>
      </c>
      <c r="E141" s="3488" t="s">
        <v>3783</v>
      </c>
      <c r="F141" s="3489">
        <v>7097</v>
      </c>
      <c r="G141" s="3488" t="s">
        <v>3701</v>
      </c>
      <c r="H141" s="3488">
        <v>2022</v>
      </c>
      <c r="I141" s="3488" t="s">
        <v>4049</v>
      </c>
      <c r="J141" s="3488" t="s">
        <v>4034</v>
      </c>
      <c r="K141" s="3489">
        <v>59</v>
      </c>
      <c r="L141" s="3489">
        <v>8280</v>
      </c>
      <c r="M141" s="3488" t="s">
        <v>3704</v>
      </c>
    </row>
    <row r="142" spans="1:13" s="3490" customFormat="1" ht="15" hidden="1" customHeight="1">
      <c r="A142" s="3488">
        <v>140</v>
      </c>
      <c r="B142" s="3488" t="s">
        <v>4050</v>
      </c>
      <c r="C142" s="3488" t="s">
        <v>4018</v>
      </c>
      <c r="D142" s="3488" t="s">
        <v>4048</v>
      </c>
      <c r="E142" s="3488" t="s">
        <v>3783</v>
      </c>
      <c r="F142" s="3489">
        <v>30000</v>
      </c>
      <c r="G142" s="3488" t="s">
        <v>3701</v>
      </c>
      <c r="H142" s="3488">
        <v>2022</v>
      </c>
      <c r="I142" s="3488" t="s">
        <v>3793</v>
      </c>
      <c r="J142" s="3488" t="s">
        <v>4034</v>
      </c>
      <c r="K142" s="3489">
        <v>238</v>
      </c>
      <c r="L142" s="3489">
        <v>7933</v>
      </c>
      <c r="M142" s="3488" t="s">
        <v>3704</v>
      </c>
    </row>
    <row r="143" spans="1:13" s="3490" customFormat="1" ht="15" hidden="1" customHeight="1">
      <c r="A143" s="3488">
        <v>141</v>
      </c>
      <c r="B143" s="3488" t="s">
        <v>4051</v>
      </c>
      <c r="C143" s="3488" t="s">
        <v>4018</v>
      </c>
      <c r="D143" s="3488" t="s">
        <v>4019</v>
      </c>
      <c r="E143" s="3488" t="s">
        <v>3783</v>
      </c>
      <c r="F143" s="3489">
        <v>85000</v>
      </c>
      <c r="G143" s="3488" t="s">
        <v>3701</v>
      </c>
      <c r="H143" s="3488">
        <v>2022</v>
      </c>
      <c r="I143" s="3488" t="s">
        <v>4052</v>
      </c>
      <c r="J143" s="3488" t="s">
        <v>4034</v>
      </c>
      <c r="K143" s="3489">
        <v>765</v>
      </c>
      <c r="L143" s="3489">
        <v>9000</v>
      </c>
      <c r="M143" s="3488" t="s">
        <v>3704</v>
      </c>
    </row>
    <row r="155" spans="2:2">
      <c r="B155" s="3528">
        <f>F77/47*5</f>
        <v>12659.574468085106</v>
      </c>
    </row>
    <row r="156" spans="2:2">
      <c r="B156" s="3487">
        <f>B155/F77</f>
        <v>0.10638297872340426</v>
      </c>
    </row>
    <row r="176" spans="11:11">
      <c r="K176" s="3492" t="s">
        <v>4617</v>
      </c>
    </row>
    <row r="177" spans="11:11">
      <c r="K177" s="3492">
        <v>12026</v>
      </c>
    </row>
    <row r="178" spans="11:11">
      <c r="K178" s="3492" t="s">
        <v>4618</v>
      </c>
    </row>
    <row r="179" spans="11:11">
      <c r="K179" s="3492">
        <v>51840.28</v>
      </c>
    </row>
    <row r="180" spans="11:11">
      <c r="K180" s="3492" t="s">
        <v>4619</v>
      </c>
    </row>
    <row r="181" spans="11:11">
      <c r="K181" s="3492">
        <v>43107</v>
      </c>
    </row>
    <row r="246" spans="13:13">
      <c r="M246" s="3492" t="s">
        <v>4617</v>
      </c>
    </row>
    <row r="247" spans="13:13">
      <c r="M247" s="3492">
        <v>32299</v>
      </c>
    </row>
    <row r="248" spans="13:13">
      <c r="M248" s="3492" t="s">
        <v>4618</v>
      </c>
    </row>
    <row r="249" spans="13:13">
      <c r="M249" s="3492">
        <v>158263.97</v>
      </c>
    </row>
    <row r="250" spans="13:13">
      <c r="M250" s="3492" t="s">
        <v>4619</v>
      </c>
    </row>
    <row r="251" spans="13:13">
      <c r="M251" s="3492">
        <v>49000</v>
      </c>
    </row>
    <row r="322" spans="12:12">
      <c r="L322" s="3492" t="s">
        <v>4617</v>
      </c>
    </row>
    <row r="323" spans="12:12">
      <c r="L323" s="3492">
        <v>6461</v>
      </c>
    </row>
    <row r="324" spans="12:12">
      <c r="L324" s="3492" t="s">
        <v>4618</v>
      </c>
    </row>
    <row r="325" spans="12:12">
      <c r="L325" s="3492">
        <v>32048.59</v>
      </c>
    </row>
    <row r="326" spans="12:12">
      <c r="L326" s="3492" t="s">
        <v>4619</v>
      </c>
    </row>
    <row r="327" spans="12:12">
      <c r="L327" s="3492">
        <v>49600</v>
      </c>
    </row>
  </sheetData>
  <autoFilter ref="A2:N143">
    <filterColumn colId="2">
      <filters>
        <filter val="北京"/>
      </filters>
    </filterColumn>
    <filterColumn colId="4">
      <filters>
        <filter val="办公"/>
        <filter val="酒店"/>
        <filter val="商务园区"/>
        <filter val="综合体"/>
      </filters>
    </filterColumn>
  </autoFilter>
  <phoneticPr fontId="135"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selection activeCell="O8" sqref="O8"/>
    </sheetView>
  </sheetViews>
  <sheetFormatPr defaultRowHeight="13.5"/>
  <cols>
    <col min="1" max="14" width="9" style="3439"/>
    <col min="15" max="15" width="11.25" style="3439" bestFit="1" customWidth="1"/>
    <col min="16" max="16384" width="9" style="3439"/>
  </cols>
  <sheetData>
    <row r="1" spans="1:24" ht="31.5">
      <c r="A1" s="3443" t="s">
        <v>3405</v>
      </c>
      <c r="B1" s="3443" t="s">
        <v>3406</v>
      </c>
      <c r="C1" s="3443" t="s">
        <v>3407</v>
      </c>
      <c r="D1" s="3444" t="s">
        <v>3408</v>
      </c>
      <c r="E1" s="3443" t="s">
        <v>3409</v>
      </c>
      <c r="F1" s="3445" t="s">
        <v>3410</v>
      </c>
      <c r="G1" s="3445" t="s">
        <v>3411</v>
      </c>
      <c r="H1" s="3444" t="s">
        <v>3412</v>
      </c>
      <c r="I1" s="3444" t="s">
        <v>3413</v>
      </c>
      <c r="J1" s="3444" t="s">
        <v>3414</v>
      </c>
      <c r="K1" s="3444" t="s">
        <v>3415</v>
      </c>
      <c r="L1" s="3444" t="s">
        <v>3416</v>
      </c>
      <c r="M1" s="3444" t="s">
        <v>3417</v>
      </c>
      <c r="N1" s="3444" t="s">
        <v>3418</v>
      </c>
      <c r="O1" s="3446" t="s">
        <v>3419</v>
      </c>
      <c r="P1" s="3444"/>
      <c r="Q1" s="3447"/>
      <c r="R1" s="3447"/>
      <c r="S1" s="3447"/>
      <c r="T1" s="3447"/>
      <c r="U1" s="3447"/>
      <c r="V1" s="3447"/>
      <c r="W1" s="3447"/>
      <c r="X1" s="3447"/>
    </row>
    <row r="2" spans="1:24" ht="21">
      <c r="A2" s="3448">
        <v>1</v>
      </c>
      <c r="B2" s="3449" t="s">
        <v>3420</v>
      </c>
      <c r="C2" s="3449" t="s">
        <v>21</v>
      </c>
      <c r="D2" s="3449" t="s">
        <v>3421</v>
      </c>
      <c r="E2" s="3449" t="s">
        <v>3422</v>
      </c>
      <c r="F2" s="3450">
        <v>37.1</v>
      </c>
      <c r="G2" s="3451">
        <v>109000</v>
      </c>
      <c r="H2" s="3451">
        <v>33940</v>
      </c>
      <c r="I2" s="3449" t="s">
        <v>3423</v>
      </c>
      <c r="J2" s="3449" t="s">
        <v>3424</v>
      </c>
      <c r="K2" s="3449" t="s">
        <v>3425</v>
      </c>
      <c r="L2" s="3449"/>
      <c r="M2" s="3449"/>
      <c r="N2" s="3449"/>
      <c r="O2" s="3449"/>
      <c r="P2" s="3449"/>
      <c r="Q2" s="3447"/>
      <c r="R2" s="3447"/>
      <c r="S2" s="3447"/>
      <c r="T2" s="3447"/>
      <c r="U2" s="3447"/>
      <c r="V2" s="3447"/>
      <c r="W2" s="3447"/>
      <c r="X2" s="3447"/>
    </row>
    <row r="3" spans="1:24">
      <c r="A3" s="3448">
        <v>2</v>
      </c>
      <c r="B3" s="3449" t="s">
        <v>3420</v>
      </c>
      <c r="C3" s="3449" t="s">
        <v>3</v>
      </c>
      <c r="D3" s="3449" t="s">
        <v>3426</v>
      </c>
      <c r="E3" s="3449" t="s">
        <v>3427</v>
      </c>
      <c r="F3" s="3448">
        <v>28</v>
      </c>
      <c r="G3" s="3451">
        <v>114200</v>
      </c>
      <c r="H3" s="3451">
        <v>24518</v>
      </c>
      <c r="I3" s="3449" t="s">
        <v>3423</v>
      </c>
      <c r="J3" s="3449" t="s">
        <v>3428</v>
      </c>
      <c r="K3" s="3449" t="s">
        <v>3429</v>
      </c>
      <c r="L3" s="3449"/>
      <c r="M3" s="3449"/>
      <c r="N3" s="3449"/>
      <c r="O3" s="3449"/>
      <c r="P3" s="3449"/>
      <c r="Q3" s="3447"/>
      <c r="R3" s="3447"/>
      <c r="S3" s="3447"/>
      <c r="T3" s="3447"/>
      <c r="U3" s="3447"/>
      <c r="V3" s="3447"/>
      <c r="W3" s="3447"/>
      <c r="X3" s="3447"/>
    </row>
    <row r="4" spans="1:24" ht="21">
      <c r="A4" s="3448">
        <v>3</v>
      </c>
      <c r="B4" s="3449" t="s">
        <v>3420</v>
      </c>
      <c r="C4" s="3449" t="s">
        <v>3430</v>
      </c>
      <c r="D4" s="3449" t="s">
        <v>3431</v>
      </c>
      <c r="E4" s="3449" t="s">
        <v>3432</v>
      </c>
      <c r="F4" s="3452">
        <v>20.48</v>
      </c>
      <c r="G4" s="3451">
        <v>37923</v>
      </c>
      <c r="H4" s="3451">
        <v>54004</v>
      </c>
      <c r="I4" s="3449" t="s">
        <v>3423</v>
      </c>
      <c r="J4" s="3449" t="s">
        <v>3433</v>
      </c>
      <c r="K4" s="3449" t="s">
        <v>3434</v>
      </c>
      <c r="L4" s="3449"/>
      <c r="M4" s="3449"/>
      <c r="N4" s="3449"/>
      <c r="O4" s="3449"/>
      <c r="P4" s="3449"/>
      <c r="Q4" s="3447"/>
      <c r="R4" s="3447"/>
      <c r="S4" s="3447"/>
      <c r="T4" s="3447"/>
      <c r="U4" s="3447"/>
      <c r="V4" s="3447"/>
      <c r="W4" s="3447"/>
      <c r="X4" s="3447"/>
    </row>
    <row r="5" spans="1:24" ht="31.5">
      <c r="A5" s="3448">
        <v>4</v>
      </c>
      <c r="B5" s="3449" t="s">
        <v>3420</v>
      </c>
      <c r="C5" s="3449" t="s">
        <v>3435</v>
      </c>
      <c r="D5" s="3449" t="s">
        <v>3436</v>
      </c>
      <c r="E5" s="3449" t="s">
        <v>3437</v>
      </c>
      <c r="F5" s="3448">
        <v>13</v>
      </c>
      <c r="G5" s="3451">
        <v>48000</v>
      </c>
      <c r="H5" s="3451">
        <v>27083</v>
      </c>
      <c r="I5" s="3449" t="s">
        <v>3438</v>
      </c>
      <c r="J5" s="3449" t="s">
        <v>3439</v>
      </c>
      <c r="K5" s="3449" t="s">
        <v>3440</v>
      </c>
      <c r="L5" s="3449"/>
      <c r="M5" s="3449"/>
      <c r="N5" s="3449"/>
      <c r="O5" s="3449"/>
      <c r="P5" s="3449"/>
      <c r="Q5" s="3447"/>
      <c r="R5" s="3447"/>
      <c r="S5" s="3447"/>
      <c r="T5" s="3447"/>
      <c r="U5" s="3447"/>
      <c r="V5" s="3447"/>
      <c r="W5" s="3447"/>
      <c r="X5" s="3447"/>
    </row>
    <row r="6" spans="1:24" ht="21">
      <c r="A6" s="3448">
        <v>5</v>
      </c>
      <c r="B6" s="3449" t="s">
        <v>3420</v>
      </c>
      <c r="C6" s="3449" t="s">
        <v>21</v>
      </c>
      <c r="D6" s="3449" t="s">
        <v>3441</v>
      </c>
      <c r="E6" s="3449" t="s">
        <v>3442</v>
      </c>
      <c r="F6" s="3452">
        <v>10.84</v>
      </c>
      <c r="G6" s="3451">
        <v>24252</v>
      </c>
      <c r="H6" s="3453">
        <v>44697</v>
      </c>
      <c r="I6" s="3449" t="s">
        <v>3438</v>
      </c>
      <c r="J6" s="3449" t="s">
        <v>3443</v>
      </c>
      <c r="K6" s="3449" t="s">
        <v>3444</v>
      </c>
      <c r="L6" s="3449"/>
      <c r="M6" s="3449"/>
      <c r="N6" s="3449"/>
      <c r="O6" s="3449"/>
      <c r="P6" s="3449"/>
      <c r="Q6" s="3447"/>
      <c r="R6" s="3447"/>
      <c r="S6" s="3447"/>
      <c r="T6" s="3447"/>
      <c r="U6" s="3447"/>
      <c r="V6" s="3447"/>
      <c r="W6" s="3447"/>
      <c r="X6" s="3447"/>
    </row>
    <row r="7" spans="1:24" ht="21">
      <c r="A7" s="3448">
        <v>6</v>
      </c>
      <c r="B7" s="3449" t="s">
        <v>3445</v>
      </c>
      <c r="C7" s="3449" t="s">
        <v>21</v>
      </c>
      <c r="D7" s="3449" t="s">
        <v>3446</v>
      </c>
      <c r="E7" s="3449" t="s">
        <v>3427</v>
      </c>
      <c r="F7" s="3450">
        <v>26.5</v>
      </c>
      <c r="G7" s="3451">
        <v>35940</v>
      </c>
      <c r="H7" s="3451">
        <v>73734</v>
      </c>
      <c r="I7" s="3449" t="s">
        <v>3423</v>
      </c>
      <c r="J7" s="3449" t="s">
        <v>3447</v>
      </c>
      <c r="K7" s="3449" t="s">
        <v>3448</v>
      </c>
      <c r="L7" s="3449"/>
      <c r="M7" s="3449">
        <v>0.25</v>
      </c>
      <c r="N7" s="3449">
        <v>48000</v>
      </c>
      <c r="O7" s="3449">
        <v>55208</v>
      </c>
      <c r="P7" s="3449"/>
      <c r="Q7" s="3447"/>
      <c r="R7" s="3447"/>
      <c r="S7" s="3447"/>
      <c r="T7" s="3447"/>
      <c r="U7" s="3447"/>
      <c r="V7" s="3447"/>
      <c r="W7" s="3447"/>
      <c r="X7" s="3447"/>
    </row>
    <row r="8" spans="1:24" s="3457" customFormat="1" ht="31.5">
      <c r="A8" s="3454">
        <v>7</v>
      </c>
      <c r="B8" s="3455" t="s">
        <v>3445</v>
      </c>
      <c r="C8" s="3455" t="s">
        <v>21</v>
      </c>
      <c r="D8" s="3455" t="s">
        <v>3449</v>
      </c>
      <c r="E8" s="3455" t="s">
        <v>3432</v>
      </c>
      <c r="F8" s="3454">
        <v>24</v>
      </c>
      <c r="G8" s="3456">
        <v>52838</v>
      </c>
      <c r="H8" s="3456">
        <v>56777</v>
      </c>
      <c r="I8" s="3455" t="s">
        <v>3423</v>
      </c>
      <c r="J8" s="3455" t="s">
        <v>3450</v>
      </c>
      <c r="K8" s="3455" t="s">
        <v>3451</v>
      </c>
      <c r="L8" s="3455"/>
      <c r="N8" s="3455">
        <v>63204</v>
      </c>
      <c r="O8" s="3455">
        <f>R8</f>
        <v>47465</v>
      </c>
      <c r="P8" s="3455">
        <v>5.6777319353495601</v>
      </c>
      <c r="Q8" s="3458">
        <f>F8*10000/0.8</f>
        <v>300000</v>
      </c>
      <c r="R8" s="3458">
        <f>ROUND(Q8*10000/N8,0)</f>
        <v>47465</v>
      </c>
      <c r="S8" s="3458"/>
      <c r="T8" s="3455">
        <v>10366</v>
      </c>
      <c r="U8" s="3458"/>
      <c r="V8" s="3458"/>
      <c r="W8" s="3458"/>
      <c r="X8" s="3458"/>
    </row>
    <row r="9" spans="1:24" ht="31.5">
      <c r="A9" s="3448">
        <v>8</v>
      </c>
      <c r="B9" s="3449" t="s">
        <v>3445</v>
      </c>
      <c r="C9" s="3449" t="s">
        <v>3452</v>
      </c>
      <c r="D9" s="3449" t="s">
        <v>3453</v>
      </c>
      <c r="E9" s="3449" t="s">
        <v>3427</v>
      </c>
      <c r="F9" s="3448">
        <v>25.64</v>
      </c>
      <c r="G9" s="3451"/>
      <c r="H9" s="3451"/>
      <c r="I9" s="3449" t="s">
        <v>3423</v>
      </c>
      <c r="J9" s="3449" t="s">
        <v>3454</v>
      </c>
      <c r="K9" s="3449" t="s">
        <v>3455</v>
      </c>
      <c r="L9" s="3449">
        <v>1</v>
      </c>
      <c r="M9" s="3449"/>
      <c r="N9" s="3449">
        <v>60000</v>
      </c>
      <c r="O9" s="3449">
        <v>85466</v>
      </c>
      <c r="P9" s="3449"/>
      <c r="Q9" s="3447"/>
      <c r="R9" s="3447"/>
      <c r="S9" s="3447"/>
      <c r="T9" s="3447"/>
      <c r="U9" s="3447"/>
      <c r="V9" s="3447"/>
      <c r="W9" s="3447"/>
      <c r="X9" s="3447"/>
    </row>
    <row r="10" spans="1:24" ht="21">
      <c r="A10" s="3459">
        <v>9</v>
      </c>
      <c r="B10" s="3449" t="s">
        <v>3456</v>
      </c>
      <c r="C10" s="3449" t="s">
        <v>21</v>
      </c>
      <c r="D10" s="3449" t="s">
        <v>3457</v>
      </c>
      <c r="E10" s="3449" t="s">
        <v>3427</v>
      </c>
      <c r="F10" s="3460">
        <v>8.5</v>
      </c>
      <c r="G10" s="3461">
        <v>15776</v>
      </c>
      <c r="H10" s="3461">
        <v>53879</v>
      </c>
      <c r="I10" s="3449" t="s">
        <v>3423</v>
      </c>
      <c r="J10" s="3449" t="s">
        <v>3458</v>
      </c>
      <c r="K10" s="3449" t="s">
        <v>3459</v>
      </c>
      <c r="L10" s="3449"/>
      <c r="M10" s="3449"/>
      <c r="N10" s="3449"/>
      <c r="O10" s="3449"/>
      <c r="P10" s="3449"/>
      <c r="Q10" s="3462"/>
      <c r="R10" s="3462"/>
      <c r="S10" s="3462"/>
      <c r="T10" s="3462"/>
      <c r="U10" s="3462"/>
      <c r="V10" s="3462"/>
      <c r="W10" s="3462"/>
      <c r="X10" s="3462"/>
    </row>
    <row r="11" spans="1:24" s="3457" customFormat="1" ht="21">
      <c r="A11" s="3467">
        <v>10</v>
      </c>
      <c r="B11" s="3455" t="s">
        <v>3456</v>
      </c>
      <c r="C11" s="3455" t="s">
        <v>21</v>
      </c>
      <c r="D11" s="3455" t="s">
        <v>3556</v>
      </c>
      <c r="E11" s="3455" t="s">
        <v>3460</v>
      </c>
      <c r="F11" s="3473">
        <v>15.05</v>
      </c>
      <c r="G11" s="3469">
        <v>17629.080000000002</v>
      </c>
      <c r="H11" s="3469">
        <v>85370</v>
      </c>
      <c r="I11" s="3455" t="s">
        <v>3438</v>
      </c>
      <c r="J11" s="3455" t="s">
        <v>3461</v>
      </c>
      <c r="K11" s="3455" t="s">
        <v>3462</v>
      </c>
      <c r="L11" s="3455"/>
      <c r="M11" s="3455">
        <v>0.46</v>
      </c>
      <c r="N11" s="3455">
        <v>32414</v>
      </c>
      <c r="O11" s="3455">
        <f>ROUND(F11*100000000/N11,0)</f>
        <v>46431</v>
      </c>
      <c r="P11" s="3455"/>
    </row>
    <row r="12" spans="1:24">
      <c r="A12" s="3448">
        <v>11</v>
      </c>
      <c r="B12" s="3449" t="s">
        <v>3456</v>
      </c>
      <c r="C12" s="3449" t="s">
        <v>21</v>
      </c>
      <c r="D12" s="3449" t="s">
        <v>3463</v>
      </c>
      <c r="E12" s="3449" t="s">
        <v>3432</v>
      </c>
      <c r="F12" s="3452">
        <v>3.66</v>
      </c>
      <c r="G12" s="3453">
        <v>6938</v>
      </c>
      <c r="H12" s="3453">
        <v>52757</v>
      </c>
      <c r="I12" s="3449" t="s">
        <v>3423</v>
      </c>
      <c r="J12" s="3449" t="s">
        <v>3464</v>
      </c>
      <c r="K12" s="3449" t="s">
        <v>3465</v>
      </c>
      <c r="L12" s="3449"/>
      <c r="M12" s="3449"/>
      <c r="N12" s="3449"/>
      <c r="O12" s="3449"/>
      <c r="P12" s="3449"/>
      <c r="Q12" s="3447"/>
      <c r="R12" s="3447"/>
      <c r="S12" s="3447"/>
      <c r="T12" s="3447"/>
      <c r="U12" s="3447"/>
      <c r="V12" s="3447"/>
      <c r="W12" s="3447"/>
      <c r="X12" s="3447"/>
    </row>
    <row r="13" spans="1:24" ht="21">
      <c r="A13" s="3448">
        <v>12</v>
      </c>
      <c r="B13" s="3449" t="s">
        <v>3466</v>
      </c>
      <c r="C13" s="3449" t="s">
        <v>3435</v>
      </c>
      <c r="D13" s="3449" t="s">
        <v>3467</v>
      </c>
      <c r="E13" s="3449" t="s">
        <v>3427</v>
      </c>
      <c r="F13" s="3448">
        <v>6</v>
      </c>
      <c r="G13" s="3453">
        <v>15000</v>
      </c>
      <c r="H13" s="3453">
        <v>40000</v>
      </c>
      <c r="I13" s="3449" t="s">
        <v>3423</v>
      </c>
      <c r="J13" s="3449" t="s">
        <v>3468</v>
      </c>
      <c r="K13" s="3449" t="s">
        <v>3469</v>
      </c>
      <c r="L13" s="3449"/>
      <c r="M13" s="3449"/>
      <c r="N13" s="3449"/>
      <c r="O13" s="3449"/>
      <c r="P13" s="3449"/>
      <c r="Q13" s="3447"/>
      <c r="R13" s="3447"/>
      <c r="S13" s="3447"/>
      <c r="T13" s="3447"/>
      <c r="U13" s="3447"/>
      <c r="V13" s="3447"/>
      <c r="W13" s="3447"/>
      <c r="X13" s="3447"/>
    </row>
    <row r="14" spans="1:24">
      <c r="A14" s="3448">
        <v>13</v>
      </c>
      <c r="B14" s="3449" t="s">
        <v>3466</v>
      </c>
      <c r="C14" s="3449" t="s">
        <v>21</v>
      </c>
      <c r="D14" s="3449" t="s">
        <v>3470</v>
      </c>
      <c r="E14" s="3449" t="s">
        <v>3437</v>
      </c>
      <c r="F14" s="3452">
        <v>16.739999999999998</v>
      </c>
      <c r="G14" s="3453">
        <v>28829</v>
      </c>
      <c r="H14" s="3453">
        <v>58077</v>
      </c>
      <c r="I14" s="3449" t="s">
        <v>3438</v>
      </c>
      <c r="J14" s="3449" t="s">
        <v>3471</v>
      </c>
      <c r="K14" s="3449" t="s">
        <v>3472</v>
      </c>
      <c r="L14" s="3449"/>
      <c r="M14" s="3449"/>
      <c r="N14" s="3449"/>
      <c r="O14" s="3449"/>
      <c r="P14" s="3449"/>
      <c r="Q14" s="3447"/>
      <c r="R14" s="3447"/>
      <c r="S14" s="3447"/>
      <c r="T14" s="3447"/>
      <c r="U14" s="3447"/>
      <c r="V14" s="3447"/>
      <c r="W14" s="3447"/>
      <c r="X14" s="3447"/>
    </row>
    <row r="15" spans="1:24" ht="21">
      <c r="A15" s="3448">
        <v>14</v>
      </c>
      <c r="B15" s="3449" t="s">
        <v>3466</v>
      </c>
      <c r="C15" s="3449" t="s">
        <v>3435</v>
      </c>
      <c r="D15" s="3449" t="s">
        <v>3473</v>
      </c>
      <c r="E15" s="3449" t="s">
        <v>3422</v>
      </c>
      <c r="F15" s="3450">
        <v>7.2</v>
      </c>
      <c r="G15" s="3453">
        <v>41900</v>
      </c>
      <c r="H15" s="3453">
        <v>17184</v>
      </c>
      <c r="I15" s="3449" t="s">
        <v>3438</v>
      </c>
      <c r="J15" s="3463" t="s">
        <v>3474</v>
      </c>
      <c r="K15" s="3449" t="s">
        <v>3475</v>
      </c>
      <c r="L15" s="3449"/>
      <c r="M15" s="3449"/>
      <c r="N15" s="3449"/>
      <c r="O15" s="3449"/>
      <c r="P15" s="3449"/>
      <c r="Q15" s="3447"/>
      <c r="R15" s="3447"/>
      <c r="S15" s="3447"/>
      <c r="T15" s="3447"/>
      <c r="U15" s="3447"/>
      <c r="V15" s="3447"/>
      <c r="W15" s="3447"/>
      <c r="X15" s="3447"/>
    </row>
    <row r="16" spans="1:24" ht="31.5">
      <c r="A16" s="3459">
        <v>15</v>
      </c>
      <c r="B16" s="3449" t="s">
        <v>3476</v>
      </c>
      <c r="C16" s="3449" t="s">
        <v>21</v>
      </c>
      <c r="D16" s="3449" t="s">
        <v>3477</v>
      </c>
      <c r="E16" s="3449" t="s">
        <v>3427</v>
      </c>
      <c r="F16" s="3464">
        <v>5.61</v>
      </c>
      <c r="G16" s="3461">
        <v>11645</v>
      </c>
      <c r="H16" s="3461">
        <v>48158</v>
      </c>
      <c r="I16" s="3449" t="s">
        <v>3438</v>
      </c>
      <c r="J16" s="3449" t="s">
        <v>3478</v>
      </c>
      <c r="K16" s="3449" t="s">
        <v>3479</v>
      </c>
      <c r="L16" s="3449"/>
      <c r="M16" s="3449"/>
      <c r="N16" s="3449"/>
      <c r="O16" s="3449"/>
      <c r="P16" s="3449"/>
      <c r="Q16" s="3462"/>
      <c r="R16" s="3462"/>
      <c r="S16" s="3462"/>
      <c r="T16" s="3462"/>
      <c r="U16" s="3462"/>
      <c r="V16" s="3462"/>
      <c r="W16" s="3462"/>
      <c r="X16" s="3462"/>
    </row>
    <row r="17" spans="1:24" ht="21">
      <c r="A17" s="3448">
        <v>16</v>
      </c>
      <c r="B17" s="3449" t="s">
        <v>3476</v>
      </c>
      <c r="C17" s="3449" t="s">
        <v>21</v>
      </c>
      <c r="D17" s="3449" t="s">
        <v>3480</v>
      </c>
      <c r="E17" s="3449" t="s">
        <v>3432</v>
      </c>
      <c r="F17" s="3450">
        <v>90.6</v>
      </c>
      <c r="G17" s="3453">
        <v>107627</v>
      </c>
      <c r="H17" s="3453">
        <v>84180</v>
      </c>
      <c r="I17" s="3449" t="s">
        <v>3423</v>
      </c>
      <c r="J17" s="3449" t="s">
        <v>3481</v>
      </c>
      <c r="K17" s="3449" t="s">
        <v>3482</v>
      </c>
      <c r="L17" s="3449">
        <v>12.307255260677</v>
      </c>
      <c r="M17" s="3449">
        <v>0.12</v>
      </c>
      <c r="N17" s="3449">
        <v>122430.06</v>
      </c>
      <c r="O17" s="3449">
        <f>ROUND(F17*100000000/N17,0)</f>
        <v>74001</v>
      </c>
      <c r="P17" s="3449"/>
      <c r="Q17" s="3447">
        <v>14</v>
      </c>
      <c r="R17" s="3447">
        <v>8745.0042857142907</v>
      </c>
      <c r="S17" s="3447"/>
      <c r="T17" s="3447"/>
      <c r="U17" s="3447"/>
      <c r="V17" s="3447"/>
      <c r="W17" s="3447"/>
      <c r="X17" s="3447"/>
    </row>
    <row r="18" spans="1:24" ht="31.5">
      <c r="A18" s="3448">
        <v>17</v>
      </c>
      <c r="B18" s="3449" t="s">
        <v>3476</v>
      </c>
      <c r="C18" s="3449" t="s">
        <v>3452</v>
      </c>
      <c r="D18" s="3449" t="s">
        <v>3483</v>
      </c>
      <c r="E18" s="3449" t="s">
        <v>3442</v>
      </c>
      <c r="F18" s="3448">
        <v>40</v>
      </c>
      <c r="G18" s="3453">
        <v>100030</v>
      </c>
      <c r="H18" s="3453">
        <v>40000</v>
      </c>
      <c r="I18" s="3449" t="s">
        <v>3484</v>
      </c>
      <c r="J18" s="3449" t="s">
        <v>3485</v>
      </c>
      <c r="K18" s="3449" t="s">
        <v>3486</v>
      </c>
      <c r="L18" s="3449"/>
      <c r="M18" s="3449"/>
      <c r="N18" s="3449"/>
      <c r="O18" s="3449"/>
      <c r="P18" s="3449"/>
      <c r="Q18" s="3447"/>
      <c r="R18" s="3447"/>
      <c r="S18" s="3447"/>
      <c r="T18" s="3447"/>
      <c r="U18" s="3447"/>
      <c r="V18" s="3447"/>
      <c r="W18" s="3447"/>
      <c r="X18" s="3447"/>
    </row>
    <row r="19" spans="1:24" ht="21">
      <c r="A19" s="3454">
        <v>18</v>
      </c>
      <c r="B19" s="3455" t="s">
        <v>3487</v>
      </c>
      <c r="C19" s="3455" t="s">
        <v>3488</v>
      </c>
      <c r="D19" s="3455" t="s">
        <v>4633</v>
      </c>
      <c r="E19" s="3455" t="s">
        <v>3460</v>
      </c>
      <c r="F19" s="3465">
        <v>43.3</v>
      </c>
      <c r="G19" s="3456">
        <v>110996</v>
      </c>
      <c r="H19" s="3456">
        <v>55732</v>
      </c>
      <c r="I19" s="3455" t="s">
        <v>3490</v>
      </c>
      <c r="J19" s="3455" t="s">
        <v>3491</v>
      </c>
      <c r="K19" s="3455" t="s">
        <v>3492</v>
      </c>
      <c r="L19" s="3455"/>
      <c r="M19" s="3455">
        <v>0.23937832355682301</v>
      </c>
      <c r="N19" s="3455">
        <v>145928</v>
      </c>
      <c r="O19" s="3455">
        <v>42389</v>
      </c>
      <c r="P19" s="3455">
        <f>ROUND((1-(2023-2009)/60)*0.4+85%*0.6,2)</f>
        <v>0.82</v>
      </c>
      <c r="Q19" s="3458">
        <f>(1-(2023-2009)/60)</f>
        <v>0.76666666666666661</v>
      </c>
      <c r="R19" s="3458"/>
      <c r="S19" s="3458"/>
      <c r="T19" s="3458">
        <v>2009</v>
      </c>
      <c r="U19" s="3458">
        <f>T19-1995</f>
        <v>14</v>
      </c>
      <c r="V19" s="3458">
        <f>U19*W19</f>
        <v>3.5</v>
      </c>
      <c r="W19" s="3458">
        <v>0.25</v>
      </c>
      <c r="X19" s="3458"/>
    </row>
    <row r="20" spans="1:24" ht="31.5">
      <c r="A20" s="3448">
        <v>19</v>
      </c>
      <c r="B20" s="3449" t="s">
        <v>3493</v>
      </c>
      <c r="C20" s="3449" t="s">
        <v>3452</v>
      </c>
      <c r="D20" s="3449" t="s">
        <v>3494</v>
      </c>
      <c r="E20" s="3449" t="s">
        <v>3432</v>
      </c>
      <c r="F20" s="3452">
        <v>16.45</v>
      </c>
      <c r="G20" s="3453">
        <v>41197</v>
      </c>
      <c r="H20" s="3453">
        <v>39930</v>
      </c>
      <c r="I20" s="3449" t="s">
        <v>3438</v>
      </c>
      <c r="J20" s="3449" t="s">
        <v>3495</v>
      </c>
      <c r="K20" s="3466" t="s">
        <v>3496</v>
      </c>
      <c r="L20" s="3466"/>
      <c r="M20" s="3466"/>
      <c r="N20" s="3466"/>
      <c r="O20" s="3466"/>
      <c r="P20" s="3466">
        <v>230000</v>
      </c>
      <c r="Q20" s="3447">
        <v>55829.307959317397</v>
      </c>
      <c r="R20" s="3447">
        <v>0.71521739130434803</v>
      </c>
      <c r="S20" s="3447"/>
      <c r="T20" s="3447"/>
      <c r="U20" s="3447"/>
      <c r="V20" s="3447"/>
      <c r="W20" s="3447"/>
      <c r="X20" s="3447"/>
    </row>
    <row r="21" spans="1:24">
      <c r="A21" s="3448">
        <v>20</v>
      </c>
      <c r="B21" s="3449" t="s">
        <v>3493</v>
      </c>
      <c r="C21" s="3449" t="s">
        <v>21</v>
      </c>
      <c r="D21" s="3449" t="s">
        <v>3497</v>
      </c>
      <c r="E21" s="3449" t="s">
        <v>3498</v>
      </c>
      <c r="F21" s="3452">
        <v>20</v>
      </c>
      <c r="G21" s="3453">
        <v>49000</v>
      </c>
      <c r="H21" s="3453">
        <v>40816</v>
      </c>
      <c r="I21" s="3449" t="s">
        <v>3438</v>
      </c>
      <c r="J21" s="3449" t="s">
        <v>3499</v>
      </c>
      <c r="K21" s="3449" t="s">
        <v>3500</v>
      </c>
      <c r="L21" s="3449"/>
      <c r="M21" s="3449"/>
      <c r="N21" s="3449"/>
      <c r="O21" s="3449"/>
      <c r="P21" s="3449"/>
      <c r="Q21" s="3447"/>
      <c r="R21" s="3447"/>
      <c r="S21" s="3447"/>
      <c r="T21" s="3447"/>
      <c r="U21" s="3447"/>
      <c r="V21" s="3447"/>
      <c r="W21" s="3447"/>
      <c r="X21" s="3447"/>
    </row>
    <row r="22" spans="1:24" ht="31.5">
      <c r="A22" s="3448">
        <v>21</v>
      </c>
      <c r="B22" s="3449" t="s">
        <v>3493</v>
      </c>
      <c r="C22" s="3449" t="s">
        <v>3501</v>
      </c>
      <c r="D22" s="3449" t="s">
        <v>3502</v>
      </c>
      <c r="E22" s="3449" t="s">
        <v>3503</v>
      </c>
      <c r="F22" s="3452">
        <v>6.55</v>
      </c>
      <c r="G22" s="3453">
        <v>37002</v>
      </c>
      <c r="H22" s="3453">
        <v>17702</v>
      </c>
      <c r="I22" s="3449" t="s">
        <v>3423</v>
      </c>
      <c r="J22" s="3449" t="s">
        <v>3504</v>
      </c>
      <c r="K22" s="3449" t="s">
        <v>3505</v>
      </c>
      <c r="L22" s="3449"/>
      <c r="M22" s="3449"/>
      <c r="N22" s="3449"/>
      <c r="O22" s="3449"/>
      <c r="P22" s="3449"/>
      <c r="Q22" s="3447"/>
      <c r="R22" s="3447"/>
      <c r="S22" s="3447"/>
      <c r="T22" s="3447"/>
      <c r="U22" s="3447"/>
      <c r="V22" s="3447"/>
      <c r="W22" s="3447"/>
      <c r="X22" s="3447"/>
    </row>
    <row r="23" spans="1:24" ht="21">
      <c r="A23" s="3448">
        <v>22</v>
      </c>
      <c r="B23" s="3449" t="s">
        <v>3493</v>
      </c>
      <c r="C23" s="3449" t="s">
        <v>21</v>
      </c>
      <c r="D23" s="3449" t="s">
        <v>3506</v>
      </c>
      <c r="E23" s="3449" t="s">
        <v>3503</v>
      </c>
      <c r="F23" s="3452">
        <v>8.67</v>
      </c>
      <c r="G23" s="3453">
        <v>38464</v>
      </c>
      <c r="H23" s="3453">
        <v>22547</v>
      </c>
      <c r="I23" s="3449" t="s">
        <v>3438</v>
      </c>
      <c r="J23" s="3449" t="s">
        <v>3507</v>
      </c>
      <c r="K23" s="3449" t="s">
        <v>3508</v>
      </c>
      <c r="L23" s="3449"/>
      <c r="M23" s="3449"/>
      <c r="N23" s="3449"/>
      <c r="O23" s="3449"/>
      <c r="P23" s="3449"/>
      <c r="Q23" s="3447"/>
      <c r="R23" s="3447"/>
      <c r="S23" s="3447"/>
      <c r="T23" s="3447"/>
      <c r="U23" s="3447"/>
      <c r="V23" s="3447"/>
      <c r="W23" s="3447"/>
      <c r="X23" s="3447"/>
    </row>
    <row r="24" spans="1:24" ht="21">
      <c r="A24" s="3448">
        <v>23</v>
      </c>
      <c r="B24" s="3449" t="s">
        <v>3493</v>
      </c>
      <c r="C24" s="3449" t="s">
        <v>21</v>
      </c>
      <c r="D24" s="3449" t="s">
        <v>3509</v>
      </c>
      <c r="E24" s="3449" t="s">
        <v>3510</v>
      </c>
      <c r="F24" s="3452">
        <v>8.75</v>
      </c>
      <c r="G24" s="3453">
        <v>45240</v>
      </c>
      <c r="H24" s="3453">
        <v>19343</v>
      </c>
      <c r="I24" s="3449" t="s">
        <v>3438</v>
      </c>
      <c r="J24" s="3449" t="s">
        <v>3511</v>
      </c>
      <c r="K24" s="3449" t="s">
        <v>3512</v>
      </c>
      <c r="L24" s="3449"/>
      <c r="M24" s="3449"/>
      <c r="N24" s="3449"/>
      <c r="O24" s="3449"/>
      <c r="P24" s="3449"/>
      <c r="Q24" s="3447"/>
      <c r="R24" s="3447"/>
      <c r="S24" s="3447"/>
      <c r="T24" s="3447"/>
      <c r="U24" s="3447"/>
      <c r="V24" s="3447"/>
      <c r="W24" s="3447"/>
      <c r="X24" s="3447"/>
    </row>
    <row r="25" spans="1:24" ht="21">
      <c r="A25" s="3448">
        <v>24</v>
      </c>
      <c r="B25" s="3449" t="s">
        <v>3493</v>
      </c>
      <c r="C25" s="3449" t="s">
        <v>21</v>
      </c>
      <c r="D25" s="3449" t="s">
        <v>3513</v>
      </c>
      <c r="E25" s="3449" t="s">
        <v>3422</v>
      </c>
      <c r="F25" s="3452">
        <v>2.97</v>
      </c>
      <c r="G25" s="3453">
        <v>3507</v>
      </c>
      <c r="H25" s="3453">
        <v>84688</v>
      </c>
      <c r="I25" s="3449" t="s">
        <v>3438</v>
      </c>
      <c r="J25" s="3449" t="s">
        <v>3514</v>
      </c>
      <c r="K25" s="3449" t="s">
        <v>3515</v>
      </c>
      <c r="L25" s="3449">
        <v>3.5</v>
      </c>
      <c r="M25" s="3449">
        <v>0.19</v>
      </c>
      <c r="N25" s="3449">
        <v>3506.47</v>
      </c>
      <c r="O25" s="3449">
        <v>84701</v>
      </c>
      <c r="P25" s="3449"/>
      <c r="Q25" s="3447">
        <v>687.53</v>
      </c>
      <c r="R25" s="3447">
        <v>2818.94</v>
      </c>
      <c r="S25" s="3447">
        <v>10.5358751871271</v>
      </c>
      <c r="T25" s="3447"/>
      <c r="U25" s="3447"/>
      <c r="V25" s="3447"/>
      <c r="W25" s="3447"/>
      <c r="X25" s="3447"/>
    </row>
    <row r="26" spans="1:24" ht="21">
      <c r="A26" s="3448">
        <v>25</v>
      </c>
      <c r="B26" s="3449" t="s">
        <v>3516</v>
      </c>
      <c r="C26" s="3449" t="s">
        <v>21</v>
      </c>
      <c r="D26" s="3449" t="s">
        <v>3517</v>
      </c>
      <c r="E26" s="3449" t="s">
        <v>3422</v>
      </c>
      <c r="F26" s="3452">
        <v>16.440000000000001</v>
      </c>
      <c r="G26" s="3453">
        <v>66158</v>
      </c>
      <c r="H26" s="3453">
        <v>24847</v>
      </c>
      <c r="I26" s="3449" t="s">
        <v>3438</v>
      </c>
      <c r="J26" s="3449" t="s">
        <v>3518</v>
      </c>
      <c r="K26" s="3449" t="s">
        <v>3519</v>
      </c>
      <c r="L26" s="3449"/>
      <c r="M26" s="3449"/>
      <c r="N26" s="3449"/>
      <c r="O26" s="3449"/>
      <c r="P26" s="3449"/>
      <c r="Q26" s="3447"/>
      <c r="R26" s="3447"/>
      <c r="S26" s="3447"/>
      <c r="T26" s="3447"/>
      <c r="U26" s="3447"/>
      <c r="V26" s="3447"/>
      <c r="W26" s="3447"/>
      <c r="X26" s="3447"/>
    </row>
    <row r="27" spans="1:24" ht="31.5">
      <c r="A27" s="3448">
        <v>26</v>
      </c>
      <c r="B27" s="3449" t="s">
        <v>3516</v>
      </c>
      <c r="C27" s="3449" t="s">
        <v>21</v>
      </c>
      <c r="D27" s="3449" t="s">
        <v>3520</v>
      </c>
      <c r="E27" s="3449" t="s">
        <v>3427</v>
      </c>
      <c r="F27" s="3452">
        <v>3.08</v>
      </c>
      <c r="G27" s="3453">
        <v>11951</v>
      </c>
      <c r="H27" s="3453">
        <v>25751</v>
      </c>
      <c r="I27" s="3449" t="s">
        <v>3438</v>
      </c>
      <c r="J27" s="3449" t="s">
        <v>3521</v>
      </c>
      <c r="K27" s="3449" t="s">
        <v>3522</v>
      </c>
      <c r="L27" s="3449"/>
      <c r="M27" s="3449"/>
      <c r="N27" s="3449"/>
      <c r="O27" s="3449"/>
      <c r="P27" s="3449"/>
      <c r="Q27" s="3447"/>
      <c r="R27" s="3447"/>
      <c r="S27" s="3447"/>
      <c r="T27" s="3447"/>
      <c r="U27" s="3447"/>
      <c r="V27" s="3447"/>
      <c r="W27" s="3447"/>
      <c r="X27" s="3447"/>
    </row>
    <row r="28" spans="1:24" ht="21">
      <c r="A28" s="3448">
        <v>27</v>
      </c>
      <c r="B28" s="3449" t="s">
        <v>3523</v>
      </c>
      <c r="C28" s="3449" t="s">
        <v>3</v>
      </c>
      <c r="D28" s="3449" t="s">
        <v>3524</v>
      </c>
      <c r="E28" s="3449" t="s">
        <v>3498</v>
      </c>
      <c r="F28" s="3452">
        <v>1.7</v>
      </c>
      <c r="G28" s="3453">
        <v>5382</v>
      </c>
      <c r="H28" s="3453">
        <v>31587</v>
      </c>
      <c r="I28" s="3449" t="s">
        <v>3438</v>
      </c>
      <c r="J28" s="3449" t="s">
        <v>3525</v>
      </c>
      <c r="K28" s="3449" t="s">
        <v>3526</v>
      </c>
      <c r="L28" s="3449"/>
      <c r="M28" s="3449"/>
      <c r="N28" s="3449"/>
      <c r="O28" s="3449"/>
      <c r="P28" s="3449"/>
      <c r="Q28" s="3447"/>
      <c r="R28" s="3447"/>
      <c r="S28" s="3447"/>
      <c r="T28" s="3447"/>
      <c r="U28" s="3447"/>
      <c r="V28" s="3447"/>
      <c r="W28" s="3447"/>
      <c r="X28" s="3447"/>
    </row>
    <row r="29" spans="1:24" ht="31.5">
      <c r="A29" s="3448">
        <v>28</v>
      </c>
      <c r="B29" s="3449" t="s">
        <v>3523</v>
      </c>
      <c r="C29" s="3449" t="s">
        <v>3</v>
      </c>
      <c r="D29" s="3449" t="s">
        <v>3527</v>
      </c>
      <c r="E29" s="3449" t="s">
        <v>3528</v>
      </c>
      <c r="F29" s="3452">
        <v>10.5</v>
      </c>
      <c r="G29" s="3453">
        <v>9671</v>
      </c>
      <c r="H29" s="3453">
        <v>108567</v>
      </c>
      <c r="I29" s="3449" t="s">
        <v>3423</v>
      </c>
      <c r="J29" s="3449" t="s">
        <v>3529</v>
      </c>
      <c r="K29" s="3449" t="s">
        <v>3530</v>
      </c>
      <c r="L29" s="3449"/>
      <c r="M29" s="3449"/>
      <c r="N29" s="3449"/>
      <c r="O29" s="3449"/>
      <c r="P29" s="3449"/>
      <c r="Q29" s="3447"/>
      <c r="R29" s="3447"/>
      <c r="S29" s="3447"/>
      <c r="T29" s="3447"/>
      <c r="U29" s="3447"/>
      <c r="V29" s="3447"/>
      <c r="W29" s="3447"/>
      <c r="X29" s="3447"/>
    </row>
    <row r="30" spans="1:24" ht="21">
      <c r="A30" s="3467">
        <v>29</v>
      </c>
      <c r="B30" s="3455" t="s">
        <v>3523</v>
      </c>
      <c r="C30" s="3455" t="s">
        <v>21</v>
      </c>
      <c r="D30" s="3455" t="s">
        <v>3531</v>
      </c>
      <c r="E30" s="3455" t="s">
        <v>3532</v>
      </c>
      <c r="F30" s="3468">
        <v>15.75</v>
      </c>
      <c r="G30" s="3469">
        <v>27765</v>
      </c>
      <c r="H30" s="3469">
        <v>56726</v>
      </c>
      <c r="I30" s="3455" t="s">
        <v>3423</v>
      </c>
      <c r="J30" s="3455" t="s">
        <v>3533</v>
      </c>
      <c r="K30" s="3470" t="s">
        <v>3534</v>
      </c>
      <c r="L30" s="3455"/>
      <c r="M30" s="3455">
        <f>ROUND((N30-G30)/N30,2)</f>
        <v>0.27</v>
      </c>
      <c r="N30" s="3455">
        <v>38000</v>
      </c>
      <c r="O30" s="3455">
        <f>ROUND(F30*10000*10000/N30,0)</f>
        <v>41447</v>
      </c>
      <c r="P30" s="3455">
        <f>ROUND((1-(2023-2008)/60)*0.4+85%*0.6,2)</f>
        <v>0.81</v>
      </c>
      <c r="Q30" s="3457">
        <f>(1-(2023-2008)/60)</f>
        <v>0.75</v>
      </c>
      <c r="R30" s="3457"/>
      <c r="S30" s="3457"/>
      <c r="T30" s="3457">
        <v>2008</v>
      </c>
      <c r="U30" s="3457">
        <f>T30-1995</f>
        <v>13</v>
      </c>
      <c r="V30" s="3457">
        <f>U30*W30</f>
        <v>3.25</v>
      </c>
      <c r="W30" s="3457">
        <v>0.25</v>
      </c>
      <c r="X30" s="3457"/>
    </row>
    <row r="31" spans="1:24" ht="31.5">
      <c r="A31" s="3467">
        <v>30</v>
      </c>
      <c r="B31" s="3471">
        <v>44835</v>
      </c>
      <c r="C31" s="3455" t="s">
        <v>3535</v>
      </c>
      <c r="D31" s="3455" t="s">
        <v>3536</v>
      </c>
      <c r="E31" s="3455" t="s">
        <v>3537</v>
      </c>
      <c r="F31" s="3468">
        <v>20.37</v>
      </c>
      <c r="G31" s="3469">
        <v>44759.39</v>
      </c>
      <c r="H31" s="3469">
        <f>ROUND(F31*10000/G31*10000,0)</f>
        <v>45510</v>
      </c>
      <c r="I31" s="3455" t="s">
        <v>3538</v>
      </c>
      <c r="J31" s="3455" t="s">
        <v>3539</v>
      </c>
      <c r="K31" s="3455" t="s">
        <v>3540</v>
      </c>
      <c r="L31" s="3455">
        <f>ROUND(G31/7374.49,2)</f>
        <v>6.07</v>
      </c>
      <c r="M31" s="3455">
        <f>ROUND(13479.99/N31,2)</f>
        <v>0.23</v>
      </c>
      <c r="N31" s="3455">
        <v>58239.38</v>
      </c>
      <c r="O31" s="3455">
        <f>ROUND(F31*10000*10000/N31,0)</f>
        <v>34976</v>
      </c>
      <c r="P31" s="3455">
        <f>ROUND(((1-(2023-2012)/60)+90%)/2,2)</f>
        <v>0.86</v>
      </c>
      <c r="Q31" s="3457"/>
      <c r="R31" s="3457"/>
      <c r="S31" s="3457"/>
      <c r="T31" s="3457">
        <v>2012</v>
      </c>
      <c r="U31" s="3457">
        <f>T31-1995</f>
        <v>17</v>
      </c>
      <c r="V31" s="3457">
        <f>U31*W31</f>
        <v>4.25</v>
      </c>
      <c r="W31" s="3457">
        <v>0.25</v>
      </c>
      <c r="X31" s="3457"/>
    </row>
    <row r="32" spans="1:24" ht="21">
      <c r="A32" s="3448">
        <v>31</v>
      </c>
      <c r="B32" s="3472">
        <v>44713</v>
      </c>
      <c r="C32" s="3449" t="s">
        <v>2793</v>
      </c>
      <c r="D32" s="3449" t="s">
        <v>3541</v>
      </c>
      <c r="E32" s="3449" t="s">
        <v>3542</v>
      </c>
      <c r="F32" s="3452">
        <v>50.15</v>
      </c>
      <c r="G32" s="3453">
        <f>ROUND(N32/47*42,0)</f>
        <v>131719</v>
      </c>
      <c r="H32" s="3453">
        <f>ROUND(F32*10000/G32*10000,0)</f>
        <v>38073</v>
      </c>
      <c r="I32" s="3449" t="s">
        <v>3543</v>
      </c>
      <c r="J32" s="3449" t="s">
        <v>3544</v>
      </c>
      <c r="K32" s="3449" t="s">
        <v>3545</v>
      </c>
      <c r="L32" s="3449"/>
      <c r="M32" s="3449">
        <f>ROUND(N32/47*5/N32,2)</f>
        <v>0.11</v>
      </c>
      <c r="N32" s="3449">
        <v>147400</v>
      </c>
      <c r="O32" s="3455">
        <f>ROUND(F32*10000*10000/N32,0)</f>
        <v>34023</v>
      </c>
      <c r="P32" s="3449">
        <f>ROUND(1-(2023-2021)/60,2)</f>
        <v>0.97</v>
      </c>
      <c r="Q32" s="3447" t="s">
        <v>3546</v>
      </c>
      <c r="R32" s="3447"/>
      <c r="S32" s="3447"/>
      <c r="T32" s="3447"/>
      <c r="U32" s="3447"/>
      <c r="V32" s="3447"/>
      <c r="W32" s="3447"/>
      <c r="X32" s="3447"/>
    </row>
  </sheetData>
  <phoneticPr fontId="135"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601" t="s">
        <v>949</v>
      </c>
      <c r="B1" s="3601"/>
      <c r="C1" s="3601"/>
      <c r="D1" s="3601"/>
    </row>
    <row r="2" spans="1:4" ht="18">
      <c r="A2" s="3602" t="s">
        <v>933</v>
      </c>
      <c r="B2" s="3602"/>
      <c r="C2" s="3602"/>
      <c r="D2" s="3602"/>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602" t="s">
        <v>939</v>
      </c>
      <c r="B6" s="3602"/>
      <c r="C6" s="3602"/>
      <c r="D6" s="360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603" t="s">
        <v>942</v>
      </c>
      <c r="B11" s="3604"/>
      <c r="C11" s="3604"/>
      <c r="D11" s="3604"/>
    </row>
    <row r="12" spans="1:4" ht="15.75">
      <c r="A12" s="36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5"/>
      <c r="C12" s="3605"/>
      <c r="D12" s="3605"/>
    </row>
    <row r="13" spans="1:4" ht="30" customHeight="1">
      <c r="A13" s="36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5"/>
      <c r="C13" s="3605"/>
      <c r="D13" s="3605"/>
    </row>
    <row r="14" spans="1:4" ht="15.75" customHeight="1">
      <c r="A14" s="3604" t="str">
        <f>IF(项目基本情况!B8="抵押","4.本次评估估价师所知悉的法定优先受偿款情况说明如下：","——")</f>
        <v>4.本次评估估价师所知悉的法定优先受偿款情况说明如下：</v>
      </c>
      <c r="B14" s="3605"/>
      <c r="C14" s="3605"/>
      <c r="D14" s="3605"/>
    </row>
    <row r="15" spans="1:4" ht="42" customHeight="1">
      <c r="A15" s="360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04"/>
      <c r="C15" s="3604"/>
      <c r="D15" s="3604"/>
    </row>
    <row r="16" spans="1:4" ht="30" customHeight="1">
      <c r="A16" s="3607" t="s">
        <v>943</v>
      </c>
      <c r="B16" s="3607"/>
      <c r="C16" s="3607"/>
      <c r="D16" s="3607"/>
    </row>
    <row r="17" spans="1:4" ht="144" customHeight="1">
      <c r="A17" s="3607" t="s">
        <v>944</v>
      </c>
      <c r="B17" s="3607"/>
      <c r="C17" s="3607"/>
      <c r="D17" s="3607"/>
    </row>
    <row r="18" spans="1:4" ht="15.75" customHeight="1">
      <c r="A18" s="3604" t="str">
        <f>IF(项目基本情况!B8="抵押",结果表!K120,"——")</f>
        <v>故，本次评估不存在估价师知悉的除抵押担保权以外的法定优先受偿款</v>
      </c>
      <c r="B18" s="3604"/>
      <c r="C18" s="3604"/>
      <c r="D18" s="3604"/>
    </row>
    <row r="19" spans="1:4" ht="46.5" customHeight="1">
      <c r="A19" s="36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04"/>
      <c r="C19" s="3604"/>
      <c r="D19" s="3604"/>
    </row>
    <row r="20" spans="1:4" ht="57.75" customHeight="1">
      <c r="A20" s="36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04"/>
      <c r="C20" s="3604"/>
      <c r="D20" s="3604"/>
    </row>
    <row r="21" spans="1:4" ht="57.75" customHeight="1">
      <c r="A21" s="36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08"/>
      <c r="C21" s="3608"/>
      <c r="D21" s="3608"/>
    </row>
    <row r="22" spans="1:4" ht="18.75" customHeight="1">
      <c r="A22" s="3609" t="s">
        <v>945</v>
      </c>
      <c r="B22" s="3609"/>
      <c r="C22" s="3609"/>
      <c r="D22" s="360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606">
        <v>42551</v>
      </c>
      <c r="D31" s="36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615" t="s">
        <v>956</v>
      </c>
      <c r="B15" s="3610" t="s">
        <v>109</v>
      </c>
      <c r="C15" s="3611"/>
    </row>
    <row r="16" spans="1:7" ht="13.5">
      <c r="A16" s="3616"/>
      <c r="B16" s="3610" t="s">
        <v>42</v>
      </c>
      <c r="C16" s="3611"/>
    </row>
    <row r="17" spans="1:3" ht="13.5">
      <c r="A17" s="3616"/>
      <c r="B17" s="3613" t="s">
        <v>957</v>
      </c>
      <c r="C17" s="1532" t="s">
        <v>956</v>
      </c>
    </row>
    <row r="18" spans="1:3" ht="13.5">
      <c r="A18" s="3616"/>
      <c r="B18" s="3613"/>
      <c r="C18" s="1532" t="s">
        <v>958</v>
      </c>
    </row>
    <row r="19" spans="1:3" ht="13.5">
      <c r="A19" s="3616"/>
      <c r="B19" s="3613"/>
      <c r="C19" s="1532" t="s">
        <v>959</v>
      </c>
    </row>
    <row r="20" spans="1:3" ht="13.5">
      <c r="A20" s="3617"/>
      <c r="B20" s="3612" t="s">
        <v>960</v>
      </c>
      <c r="C20" s="3611"/>
    </row>
    <row r="21" spans="1:3" ht="13.5">
      <c r="A21" s="1533" t="s">
        <v>961</v>
      </c>
      <c r="B21" s="1534"/>
      <c r="C21" s="1535"/>
    </row>
    <row r="22" spans="1:3" ht="13.5">
      <c r="A22" s="3614" t="s">
        <v>962</v>
      </c>
      <c r="B22" s="3612" t="s">
        <v>963</v>
      </c>
      <c r="C22" s="3611"/>
    </row>
    <row r="23" spans="1:3" ht="13.5">
      <c r="A23" s="3614"/>
      <c r="B23" s="3612" t="s">
        <v>964</v>
      </c>
      <c r="C23" s="3611"/>
    </row>
    <row r="24" spans="1:3" ht="13.5">
      <c r="A24" s="3614"/>
      <c r="B24" s="3612" t="s">
        <v>965</v>
      </c>
      <c r="C24" s="3611"/>
    </row>
    <row r="25" spans="1:3" ht="13.5">
      <c r="A25" s="3614"/>
      <c r="B25" s="3613" t="s">
        <v>966</v>
      </c>
      <c r="C25" s="1532" t="s">
        <v>967</v>
      </c>
    </row>
    <row r="26" spans="1:3" ht="13.5">
      <c r="A26" s="3614"/>
      <c r="B26" s="3613"/>
      <c r="C26" s="1532" t="s">
        <v>968</v>
      </c>
    </row>
    <row r="27" spans="1:3" ht="13.5">
      <c r="A27" s="3614"/>
      <c r="B27" s="3613"/>
      <c r="C27" s="1532" t="s">
        <v>969</v>
      </c>
    </row>
    <row r="28" spans="1:3" ht="13.5">
      <c r="A28" s="3614"/>
      <c r="B28" s="3613"/>
      <c r="C28" s="1532" t="s">
        <v>970</v>
      </c>
    </row>
    <row r="29" spans="1:3" ht="13.5">
      <c r="A29" s="3614"/>
      <c r="B29" s="3613"/>
      <c r="C29" s="1532" t="s">
        <v>971</v>
      </c>
    </row>
    <row r="30" spans="1:3" ht="13.5">
      <c r="A30" s="3614"/>
      <c r="B30" s="3613"/>
      <c r="C30" s="1532" t="s">
        <v>972</v>
      </c>
    </row>
    <row r="31" spans="1:3" ht="13.5">
      <c r="A31" s="3614"/>
      <c r="B31" s="3613"/>
      <c r="C31" s="1532" t="s">
        <v>973</v>
      </c>
    </row>
    <row r="32" spans="1:3" ht="13.5">
      <c r="A32" s="3614"/>
      <c r="B32" s="3613"/>
      <c r="C32" s="1532" t="s">
        <v>974</v>
      </c>
    </row>
    <row r="33" spans="1:3" ht="13.5">
      <c r="A33" s="3614"/>
      <c r="B33" s="361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2121</v>
      </c>
      <c r="B2" s="2339">
        <f ca="1">TODAY()</f>
        <v>45410</v>
      </c>
      <c r="C2" s="2340" t="s">
        <v>2122</v>
      </c>
      <c r="D2" s="2340"/>
      <c r="E2" s="2340"/>
      <c r="F2" s="2336"/>
      <c r="G2" s="2336"/>
      <c r="H2" s="2336"/>
    </row>
    <row r="3" spans="1:8" ht="24" customHeight="1">
      <c r="A3" s="2341" t="s">
        <v>2123</v>
      </c>
      <c r="B3" s="2342" t="s">
        <v>2124</v>
      </c>
      <c r="C3" s="2342" t="s">
        <v>2125</v>
      </c>
      <c r="D3" s="2343" t="s">
        <v>2126</v>
      </c>
      <c r="E3" s="2344" t="s">
        <v>2127</v>
      </c>
      <c r="F3" s="1304" t="s">
        <v>2128</v>
      </c>
      <c r="G3" s="2342" t="s">
        <v>2125</v>
      </c>
      <c r="H3" s="2343" t="s">
        <v>2129</v>
      </c>
    </row>
    <row r="4" spans="1:8" ht="24" customHeight="1">
      <c r="A4" s="1304" t="s">
        <v>2130</v>
      </c>
      <c r="B4" s="1304">
        <f ca="1">IF(C4&lt;B2,"已过期",1119970066)</f>
        <v>1119970066</v>
      </c>
      <c r="C4" s="2345">
        <v>45937</v>
      </c>
      <c r="D4" s="2346" t="str">
        <f ca="1">A4&amp;"（注册号："&amp;B4&amp;"）"</f>
        <v>梁津（注册号：1119970066）</v>
      </c>
      <c r="E4" s="2347" t="s">
        <v>2130</v>
      </c>
      <c r="F4" s="1304">
        <f ca="1">IF(G4&lt;B2,"已过期",96010014)</f>
        <v>96010014</v>
      </c>
      <c r="G4" s="2348">
        <v>47118</v>
      </c>
      <c r="H4" s="2349" t="str">
        <f ca="1">E4&amp;"（注册号："&amp;F4&amp;"）"</f>
        <v>梁津（注册号：96010014）</v>
      </c>
    </row>
    <row r="5" spans="1:8" ht="24" customHeight="1">
      <c r="A5" s="1304" t="s">
        <v>2131</v>
      </c>
      <c r="B5" s="1304">
        <f ca="1">IF(C5&lt;B2,"已过期",1119970111)</f>
        <v>1119970111</v>
      </c>
      <c r="C5" s="2345">
        <v>45937</v>
      </c>
      <c r="D5" s="2346" t="str">
        <f t="shared" ref="D5:D15" ca="1" si="0">A5&amp;"（注册号："&amp;B5&amp;"）"</f>
        <v>叶凌（注册号：1119970111）</v>
      </c>
      <c r="E5" s="2347" t="s">
        <v>2131</v>
      </c>
      <c r="F5" s="1304">
        <f ca="1">IF(G5&lt;B2,"已过期",94010078)</f>
        <v>94010078</v>
      </c>
      <c r="G5" s="2348">
        <v>46387</v>
      </c>
      <c r="H5" s="2349" t="str">
        <f t="shared" ref="H5:H16" ca="1" si="1">E5&amp;"（注册号："&amp;F5&amp;"）"</f>
        <v>叶凌（注册号：94010078）</v>
      </c>
    </row>
    <row r="6" spans="1:8" ht="24" customHeight="1">
      <c r="A6" s="1304" t="s">
        <v>2132</v>
      </c>
      <c r="B6" s="1304">
        <f ca="1">IF(C6&lt;B2,"已过期",1120050019)</f>
        <v>1120050019</v>
      </c>
      <c r="C6" s="2345">
        <v>45410</v>
      </c>
      <c r="D6" s="2346" t="str">
        <f t="shared" ca="1" si="0"/>
        <v>王鹏（注册号：1120050019）</v>
      </c>
      <c r="E6" s="2347" t="s">
        <v>2132</v>
      </c>
      <c r="F6" s="1304">
        <f ca="1">IF(G6&lt;B2,"已过期",2002110030)</f>
        <v>2002110030</v>
      </c>
      <c r="G6" s="2348">
        <v>46387</v>
      </c>
      <c r="H6" s="2349" t="str">
        <f t="shared" ca="1" si="1"/>
        <v>王鹏（注册号：2002110030）</v>
      </c>
    </row>
    <row r="7" spans="1:8" ht="24" customHeight="1">
      <c r="A7" s="1304" t="s">
        <v>2133</v>
      </c>
      <c r="B7" s="1304">
        <f ca="1">IF(C7&lt;B2,"已过期",1120000080)</f>
        <v>1120000080</v>
      </c>
      <c r="C7" s="2345">
        <v>45937</v>
      </c>
      <c r="D7" s="2346" t="str">
        <f t="shared" ca="1" si="0"/>
        <v>欧红伟（注册号：1120000080）</v>
      </c>
      <c r="E7" s="2347" t="s">
        <v>2133</v>
      </c>
      <c r="F7" s="1304">
        <f ca="1">IF(G7&lt;B2,"已过期",2000110082)</f>
        <v>2000110082</v>
      </c>
      <c r="G7" s="2348">
        <v>46387</v>
      </c>
      <c r="H7" s="2349" t="str">
        <f t="shared" ca="1" si="1"/>
        <v>欧红伟（注册号：2000110082）</v>
      </c>
    </row>
    <row r="8" spans="1:8" ht="24" customHeight="1">
      <c r="A8" s="1304" t="s">
        <v>2134</v>
      </c>
      <c r="B8" s="1304">
        <f ca="1">IF(C8&lt;B2,"已过期",1419970001)</f>
        <v>1419970001</v>
      </c>
      <c r="C8" s="2345">
        <v>45937</v>
      </c>
      <c r="D8" s="2346" t="str">
        <f t="shared" ca="1" si="0"/>
        <v>吴薇（注册号：1419970001）</v>
      </c>
      <c r="E8" s="2347" t="s">
        <v>2134</v>
      </c>
      <c r="F8" s="1304">
        <f ca="1">IF(G8&lt;B2,"已过期",2002110125)</f>
        <v>2002110125</v>
      </c>
      <c r="G8" s="2348">
        <v>47118</v>
      </c>
      <c r="H8" s="2349" t="str">
        <f t="shared" ca="1" si="1"/>
        <v>吴薇（注册号：2002110125）</v>
      </c>
    </row>
    <row r="9" spans="1:8" ht="24" customHeight="1">
      <c r="A9" s="1304" t="s">
        <v>2135</v>
      </c>
      <c r="B9" s="1304">
        <f ca="1">IF(C9&lt;B2,"已过期",1120060040)</f>
        <v>1120060040</v>
      </c>
      <c r="C9" s="2350">
        <v>45592</v>
      </c>
      <c r="D9" s="2346" t="str">
        <f t="shared" ca="1" si="0"/>
        <v>陈颖（注册号：1120060040）</v>
      </c>
      <c r="E9" s="2347" t="s">
        <v>2135</v>
      </c>
      <c r="F9" s="1304">
        <f ca="1">IF(G9&lt;B2,"已过期",2004110096)</f>
        <v>2004110096</v>
      </c>
      <c r="G9" s="2348">
        <v>47118</v>
      </c>
      <c r="H9" s="2349" t="str">
        <f t="shared" ca="1" si="1"/>
        <v>陈颖（注册号：2004110096）</v>
      </c>
    </row>
    <row r="10" spans="1:8" ht="24" customHeight="1">
      <c r="A10" s="1304" t="s">
        <v>2136</v>
      </c>
      <c r="B10" s="1304">
        <f ca="1">IF(C10&lt;B2,"已过期",1120100036)</f>
        <v>1120100036</v>
      </c>
      <c r="C10" s="2350">
        <v>45752</v>
      </c>
      <c r="D10" s="2346" t="str">
        <f t="shared" ca="1" si="0"/>
        <v>崔锴（注册号：1120100036）</v>
      </c>
      <c r="E10" s="2347" t="s">
        <v>2136</v>
      </c>
      <c r="F10" s="1304">
        <f ca="1">IF(G10&lt;B2,"已过期",2010110070)</f>
        <v>2010110070</v>
      </c>
      <c r="G10" s="2348">
        <v>47907</v>
      </c>
      <c r="H10" s="2349" t="str">
        <f t="shared" ca="1" si="1"/>
        <v>崔锴（注册号：2010110070）</v>
      </c>
    </row>
    <row r="11" spans="1:8" ht="24" customHeight="1">
      <c r="A11" s="1304" t="s">
        <v>2137</v>
      </c>
      <c r="B11" s="1304">
        <f ca="1">IF(C11&lt;B2,"已过期",1120070131)</f>
        <v>1120070131</v>
      </c>
      <c r="C11" s="2345">
        <v>45937</v>
      </c>
      <c r="D11" s="2346" t="str">
        <f t="shared" ca="1" si="0"/>
        <v>郑燚（注册号：1120070131）</v>
      </c>
      <c r="E11" s="2347" t="s">
        <v>2137</v>
      </c>
      <c r="F11" s="1304">
        <f ca="1">IF(G11&lt;B2,"已过期",2014110011)</f>
        <v>2014110011</v>
      </c>
      <c r="G11" s="2348">
        <v>49302</v>
      </c>
      <c r="H11" s="2349" t="str">
        <f t="shared" ca="1" si="1"/>
        <v>郑燚（注册号：2014110011）</v>
      </c>
    </row>
    <row r="12" spans="1:8" ht="24" customHeight="1">
      <c r="A12" s="1304" t="s">
        <v>2138</v>
      </c>
      <c r="B12" s="1304">
        <f ca="1">IF(C12&lt;B2,"已过期",1120040230)</f>
        <v>1120040230</v>
      </c>
      <c r="C12" s="2350">
        <v>45937</v>
      </c>
      <c r="D12" s="2346" t="str">
        <f t="shared" ca="1" si="0"/>
        <v>苏海（注册号：1120040230）</v>
      </c>
      <c r="E12" s="2347" t="s">
        <v>2138</v>
      </c>
      <c r="F12" s="1304">
        <f ca="1">IF(G12&lt;B2,"已过期",98030020)</f>
        <v>98030020</v>
      </c>
      <c r="G12" s="2348">
        <v>47118</v>
      </c>
      <c r="H12" s="2349" t="str">
        <f t="shared" ca="1" si="1"/>
        <v>苏海（注册号：98030020）</v>
      </c>
    </row>
    <row r="13" spans="1:8" ht="24" customHeight="1">
      <c r="A13" s="1304" t="s">
        <v>2139</v>
      </c>
      <c r="B13" s="1304" t="str">
        <f ca="1">IF(C13&lt;B2,"已过期",1120020033)</f>
        <v>已过期</v>
      </c>
      <c r="C13" s="2345">
        <v>45375</v>
      </c>
      <c r="D13" s="2346" t="str">
        <f t="shared" ca="1" si="0"/>
        <v>刘敬东（注册号：已过期）</v>
      </c>
      <c r="E13" s="2347" t="s">
        <v>2139</v>
      </c>
      <c r="F13" s="1304">
        <f ca="1">IF(G13&lt;B2,"已过期",2000110137)</f>
        <v>2000110137</v>
      </c>
      <c r="G13" s="2348">
        <v>46387</v>
      </c>
      <c r="H13" s="2349" t="str">
        <f t="shared" ca="1" si="1"/>
        <v>刘敬东（注册号：2000110137）</v>
      </c>
    </row>
    <row r="14" spans="1:8" ht="24" customHeight="1">
      <c r="A14" s="1304" t="s">
        <v>2140</v>
      </c>
      <c r="B14" s="1304" t="str">
        <f ca="1">IF(C14&lt;B2,"已过期",1119980106)</f>
        <v>已过期</v>
      </c>
      <c r="C14" s="2350">
        <v>44969</v>
      </c>
      <c r="D14" s="2346" t="str">
        <f t="shared" ca="1" si="0"/>
        <v>刘俊财（注册号：已过期）</v>
      </c>
      <c r="E14" s="2347" t="s">
        <v>2140</v>
      </c>
      <c r="F14" s="1304">
        <f ca="1">IF(G14&lt;B2,"已过期",96010063)</f>
        <v>96010063</v>
      </c>
      <c r="G14" s="2348">
        <v>47483</v>
      </c>
      <c r="H14" s="2349" t="str">
        <f t="shared" ca="1" si="1"/>
        <v>刘俊财（注册号：96010063）</v>
      </c>
    </row>
    <row r="15" spans="1:8" ht="24" customHeight="1">
      <c r="A15" s="1304" t="s">
        <v>2418</v>
      </c>
      <c r="B15" s="1304">
        <v>1120210056</v>
      </c>
      <c r="C15" s="2350">
        <v>45410</v>
      </c>
      <c r="D15" s="2346" t="str">
        <f t="shared" si="0"/>
        <v>宁小鳗（注册号：1120210056）</v>
      </c>
      <c r="E15" s="2347" t="s">
        <v>2141</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618" t="s">
        <v>2142</v>
      </c>
      <c r="B17" s="3618"/>
      <c r="C17" s="3618"/>
      <c r="D17" s="3618"/>
      <c r="E17" s="3618"/>
      <c r="F17" s="3618"/>
      <c r="G17" s="3618"/>
      <c r="H17" s="3618"/>
    </row>
    <row r="18" spans="1:8" ht="24" customHeight="1">
      <c r="A18" s="3619" t="s">
        <v>2143</v>
      </c>
      <c r="B18" s="3619"/>
      <c r="C18" s="3619"/>
      <c r="D18" s="2343"/>
      <c r="E18" s="3620" t="s">
        <v>2144</v>
      </c>
      <c r="F18" s="3619"/>
      <c r="G18" s="3619"/>
    </row>
    <row r="19" spans="1:8" s="2354" customFormat="1" ht="24" customHeight="1">
      <c r="A19" s="2353" t="s">
        <v>2145</v>
      </c>
      <c r="B19" s="2342" t="s">
        <v>2146</v>
      </c>
      <c r="C19" s="2342" t="s">
        <v>2125</v>
      </c>
      <c r="D19" s="2343"/>
      <c r="E19" s="2347" t="s">
        <v>2145</v>
      </c>
      <c r="F19" s="2342" t="s">
        <v>2146</v>
      </c>
      <c r="G19" s="2342" t="s">
        <v>2125</v>
      </c>
    </row>
    <row r="20" spans="1:8" s="2354" customFormat="1" ht="24" customHeight="1">
      <c r="A20" s="2355" t="s">
        <v>2147</v>
      </c>
      <c r="B20" s="2355" t="s">
        <v>2148</v>
      </c>
      <c r="C20" s="2348">
        <v>45898</v>
      </c>
      <c r="D20" s="2356"/>
      <c r="E20" s="2357" t="s">
        <v>2149</v>
      </c>
      <c r="F20" s="2360" t="s">
        <v>2419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4"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数据-汇总表</vt:lpstr>
      <vt:lpstr>数据-取费表</vt:lpstr>
      <vt:lpstr>估价对象房地状况</vt:lpstr>
      <vt:lpstr>系统读取表</vt:lpstr>
      <vt:lpstr>结果表</vt:lpstr>
      <vt:lpstr>比较法-办公</vt:lpstr>
      <vt:lpstr>2021年大宗</vt:lpstr>
      <vt:lpstr>成本法 (元)</vt:lpstr>
      <vt:lpstr>假设开发法</vt:lpstr>
      <vt:lpstr>收益法 (元)</vt:lpstr>
      <vt:lpstr>收益法-酒店模型</vt:lpstr>
      <vt:lpstr>比较法-住宅</vt:lpstr>
      <vt:lpstr>比较法-商业</vt:lpstr>
      <vt:lpstr>比较法-办公2</vt:lpstr>
      <vt:lpstr>收益法-办公</vt:lpstr>
      <vt:lpstr>成本法</vt:lpstr>
      <vt:lpstr>基准地价修正</vt:lpstr>
      <vt:lpstr>收益法（汇总）</vt:lpstr>
      <vt:lpstr>收益法-车位</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2022年大宗</vt:lpstr>
      <vt:lpstr>大宗案例</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'比较法-办公2'!办公层高</vt:lpstr>
      <vt:lpstr>办公层高</vt:lpstr>
      <vt:lpstr>'比较法-办公2'!办公朝向</vt:lpstr>
      <vt:lpstr>办公朝向</vt:lpstr>
      <vt:lpstr>'比较法-办公2'!办公道路级别</vt:lpstr>
      <vt:lpstr>办公道路级别</vt:lpstr>
      <vt:lpstr>'比较法-办公2'!办公公共部分装修</vt:lpstr>
      <vt:lpstr>办公公共部分装修</vt:lpstr>
      <vt:lpstr>'比较法-办公2'!办公基础设施水平</vt:lpstr>
      <vt:lpstr>办公基础设施水平</vt:lpstr>
      <vt:lpstr>办公集聚程度</vt:lpstr>
      <vt:lpstr>'比较法-办公2'!办公建筑结构</vt:lpstr>
      <vt:lpstr>办公建筑结构</vt:lpstr>
      <vt:lpstr>'比较法-办公2'!办公建筑类型</vt:lpstr>
      <vt:lpstr>办公建筑类型</vt:lpstr>
      <vt:lpstr>'比较法-办公2'!办公交易情况</vt:lpstr>
      <vt:lpstr>办公交易情况</vt:lpstr>
      <vt:lpstr>'比较法-办公2'!办公楼层</vt:lpstr>
      <vt:lpstr>办公楼层</vt:lpstr>
      <vt:lpstr>'比较法-办公2'!办公内部装修</vt:lpstr>
      <vt:lpstr>办公内部装修</vt:lpstr>
      <vt:lpstr>'比较法-办公2'!办公物业管理</vt:lpstr>
      <vt:lpstr>办公物业管理</vt:lpstr>
      <vt:lpstr>'比较法-办公2'!办公用途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2024-04-28T03:00:36Z</dcterms:modified>
</cp:coreProperties>
</file>