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延庆-吴琼询价\"/>
    </mc:Choice>
  </mc:AlternateContent>
  <xr:revisionPtr revIDLastSave="0" documentId="13_ncr:1_{07EA32A8-34FB-4454-9A67-1ACB6F410E0F}" xr6:coauthVersionLast="47" xr6:coauthVersionMax="47"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0"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r:id="rId26"/>
    <sheet name="收益法办公" sheetId="82"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26">收益法办公!$A$1:$F$43,收益法办公!$H$3:$M$29,收益法办公!$A$46:$F$71,收益法办公!$I$46:$N$65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fileRecoveryPr repairLoad="1"/>
</workbook>
</file>

<file path=xl/calcChain.xml><?xml version="1.0" encoding="utf-8"?>
<calcChain xmlns="http://schemas.openxmlformats.org/spreadsheetml/2006/main">
  <c r="B4" i="77" l="1"/>
  <c r="C36" i="77"/>
  <c r="C6" i="68"/>
  <c r="D33" i="43"/>
  <c r="U14" i="43"/>
  <c r="U13" i="43"/>
  <c r="U12" i="43"/>
  <c r="U11" i="43"/>
  <c r="U10" i="43"/>
  <c r="U9" i="43"/>
  <c r="U8" i="43"/>
  <c r="U7" i="43"/>
  <c r="U6" i="43"/>
  <c r="U5" i="43"/>
  <c r="U4" i="43"/>
  <c r="U3" i="43"/>
  <c r="U2" i="43"/>
  <c r="N6" i="1"/>
  <c r="Q72" i="82"/>
  <c r="Q59" i="82"/>
  <c r="K59" i="82"/>
  <c r="P74" i="82" s="1"/>
  <c r="F59" i="82"/>
  <c r="Q58" i="82"/>
  <c r="Q51" i="82"/>
  <c r="J51" i="82"/>
  <c r="J50" i="82"/>
  <c r="M47" i="82"/>
  <c r="D46" i="82"/>
  <c r="F34" i="82"/>
  <c r="F62" i="82" s="1"/>
  <c r="F33" i="82"/>
  <c r="F61" i="82" s="1"/>
  <c r="F31" i="82"/>
  <c r="F23" i="82"/>
  <c r="D24" i="82" s="1"/>
  <c r="D22" i="82"/>
  <c r="F21" i="82"/>
  <c r="M20" i="82"/>
  <c r="F20" i="82"/>
  <c r="M19" i="82"/>
  <c r="F18" i="82"/>
  <c r="M17" i="82"/>
  <c r="F17" i="82"/>
  <c r="F15" i="82"/>
  <c r="G1" i="82"/>
  <c r="AL7" i="1"/>
  <c r="AM7" i="1"/>
  <c r="AK7" i="1"/>
  <c r="G19" i="43"/>
  <c r="E19" i="43"/>
  <c r="M8" i="82"/>
  <c r="D23" i="82" l="1"/>
  <c r="P61" i="82"/>
  <c r="N7" i="1"/>
  <c r="F20" i="6"/>
  <c r="F19" i="6"/>
  <c r="G19" i="6"/>
  <c r="D40" i="43"/>
  <c r="F37" i="82"/>
  <c r="C76" i="82"/>
  <c r="M26" i="82"/>
  <c r="F36" i="82"/>
  <c r="M28" i="82"/>
  <c r="F9" i="82"/>
  <c r="M22" i="82"/>
  <c r="F40" i="82"/>
  <c r="J15" i="82"/>
  <c r="F6" i="82"/>
  <c r="F42" i="82"/>
  <c r="F26" i="82"/>
  <c r="M27" i="82"/>
  <c r="F8" i="82"/>
  <c r="M9" i="82"/>
  <c r="M6" i="82"/>
  <c r="M23" i="82"/>
  <c r="M24" i="82"/>
  <c r="F38" i="82"/>
  <c r="F16" i="82"/>
  <c r="F68" i="82" l="1"/>
  <c r="Q71" i="82"/>
  <c r="F64" i="82"/>
  <c r="F65" i="82"/>
  <c r="F51" i="82"/>
  <c r="F66" i="82"/>
  <c r="C27" i="82"/>
  <c r="Y6" i="1"/>
  <c r="B21" i="1"/>
  <c r="F13" i="82"/>
  <c r="Y7" i="1"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2"/>
  <c r="L59" i="82" l="1"/>
  <c r="N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10" i="43"/>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D6" i="77" s="1"/>
  <c r="AH10" i="71"/>
  <c r="AG10" i="71"/>
  <c r="AE10" i="71"/>
  <c r="AF10" i="71" s="1"/>
  <c r="AD10" i="71"/>
  <c r="Q10" i="71"/>
  <c r="P10" i="71"/>
  <c r="O10" i="71"/>
  <c r="N10" i="71"/>
  <c r="U5" i="77" l="1"/>
  <c r="D15" i="77" l="1"/>
  <c r="D10" i="77"/>
  <c r="D17" i="77"/>
  <c r="C23" i="77"/>
  <c r="D9" i="77"/>
  <c r="D18" i="77"/>
  <c r="D16" i="77"/>
  <c r="E24" i="43"/>
  <c r="C29" i="77" l="1"/>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G15" i="3" s="1"/>
  <c r="AC15" i="3"/>
  <c r="H16" i="3"/>
  <c r="AC16" i="3"/>
  <c r="H17" i="3"/>
  <c r="G17" i="3" s="1"/>
  <c r="AC17" i="3"/>
  <c r="AT5" i="3"/>
  <c r="I5" i="3"/>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H5" i="3" s="1"/>
  <c r="BI556" i="3"/>
  <c r="BJ556" i="3"/>
  <c r="BK556" i="3"/>
  <c r="BM556" i="3"/>
  <c r="BL556" i="3" s="1"/>
  <c r="BN556" i="3"/>
  <c r="BO556" i="3"/>
  <c r="BP556" i="3"/>
  <c r="BQ556" i="3"/>
  <c r="BR556" i="3"/>
  <c r="BS556" i="3"/>
  <c r="BT556" i="3"/>
  <c r="H557" i="3"/>
  <c r="BB557" i="3"/>
  <c r="BC557" i="3"/>
  <c r="BD557" i="3"/>
  <c r="BE557" i="3"/>
  <c r="BE5" i="3" s="1"/>
  <c r="BF557" i="3"/>
  <c r="BG557" i="3"/>
  <c r="BH557" i="3"/>
  <c r="BI557" i="3"/>
  <c r="BI5" i="3" s="1"/>
  <c r="BJ557" i="3"/>
  <c r="BK557" i="3"/>
  <c r="BM557" i="3"/>
  <c r="BN557" i="3"/>
  <c r="BN5" i="3" s="1"/>
  <c r="BO557" i="3"/>
  <c r="BP557" i="3"/>
  <c r="BR557" i="3"/>
  <c r="BS557" i="3"/>
  <c r="BS5" i="3" s="1"/>
  <c r="BT557" i="3"/>
  <c r="H558" i="3"/>
  <c r="G558" i="3" s="1"/>
  <c r="AC558" i="3"/>
  <c r="BB558" i="3"/>
  <c r="BA558" i="3" s="1"/>
  <c r="BC558" i="3"/>
  <c r="BD558" i="3"/>
  <c r="BE558" i="3"/>
  <c r="BF558" i="3"/>
  <c r="BF5" i="3" s="1"/>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BT5" i="3" s="1"/>
  <c r="H560" i="3"/>
  <c r="AC560" i="3"/>
  <c r="BB560" i="3"/>
  <c r="BC560" i="3"/>
  <c r="BD560" i="3"/>
  <c r="BE560" i="3"/>
  <c r="BF560" i="3"/>
  <c r="BG560" i="3"/>
  <c r="BG5" i="3" s="1"/>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R5" i="3" s="1"/>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J23" i="35" s="1"/>
  <c r="H23" i="35"/>
  <c r="U23" i="35" s="1"/>
  <c r="B57" i="35"/>
  <c r="B61" i="35"/>
  <c r="B59" i="35"/>
  <c r="B131" i="34"/>
  <c r="H47" i="34" s="1"/>
  <c r="U47" i="34" s="1"/>
  <c r="B129" i="34"/>
  <c r="B127" i="34"/>
  <c r="B99" i="34"/>
  <c r="B97" i="34"/>
  <c r="H31" i="34" s="1"/>
  <c r="B95" i="34"/>
  <c r="B93" i="34"/>
  <c r="B75" i="34"/>
  <c r="B73" i="34"/>
  <c r="J13" i="34" s="1"/>
  <c r="W13" i="34" s="1"/>
  <c r="B71" i="34"/>
  <c r="J12" i="34" s="1"/>
  <c r="W12" i="34" s="1"/>
  <c r="B130" i="33"/>
  <c r="B128" i="33"/>
  <c r="B126" i="33"/>
  <c r="F44" i="33" s="1"/>
  <c r="B98" i="33"/>
  <c r="F31" i="33" s="1"/>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J44" i="21" s="1"/>
  <c r="B98" i="21"/>
  <c r="H31" i="21"/>
  <c r="B96" i="21"/>
  <c r="J30" i="21" s="1"/>
  <c r="B94" i="21"/>
  <c r="B92" i="21"/>
  <c r="J28" i="21" s="1"/>
  <c r="W28" i="21" s="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U9" i="39"/>
  <c r="W40" i="39"/>
  <c r="W25" i="37"/>
  <c r="E103" i="37"/>
  <c r="F103" i="37"/>
  <c r="G103" i="37" s="1"/>
  <c r="H103" i="37" s="1"/>
  <c r="I103" i="37" s="1"/>
  <c r="J103" i="37" s="1"/>
  <c r="K103" i="37" s="1"/>
  <c r="L103" i="37" s="1"/>
  <c r="M103" i="37" s="1"/>
  <c r="F29" i="36"/>
  <c r="AA29" i="36" s="1"/>
  <c r="F16" i="36"/>
  <c r="AA16" i="36" s="1"/>
  <c r="J33" i="36"/>
  <c r="AC33" i="36" s="1"/>
  <c r="H22" i="35"/>
  <c r="AB22" i="35" s="1"/>
  <c r="W28" i="35"/>
  <c r="U31" i="35"/>
  <c r="F36" i="34"/>
  <c r="J35" i="34"/>
  <c r="U34" i="34"/>
  <c r="H39" i="33"/>
  <c r="AB39" i="33" s="1"/>
  <c r="U33" i="33"/>
  <c r="W33" i="33"/>
  <c r="W39" i="33"/>
  <c r="H39" i="37"/>
  <c r="AB39" i="37" s="1"/>
  <c r="S27" i="35"/>
  <c r="F11" i="40"/>
  <c r="AA11" i="40"/>
  <c r="H11" i="40"/>
  <c r="AB11" i="40"/>
  <c r="W8" i="40"/>
  <c r="AB39" i="40"/>
  <c r="U9" i="40"/>
  <c r="S34" i="40"/>
  <c r="U34" i="40"/>
  <c r="F42" i="39"/>
  <c r="AA42" i="39" s="1"/>
  <c r="F41" i="39"/>
  <c r="S41" i="39" s="1"/>
  <c r="H40" i="39"/>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AA27" i="39" s="1"/>
  <c r="F11" i="21"/>
  <c r="S11" i="21" s="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C12" i="34"/>
  <c r="W32" i="40"/>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c r="F16" i="35"/>
  <c r="S16" i="35" s="1"/>
  <c r="H14" i="35"/>
  <c r="AB14" i="35" s="1"/>
  <c r="J29" i="35"/>
  <c r="AC29" i="35" s="1"/>
  <c r="H33" i="35"/>
  <c r="J20" i="35"/>
  <c r="W20" i="35" s="1"/>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J43" i="34"/>
  <c r="AB42" i="34"/>
  <c r="J40" i="34"/>
  <c r="H38" i="34"/>
  <c r="AB38" i="34" s="1"/>
  <c r="J36" i="34"/>
  <c r="AC36" i="34" s="1"/>
  <c r="W36" i="34"/>
  <c r="H37" i="34"/>
  <c r="U37" i="34" s="1"/>
  <c r="H25" i="34"/>
  <c r="AB25" i="34" s="1"/>
  <c r="J25" i="34"/>
  <c r="AC25" i="34"/>
  <c r="F23" i="34"/>
  <c r="AA23" i="34"/>
  <c r="J19" i="34"/>
  <c r="AC19" i="34" s="1"/>
  <c r="F17" i="34"/>
  <c r="AA17" i="34" s="1"/>
  <c r="J17" i="34"/>
  <c r="W17" i="34" s="1"/>
  <c r="AB17" i="34"/>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28" i="21"/>
  <c r="AB28" i="21" s="1"/>
  <c r="F28" i="21"/>
  <c r="AA28" i="21" s="1"/>
  <c r="H30" i="21"/>
  <c r="U30" i="21"/>
  <c r="F30" i="21"/>
  <c r="S30" i="21" s="1"/>
  <c r="AC30" i="2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J31" i="21"/>
  <c r="AC31" i="21" s="1"/>
  <c r="F31" i="21"/>
  <c r="S31" i="21"/>
  <c r="F45" i="21"/>
  <c r="AA45" i="21" s="1"/>
  <c r="F27" i="33"/>
  <c r="AA27" i="33" s="1"/>
  <c r="J13" i="33"/>
  <c r="H13" i="33"/>
  <c r="U13" i="33" s="1"/>
  <c r="F13" i="33"/>
  <c r="S13" i="33" s="1"/>
  <c r="J29" i="33"/>
  <c r="H29" i="33"/>
  <c r="U29" i="33" s="1"/>
  <c r="J31" i="33"/>
  <c r="W31" i="33"/>
  <c r="H31" i="33"/>
  <c r="J45" i="33"/>
  <c r="H14" i="34"/>
  <c r="AB14" i="34" s="1"/>
  <c r="H30" i="34"/>
  <c r="F30" i="34"/>
  <c r="S30" i="34" s="1"/>
  <c r="J30" i="34"/>
  <c r="H32" i="34"/>
  <c r="U32" i="34" s="1"/>
  <c r="H46" i="34"/>
  <c r="AB46" i="34" s="1"/>
  <c r="F46" i="34"/>
  <c r="J46" i="34"/>
  <c r="H11" i="35"/>
  <c r="AB11" i="35" s="1"/>
  <c r="J11" i="35"/>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W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J14" i="39"/>
  <c r="AC14" i="39" s="1"/>
  <c r="F14" i="39"/>
  <c r="H14" i="39"/>
  <c r="AB14" i="39" s="1"/>
  <c r="F12" i="40"/>
  <c r="S12" i="40" s="1"/>
  <c r="H12" i="40"/>
  <c r="AB12" i="40" s="1"/>
  <c r="H30" i="40"/>
  <c r="AB30" i="40" s="1"/>
  <c r="F33" i="40"/>
  <c r="AA33" i="40" s="1"/>
  <c r="H33" i="40"/>
  <c r="AB33" i="40" s="1"/>
  <c r="U33" i="40"/>
  <c r="J35" i="40"/>
  <c r="AC35" i="40" s="1"/>
  <c r="J37" i="40"/>
  <c r="AC37" i="40"/>
  <c r="H13" i="40"/>
  <c r="U13" i="40" s="1"/>
  <c r="J13" i="40"/>
  <c r="AC13" i="40" s="1"/>
  <c r="F13" i="40"/>
  <c r="AA13" i="40" s="1"/>
  <c r="F14" i="37"/>
  <c r="AA14" i="37" s="1"/>
  <c r="F13" i="39"/>
  <c r="J13" i="39"/>
  <c r="W13" i="39" s="1"/>
  <c r="H13" i="39"/>
  <c r="J14" i="40"/>
  <c r="W14" i="40" s="1"/>
  <c r="J14" i="37"/>
  <c r="J27" i="37"/>
  <c r="AC27" i="37" s="1"/>
  <c r="U46" i="33"/>
  <c r="AA14" i="33"/>
  <c r="J36" i="37"/>
  <c r="AC36" i="37" s="1"/>
  <c r="J10" i="36"/>
  <c r="AC10" i="36" s="1"/>
  <c r="AB30" i="21"/>
  <c r="W31" i="34"/>
  <c r="S11" i="36"/>
  <c r="AC28" i="21"/>
  <c r="BA586" i="3"/>
  <c r="AZ586" i="3" s="1"/>
  <c r="BA585" i="3"/>
  <c r="F17" i="21"/>
  <c r="AA17" i="21" s="1"/>
  <c r="H17" i="21"/>
  <c r="AB17" i="21" s="1"/>
  <c r="F15" i="21"/>
  <c r="S15" i="21" s="1"/>
  <c r="J41" i="39"/>
  <c r="W41" i="39" s="1"/>
  <c r="U36" i="39"/>
  <c r="S35" i="39"/>
  <c r="G544" i="3"/>
  <c r="G536" i="3"/>
  <c r="G535" i="3"/>
  <c r="G532" i="3"/>
  <c r="G531" i="3"/>
  <c r="G528" i="3"/>
  <c r="G527" i="3"/>
  <c r="G523" i="3"/>
  <c r="G514" i="3"/>
  <c r="G510" i="3"/>
  <c r="G508" i="3"/>
  <c r="G500" i="3"/>
  <c r="G496" i="3"/>
  <c r="G584" i="3"/>
  <c r="G580" i="3"/>
  <c r="G572" i="3"/>
  <c r="G568" i="3"/>
  <c r="G560" i="3"/>
  <c r="G554" i="3"/>
  <c r="G550" i="3"/>
  <c r="BL576" i="3"/>
  <c r="BL572" i="3"/>
  <c r="BL554" i="3"/>
  <c r="BL538" i="3"/>
  <c r="BL534" i="3"/>
  <c r="BL522" i="3"/>
  <c r="BL516" i="3"/>
  <c r="BL502" i="3"/>
  <c r="AZ502" i="3" s="1"/>
  <c r="BL498" i="3"/>
  <c r="BL578" i="3"/>
  <c r="BL574" i="3"/>
  <c r="BL562" i="3"/>
  <c r="BL540" i="3"/>
  <c r="BL536" i="3"/>
  <c r="G529" i="3"/>
  <c r="BL528" i="3"/>
  <c r="BL518" i="3"/>
  <c r="BL514" i="3"/>
  <c r="BL500" i="3"/>
  <c r="AZ500" i="3" s="1"/>
  <c r="BL496" i="3"/>
  <c r="G493" i="3"/>
  <c r="BA582" i="3"/>
  <c r="BA580" i="3"/>
  <c r="BA574" i="3"/>
  <c r="BA572" i="3"/>
  <c r="BA564" i="3"/>
  <c r="BA554" i="3"/>
  <c r="AZ554" i="3"/>
  <c r="BA548" i="3"/>
  <c r="BA546" i="3"/>
  <c r="BA542" i="3"/>
  <c r="BA536" i="3"/>
  <c r="BA532" i="3"/>
  <c r="BA528" i="3"/>
  <c r="AZ528" i="3" s="1"/>
  <c r="BA526" i="3"/>
  <c r="BA520" i="3"/>
  <c r="BA518" i="3"/>
  <c r="AZ518" i="3" s="1"/>
  <c r="BA512" i="3"/>
  <c r="AZ512" i="3" s="1"/>
  <c r="BA508" i="3"/>
  <c r="AZ508" i="3" s="1"/>
  <c r="BA506" i="3"/>
  <c r="AZ506" i="3" s="1"/>
  <c r="BA502" i="3"/>
  <c r="BA500" i="3"/>
  <c r="BA496" i="3"/>
  <c r="BA494" i="3"/>
  <c r="AZ494" i="3" s="1"/>
  <c r="BA583" i="3"/>
  <c r="BA581" i="3"/>
  <c r="BA575" i="3"/>
  <c r="BA573" i="3"/>
  <c r="BA555" i="3"/>
  <c r="BA547" i="3"/>
  <c r="BA545" i="3"/>
  <c r="BA539" i="3"/>
  <c r="BA537" i="3"/>
  <c r="BA531" i="3"/>
  <c r="BA529" i="3"/>
  <c r="BA523" i="3"/>
  <c r="BA519" i="3"/>
  <c r="BA513" i="3"/>
  <c r="BA511" i="3"/>
  <c r="BA503" i="3"/>
  <c r="BA501" i="3"/>
  <c r="BA495" i="3"/>
  <c r="BA493" i="3"/>
  <c r="G583" i="3"/>
  <c r="G581" i="3"/>
  <c r="G579" i="3"/>
  <c r="G573" i="3"/>
  <c r="G571" i="3"/>
  <c r="G569" i="3"/>
  <c r="G561" i="3"/>
  <c r="BA557" i="3"/>
  <c r="AC557" i="3"/>
  <c r="BQ557" i="3"/>
  <c r="BQ583" i="3"/>
  <c r="BQ581" i="3"/>
  <c r="BL581" i="3" s="1"/>
  <c r="BQ579" i="3"/>
  <c r="BQ577" i="3"/>
  <c r="BL577" i="3" s="1"/>
  <c r="BQ575" i="3"/>
  <c r="BQ573" i="3"/>
  <c r="BQ571" i="3"/>
  <c r="BL571" i="3"/>
  <c r="BQ569" i="3"/>
  <c r="BQ567" i="3"/>
  <c r="BQ565" i="3"/>
  <c r="BQ563" i="3"/>
  <c r="BQ561" i="3"/>
  <c r="BQ559" i="3"/>
  <c r="G559" i="3"/>
  <c r="G555" i="3"/>
  <c r="G549" i="3"/>
  <c r="G547" i="3"/>
  <c r="G545" i="3"/>
  <c r="G541" i="3"/>
  <c r="G539" i="3"/>
  <c r="G537" i="3"/>
  <c r="BQ555" i="3"/>
  <c r="BL555" i="3"/>
  <c r="BQ553" i="3"/>
  <c r="BL553" i="3" s="1"/>
  <c r="BQ551" i="3"/>
  <c r="BL551" i="3"/>
  <c r="BQ549" i="3"/>
  <c r="BQ547" i="3"/>
  <c r="BQ545" i="3"/>
  <c r="BL545" i="3"/>
  <c r="BQ543" i="3"/>
  <c r="BL543" i="3" s="1"/>
  <c r="BQ541" i="3"/>
  <c r="BL541" i="3"/>
  <c r="BQ539" i="3"/>
  <c r="BL539" i="3" s="1"/>
  <c r="BQ537" i="3"/>
  <c r="BQ535" i="3"/>
  <c r="BL535" i="3" s="1"/>
  <c r="BQ533" i="3"/>
  <c r="BQ531" i="3"/>
  <c r="BQ529" i="3"/>
  <c r="BL529" i="3"/>
  <c r="BQ527" i="3"/>
  <c r="BQ525" i="3"/>
  <c r="BL525" i="3" s="1"/>
  <c r="BQ523" i="3"/>
  <c r="AC521" i="3"/>
  <c r="G521" i="3" s="1"/>
  <c r="BQ521" i="3"/>
  <c r="BL520" i="3"/>
  <c r="AZ520" i="3"/>
  <c r="G517" i="3"/>
  <c r="G515" i="3"/>
  <c r="G513" i="3"/>
  <c r="BQ519" i="3"/>
  <c r="BQ517" i="3"/>
  <c r="BL517" i="3" s="1"/>
  <c r="BQ515" i="3"/>
  <c r="BQ513" i="3"/>
  <c r="BL513" i="3"/>
  <c r="BQ511" i="3"/>
  <c r="BL511" i="3" s="1"/>
  <c r="AZ511" i="3" s="1"/>
  <c r="AC509" i="3"/>
  <c r="BQ509" i="3"/>
  <c r="BL509" i="3" s="1"/>
  <c r="AZ509" i="3" s="1"/>
  <c r="G507" i="3"/>
  <c r="G505" i="3"/>
  <c r="G503" i="3"/>
  <c r="G501" i="3"/>
  <c r="G499" i="3"/>
  <c r="G497" i="3"/>
  <c r="G495" i="3"/>
  <c r="BQ507" i="3"/>
  <c r="BQ505" i="3"/>
  <c r="BL505" i="3"/>
  <c r="AZ505" i="3" s="1"/>
  <c r="BQ503" i="3"/>
  <c r="BQ501" i="3"/>
  <c r="BL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F32" i="40"/>
  <c r="S32" i="40" s="1"/>
  <c r="H32" i="40"/>
  <c r="AB32" i="40" s="1"/>
  <c r="J36" i="40"/>
  <c r="W36" i="40"/>
  <c r="H19" i="37"/>
  <c r="AB19" i="37" s="1"/>
  <c r="H42" i="33"/>
  <c r="AB42" i="33" s="1"/>
  <c r="J43" i="33"/>
  <c r="AC43" i="33" s="1"/>
  <c r="S28" i="31"/>
  <c r="S27" i="31"/>
  <c r="S26" i="31"/>
  <c r="U39" i="37"/>
  <c r="U26" i="37"/>
  <c r="AA13" i="33"/>
  <c r="AC31" i="33"/>
  <c r="U11" i="33"/>
  <c r="U19" i="21"/>
  <c r="AB38" i="21"/>
  <c r="F43" i="33"/>
  <c r="AA43" i="33"/>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AA25" i="21"/>
  <c r="H19" i="40"/>
  <c r="U19" i="40" s="1"/>
  <c r="F88" i="40"/>
  <c r="G88" i="40" s="1"/>
  <c r="F19" i="40"/>
  <c r="S19" i="40" s="1"/>
  <c r="W23" i="39"/>
  <c r="U45" i="39"/>
  <c r="AB45" i="39"/>
  <c r="G100" i="39"/>
  <c r="H37" i="39"/>
  <c r="AB37" i="39" s="1"/>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79" i="3"/>
  <c r="AZ168" i="3"/>
  <c r="AZ120" i="3"/>
  <c r="G534" i="3"/>
  <c r="G530" i="3"/>
  <c r="G522" i="3"/>
  <c r="G516" i="3"/>
  <c r="G512" i="3"/>
  <c r="G506" i="3"/>
  <c r="G498" i="3"/>
  <c r="G494"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G346" i="3"/>
  <c r="BL349" i="3"/>
  <c r="BL352" i="3"/>
  <c r="G353" i="3"/>
  <c r="BA357" i="3"/>
  <c r="BL358" i="3"/>
  <c r="G359" i="3"/>
  <c r="BA361" i="3"/>
  <c r="AZ361" i="3"/>
  <c r="BL362" i="3"/>
  <c r="AZ362" i="3" s="1"/>
  <c r="G363" i="3"/>
  <c r="BA365" i="3"/>
  <c r="AZ365" i="3"/>
  <c r="BL366" i="3"/>
  <c r="AZ366" i="3" s="1"/>
  <c r="G367" i="3"/>
  <c r="BA369" i="3"/>
  <c r="BL370" i="3"/>
  <c r="G371" i="3"/>
  <c r="BA373" i="3"/>
  <c r="AZ373" i="3"/>
  <c r="BL374" i="3"/>
  <c r="AZ374" i="3" s="1"/>
  <c r="G375" i="3"/>
  <c r="BA377" i="3"/>
  <c r="AZ377" i="3"/>
  <c r="AZ241" i="3"/>
  <c r="AZ269" i="3"/>
  <c r="BA379" i="3"/>
  <c r="BL380" i="3"/>
  <c r="AZ380" i="3" s="1"/>
  <c r="G381" i="3"/>
  <c r="BA383" i="3"/>
  <c r="AZ383" i="3" s="1"/>
  <c r="BL384" i="3"/>
  <c r="G385" i="3"/>
  <c r="BA387" i="3"/>
  <c r="AZ387" i="3" s="1"/>
  <c r="BL388" i="3"/>
  <c r="G389" i="3"/>
  <c r="BA391" i="3"/>
  <c r="AZ391" i="3" s="1"/>
  <c r="BL392" i="3"/>
  <c r="AZ392" i="3" s="1"/>
  <c r="G393" i="3"/>
  <c r="BJ5" i="3"/>
  <c r="AZ325" i="3"/>
  <c r="AZ341" i="3"/>
  <c r="AZ496" i="3"/>
  <c r="G548" i="3"/>
  <c r="G538" i="3"/>
  <c r="G520" i="3"/>
  <c r="G502" i="3"/>
  <c r="BK5" i="3"/>
  <c r="AZ350" i="3"/>
  <c r="BA15" i="3"/>
  <c r="AZ499" i="3"/>
  <c r="G509" i="3"/>
  <c r="BL493" i="3"/>
  <c r="AZ493" i="3" s="1"/>
  <c r="F83" i="43"/>
  <c r="H85" i="43" s="1"/>
  <c r="F50" i="43"/>
  <c r="H54" i="43" s="1"/>
  <c r="F72" i="43"/>
  <c r="H75" i="43" s="1"/>
  <c r="U17" i="39"/>
  <c r="S14" i="35"/>
  <c r="U43" i="21"/>
  <c r="U35" i="21"/>
  <c r="AC35" i="21"/>
  <c r="G10" i="1"/>
  <c r="AC11" i="39"/>
  <c r="W37" i="37"/>
  <c r="W44" i="34"/>
  <c r="AC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H20" i="35"/>
  <c r="U20" i="35"/>
  <c r="F20" i="35"/>
  <c r="AA20" i="35" s="1"/>
  <c r="AB23" i="35"/>
  <c r="AB29" i="36"/>
  <c r="U29" i="36"/>
  <c r="H32" i="37"/>
  <c r="AB32" i="37" s="1"/>
  <c r="F96" i="37"/>
  <c r="H27" i="40"/>
  <c r="U27" i="40"/>
  <c r="J27" i="40"/>
  <c r="AC27" i="40"/>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3" i="36"/>
  <c r="U33" i="36"/>
  <c r="AC39" i="40"/>
  <c r="W39" i="40"/>
  <c r="AZ465" i="3"/>
  <c r="W12" i="33"/>
  <c r="AC12" i="33"/>
  <c r="BL14" i="3"/>
  <c r="U30" i="33"/>
  <c r="AC13" i="34"/>
  <c r="AA47" i="34"/>
  <c r="W28" i="37"/>
  <c r="S19" i="39"/>
  <c r="F12" i="33"/>
  <c r="F39" i="40"/>
  <c r="BA14" i="3"/>
  <c r="AZ254" i="3"/>
  <c r="AZ286" i="3"/>
  <c r="AZ173" i="3"/>
  <c r="AZ181" i="3"/>
  <c r="B12" i="1"/>
  <c r="E12" i="1" s="1"/>
  <c r="B10" i="1"/>
  <c r="E10" i="1" s="1"/>
  <c r="K12" i="1"/>
  <c r="M12" i="1" s="1"/>
  <c r="S13" i="1"/>
  <c r="AR13" i="1" s="1"/>
  <c r="R13" i="1"/>
  <c r="J51" i="67"/>
  <c r="C42" i="1"/>
  <c r="C24" i="12" s="1"/>
  <c r="AC34" i="33"/>
  <c r="AA34" i="33"/>
  <c r="B41" i="1"/>
  <c r="AB37" i="40"/>
  <c r="S35" i="40"/>
  <c r="U35" i="40"/>
  <c r="AC36" i="40"/>
  <c r="W38" i="40"/>
  <c r="S17" i="40"/>
  <c r="S23" i="40"/>
  <c r="AC17" i="40"/>
  <c r="AC15" i="40"/>
  <c r="AB27" i="40"/>
  <c r="AA19" i="40"/>
  <c r="S28" i="40"/>
  <c r="AA27" i="40"/>
  <c r="U21" i="40"/>
  <c r="AB19" i="40"/>
  <c r="U37" i="39"/>
  <c r="F32" i="39"/>
  <c r="F106" i="39"/>
  <c r="G106" i="39" s="1"/>
  <c r="H106" i="39" s="1"/>
  <c r="I106" i="39" s="1"/>
  <c r="J106" i="39" s="1"/>
  <c r="K106" i="39" s="1"/>
  <c r="L106" i="39" s="1"/>
  <c r="M106" i="39" s="1"/>
  <c r="U25" i="39"/>
  <c r="AB27" i="39"/>
  <c r="J21" i="39"/>
  <c r="W21" i="39" s="1"/>
  <c r="F21" i="39"/>
  <c r="H21" i="39"/>
  <c r="U21" i="39" s="1"/>
  <c r="W19" i="39"/>
  <c r="U19" i="39"/>
  <c r="S17" i="39"/>
  <c r="S9" i="39"/>
  <c r="U14" i="39"/>
  <c r="AC13" i="39"/>
  <c r="S23" i="36"/>
  <c r="U26" i="36"/>
  <c r="S33" i="36"/>
  <c r="AA26" i="36"/>
  <c r="AA22" i="36"/>
  <c r="W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AB31" i="37"/>
  <c r="W30" i="37"/>
  <c r="S36" i="37"/>
  <c r="AA38" i="37"/>
  <c r="U32" i="37"/>
  <c r="W38" i="37"/>
  <c r="AC35" i="37"/>
  <c r="S37" i="37"/>
  <c r="AC15" i="37"/>
  <c r="J17" i="37"/>
  <c r="W17" i="37" s="1"/>
  <c r="G73" i="37"/>
  <c r="F17" i="37"/>
  <c r="AA17" i="37" s="1"/>
  <c r="AB17" i="37"/>
  <c r="F75"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W19" i="33"/>
  <c r="J17" i="33"/>
  <c r="AC17" i="33" s="1"/>
  <c r="F79" i="33"/>
  <c r="G79" i="33" s="1"/>
  <c r="S15" i="33"/>
  <c r="U9" i="33"/>
  <c r="J10" i="33"/>
  <c r="W10" i="33" s="1"/>
  <c r="H10" i="33"/>
  <c r="U10" i="33" s="1"/>
  <c r="AC11" i="33"/>
  <c r="AB14" i="33"/>
  <c r="W43" i="21"/>
  <c r="W36" i="21"/>
  <c r="W41" i="21"/>
  <c r="AB39" i="21"/>
  <c r="AA43" i="21"/>
  <c r="S39" i="21"/>
  <c r="AA38" i="21"/>
  <c r="AA36" i="21"/>
  <c r="AC40" i="21"/>
  <c r="J15" i="21"/>
  <c r="F77" i="21"/>
  <c r="G77" i="21"/>
  <c r="F23" i="21"/>
  <c r="E85" i="21"/>
  <c r="D120" i="9"/>
  <c r="C18" i="9"/>
  <c r="D18" i="9" s="1"/>
  <c r="F34" i="67"/>
  <c r="F62" i="67" s="1"/>
  <c r="M20" i="67"/>
  <c r="F34" i="15"/>
  <c r="F62" i="15" s="1"/>
  <c r="BL17" i="3"/>
  <c r="BL13" i="3"/>
  <c r="J56" i="9"/>
  <c r="J57" i="9" s="1"/>
  <c r="J59" i="9" s="1"/>
  <c r="J61" i="9" s="1"/>
  <c r="A24" i="51"/>
  <c r="B18" i="72" s="1"/>
  <c r="U29" i="34"/>
  <c r="E5" i="6"/>
  <c r="E32" i="6"/>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9"/>
  <c r="W23" i="40"/>
  <c r="U32" i="40"/>
  <c r="S37" i="40"/>
  <c r="AB28" i="40"/>
  <c r="W28"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S27" i="39"/>
  <c r="W17" i="39"/>
  <c r="AC17" i="39"/>
  <c r="AA45" i="39"/>
  <c r="AB39" i="39"/>
  <c r="W34" i="39"/>
  <c r="S8" i="39"/>
  <c r="S20" i="36"/>
  <c r="AC25" i="36"/>
  <c r="W29" i="36"/>
  <c r="AC20" i="36"/>
  <c r="U25" i="36"/>
  <c r="AB28" i="36"/>
  <c r="W22" i="36"/>
  <c r="W23" i="36"/>
  <c r="AB20" i="35"/>
  <c r="AC25" i="35"/>
  <c r="U25" i="35"/>
  <c r="S24" i="35"/>
  <c r="U24" i="35"/>
  <c r="S35" i="35"/>
  <c r="W35" i="35"/>
  <c r="AA16" i="35"/>
  <c r="AA35" i="37"/>
  <c r="W36" i="37"/>
  <c r="S28" i="37"/>
  <c r="W32" i="37"/>
  <c r="U36" i="37"/>
  <c r="S40" i="37"/>
  <c r="U38" i="37"/>
  <c r="AB37" i="37"/>
  <c r="AC34" i="37"/>
  <c r="AB35" i="37"/>
  <c r="AA31" i="37"/>
  <c r="U19" i="37"/>
  <c r="U8" i="37"/>
  <c r="AB40" i="34"/>
  <c r="U19" i="34"/>
  <c r="W19" i="34"/>
  <c r="AC45" i="34"/>
  <c r="AA30" i="34"/>
  <c r="AB45" i="34"/>
  <c r="AB47" i="34"/>
  <c r="U25" i="34"/>
  <c r="AB36" i="34"/>
  <c r="AC29" i="34"/>
  <c r="W46" i="34"/>
  <c r="AC46" i="34"/>
  <c r="U30" i="34"/>
  <c r="AB30" i="34"/>
  <c r="S37" i="34"/>
  <c r="U38" i="34"/>
  <c r="AC40" i="34"/>
  <c r="W40" i="34"/>
  <c r="AA19" i="34"/>
  <c r="S19" i="34"/>
  <c r="AA36" i="34"/>
  <c r="S36" i="34"/>
  <c r="AA8" i="34"/>
  <c r="S8" i="34"/>
  <c r="AB9" i="34"/>
  <c r="U9" i="34"/>
  <c r="S46" i="34"/>
  <c r="AA46"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U15" i="21" s="1"/>
  <c r="J17" i="21"/>
  <c r="AC17" i="21"/>
  <c r="AC19" i="21"/>
  <c r="W39"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17" i="21"/>
  <c r="AC26" i="21"/>
  <c r="S28" i="21"/>
  <c r="AC34" i="21"/>
  <c r="AB36" i="21"/>
  <c r="W30" i="40"/>
  <c r="C19" i="39"/>
  <c r="C15" i="40"/>
  <c r="C17" i="40"/>
  <c r="C23"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W27" i="33" s="1"/>
  <c r="U25" i="33"/>
  <c r="AB25" i="33"/>
  <c r="AA25" i="33"/>
  <c r="G87" i="33"/>
  <c r="H87" i="33"/>
  <c r="I87" i="33" s="1"/>
  <c r="J87" i="33" s="1"/>
  <c r="K87" i="33" s="1"/>
  <c r="L87" i="33" s="1"/>
  <c r="M87" i="33" s="1"/>
  <c r="J25" i="33"/>
  <c r="W25" i="33" s="1"/>
  <c r="AB23" i="33"/>
  <c r="U23" i="33"/>
  <c r="F23" i="33"/>
  <c r="G85" i="33"/>
  <c r="H19" i="33"/>
  <c r="AB19" i="33" s="1"/>
  <c r="H17" i="33"/>
  <c r="U17" i="33" s="1"/>
  <c r="F17" i="33"/>
  <c r="S17" i="33" s="1"/>
  <c r="W17" i="33"/>
  <c r="AB15" i="21"/>
  <c r="J23" i="21"/>
  <c r="F85" i="21"/>
  <c r="G85" i="21" s="1"/>
  <c r="H23" i="21"/>
  <c r="S13" i="21"/>
  <c r="AP7" i="1"/>
  <c r="AB45" i="21"/>
  <c r="AB9" i="21"/>
  <c r="AA32" i="21"/>
  <c r="S32" i="21"/>
  <c r="W9" i="21"/>
  <c r="AB32" i="21"/>
  <c r="U32" i="21"/>
  <c r="U32" i="39"/>
  <c r="AC23" i="37"/>
  <c r="J11" i="37"/>
  <c r="AC11" i="37" s="1"/>
  <c r="H70" i="34"/>
  <c r="I70" i="34" s="1"/>
  <c r="J70" i="34" s="1"/>
  <c r="K70" i="34"/>
  <c r="L70" i="34" s="1"/>
  <c r="M70" i="34" s="1"/>
  <c r="J11" i="34"/>
  <c r="W11" i="34" s="1"/>
  <c r="AC27" i="33"/>
  <c r="AC25" i="33"/>
  <c r="U19" i="33"/>
  <c r="U23" i="21"/>
  <c r="AB23" i="21"/>
  <c r="AC23" i="21"/>
  <c r="W23" i="21"/>
  <c r="H109" i="9"/>
  <c r="M49" i="9" s="1"/>
  <c r="H112" i="9"/>
  <c r="D21" i="53"/>
  <c r="B39" i="72" s="1"/>
  <c r="H111" i="9"/>
  <c r="D126" i="9" s="1"/>
  <c r="AD3" i="71"/>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82"/>
  <c r="B13" i="76"/>
  <c r="B9" i="76"/>
  <c r="B8" i="76"/>
  <c r="E11" i="76"/>
  <c r="E2" i="69"/>
  <c r="E10" i="76"/>
  <c r="B7" i="76"/>
  <c r="B11" i="76"/>
  <c r="E12" i="76"/>
  <c r="E13" i="76"/>
  <c r="E2" i="68"/>
  <c r="E7" i="76"/>
  <c r="F7" i="73"/>
  <c r="E8" i="76"/>
  <c r="E9" i="76"/>
  <c r="B10" i="76"/>
  <c r="F5" i="73"/>
  <c r="F20" i="31"/>
  <c r="F6" i="73"/>
  <c r="F4" i="73"/>
  <c r="AO13" i="1"/>
  <c r="B12" i="76"/>
  <c r="F3" i="73"/>
  <c r="F48" i="9" l="1"/>
  <c r="O52" i="9" s="1"/>
  <c r="F32" i="82"/>
  <c r="F60" i="82" s="1"/>
  <c r="F28" i="82"/>
  <c r="C28" i="82" s="1"/>
  <c r="M18" i="82"/>
  <c r="D22" i="15"/>
  <c r="D23" i="15"/>
  <c r="F34" i="68"/>
  <c r="C36" i="68" s="1"/>
  <c r="M59" i="82"/>
  <c r="L58" i="82"/>
  <c r="I54" i="82"/>
  <c r="L60" i="82"/>
  <c r="J53" i="82"/>
  <c r="L57" i="82"/>
  <c r="L56" i="82"/>
  <c r="J57" i="82"/>
  <c r="J55" i="82" s="1"/>
  <c r="J58" i="82" s="1"/>
  <c r="Q50" i="82" s="1"/>
  <c r="G7" i="1"/>
  <c r="G26" i="12"/>
  <c r="F3" i="35"/>
  <c r="G1" i="15"/>
  <c r="K1" i="12"/>
  <c r="K7" i="1"/>
  <c r="M7" i="1" s="1"/>
  <c r="O7" i="1" s="1"/>
  <c r="P7" i="1" s="1"/>
  <c r="G1" i="68"/>
  <c r="G1" i="67"/>
  <c r="BA17" i="3"/>
  <c r="BB5" i="3"/>
  <c r="E8" i="6" s="1"/>
  <c r="F27" i="6" s="1"/>
  <c r="BC5" i="3"/>
  <c r="AZ17" i="3"/>
  <c r="J1" i="73"/>
  <c r="D121" i="9"/>
  <c r="D7" i="52" s="1"/>
  <c r="D6" i="52"/>
  <c r="S23" i="37"/>
  <c r="AA23" i="37"/>
  <c r="AA37" i="21"/>
  <c r="S37" i="21"/>
  <c r="W15" i="21"/>
  <c r="AC15" i="21"/>
  <c r="D22" i="71"/>
  <c r="C21" i="71"/>
  <c r="D21" i="71" s="1"/>
  <c r="S23" i="21"/>
  <c r="AA23" i="21"/>
  <c r="S19" i="33"/>
  <c r="AA19" i="33"/>
  <c r="AA39" i="40"/>
  <c r="S39" i="40"/>
  <c r="U36" i="33"/>
  <c r="AB36" i="33"/>
  <c r="AC32" i="39"/>
  <c r="W32" i="39"/>
  <c r="AZ501" i="3"/>
  <c r="AB40" i="39"/>
  <c r="U40" i="39"/>
  <c r="J14" i="21"/>
  <c r="F14" i="21"/>
  <c r="H14" i="21"/>
  <c r="U12" i="35"/>
  <c r="AB12" i="35"/>
  <c r="J13" i="36"/>
  <c r="F13" i="36"/>
  <c r="F32" i="36"/>
  <c r="H32" i="36"/>
  <c r="J12" i="39"/>
  <c r="F12" i="39"/>
  <c r="H44" i="39"/>
  <c r="J44" i="39"/>
  <c r="F44" i="39"/>
  <c r="BL566" i="3"/>
  <c r="AZ566" i="3" s="1"/>
  <c r="BA562" i="3"/>
  <c r="BA561" i="3"/>
  <c r="AZ561" i="3" s="1"/>
  <c r="BA560" i="3"/>
  <c r="AZ560" i="3" s="1"/>
  <c r="BL558" i="3"/>
  <c r="AZ558" i="3" s="1"/>
  <c r="BA556" i="3"/>
  <c r="AZ556" i="3" s="1"/>
  <c r="AC44" i="33"/>
  <c r="W44" i="33"/>
  <c r="AC31" i="37"/>
  <c r="W31" i="37"/>
  <c r="BA569" i="3"/>
  <c r="BL568" i="3"/>
  <c r="BA568" i="3"/>
  <c r="BL564" i="3"/>
  <c r="BA563" i="3"/>
  <c r="AZ563" i="3" s="1"/>
  <c r="AB32" i="34"/>
  <c r="AA31" i="34"/>
  <c r="AA29" i="37"/>
  <c r="W34" i="40"/>
  <c r="AC26" i="36"/>
  <c r="S15" i="39"/>
  <c r="AA32" i="40"/>
  <c r="W29" i="35"/>
  <c r="U13" i="37"/>
  <c r="BD5" i="3"/>
  <c r="BM5" i="3"/>
  <c r="AZ313" i="3"/>
  <c r="AZ309" i="3"/>
  <c r="AZ535" i="3"/>
  <c r="BL565" i="3"/>
  <c r="AZ565" i="3" s="1"/>
  <c r="AZ575" i="3"/>
  <c r="AC47" i="34"/>
  <c r="W47" i="34"/>
  <c r="H13" i="36"/>
  <c r="J32" i="36"/>
  <c r="W32" i="36" s="1"/>
  <c r="S29" i="35"/>
  <c r="AA29" i="35"/>
  <c r="BL587" i="3"/>
  <c r="BA587" i="3"/>
  <c r="J29" i="21"/>
  <c r="H29" i="21"/>
  <c r="AC44" i="21"/>
  <c r="W44" i="21"/>
  <c r="S44" i="33"/>
  <c r="AA44" i="33"/>
  <c r="U34" i="35"/>
  <c r="AB34" i="35"/>
  <c r="AB30" i="37"/>
  <c r="U30" i="37"/>
  <c r="J39" i="37"/>
  <c r="F39" i="37"/>
  <c r="S39" i="37" s="1"/>
  <c r="J31" i="40"/>
  <c r="H31" i="40"/>
  <c r="BL580" i="3"/>
  <c r="BL579" i="3"/>
  <c r="BA579" i="3"/>
  <c r="BA578" i="3"/>
  <c r="BA577" i="3"/>
  <c r="AZ577" i="3" s="1"/>
  <c r="BA576" i="3"/>
  <c r="AZ576" i="3" s="1"/>
  <c r="BL575" i="3"/>
  <c r="BA571" i="3"/>
  <c r="AZ571" i="3" s="1"/>
  <c r="BL570" i="3"/>
  <c r="BA570" i="3"/>
  <c r="BA553" i="3"/>
  <c r="AZ553" i="3" s="1"/>
  <c r="BL552" i="3"/>
  <c r="BA552" i="3"/>
  <c r="AZ552" i="3" s="1"/>
  <c r="BA549" i="3"/>
  <c r="BL546" i="3"/>
  <c r="BL544" i="3"/>
  <c r="BA544" i="3"/>
  <c r="AZ544" i="3" s="1"/>
  <c r="BA543" i="3"/>
  <c r="AZ543" i="3" s="1"/>
  <c r="BL542" i="3"/>
  <c r="AZ542" i="3" s="1"/>
  <c r="BA541" i="3"/>
  <c r="AZ541" i="3" s="1"/>
  <c r="BA540" i="3"/>
  <c r="AZ540" i="3" s="1"/>
  <c r="BA538" i="3"/>
  <c r="AZ538" i="3" s="1"/>
  <c r="BL537" i="3"/>
  <c r="BA535" i="3"/>
  <c r="BA534" i="3"/>
  <c r="AZ534" i="3" s="1"/>
  <c r="BL533" i="3"/>
  <c r="AZ533" i="3" s="1"/>
  <c r="BA533" i="3"/>
  <c r="BL532" i="3"/>
  <c r="AZ532" i="3" s="1"/>
  <c r="BL530" i="3"/>
  <c r="BA530" i="3"/>
  <c r="BA527" i="3"/>
  <c r="BL526" i="3"/>
  <c r="BA525" i="3"/>
  <c r="AZ525" i="3" s="1"/>
  <c r="BL524" i="3"/>
  <c r="BA524" i="3"/>
  <c r="BA522" i="3"/>
  <c r="AZ522" i="3" s="1"/>
  <c r="BL521" i="3"/>
  <c r="AZ521" i="3" s="1"/>
  <c r="BA521" i="3"/>
  <c r="BA517" i="3"/>
  <c r="BA516" i="3"/>
  <c r="AZ516" i="3" s="1"/>
  <c r="AZ514" i="3"/>
  <c r="AZ510" i="3"/>
  <c r="AZ504" i="3"/>
  <c r="AZ498" i="3"/>
  <c r="AB14" i="36"/>
  <c r="U35" i="39"/>
  <c r="H12" i="39"/>
  <c r="S31" i="39"/>
  <c r="U36" i="40"/>
  <c r="BP5" i="3"/>
  <c r="G29" i="6" s="1"/>
  <c r="AC5" i="3"/>
  <c r="BO5" i="3"/>
  <c r="F29" i="6" s="1"/>
  <c r="AZ379" i="3"/>
  <c r="AZ357" i="3"/>
  <c r="AZ372" i="3"/>
  <c r="AZ347" i="3"/>
  <c r="AZ337" i="3"/>
  <c r="AZ376" i="3"/>
  <c r="AA11" i="39"/>
  <c r="AZ529" i="3"/>
  <c r="AZ526" i="3"/>
  <c r="AZ536" i="3"/>
  <c r="AZ546" i="3"/>
  <c r="AZ572" i="3"/>
  <c r="W13" i="40"/>
  <c r="W11" i="35"/>
  <c r="AC11" i="35"/>
  <c r="U46" i="34"/>
  <c r="W45" i="33"/>
  <c r="AC45" i="33"/>
  <c r="S12" i="36"/>
  <c r="AA12" i="36"/>
  <c r="B72" i="43"/>
  <c r="C15" i="39"/>
  <c r="F45" i="33"/>
  <c r="H45" i="33"/>
  <c r="J14" i="34"/>
  <c r="F14" i="34"/>
  <c r="F32" i="34"/>
  <c r="J32" i="34"/>
  <c r="F12" i="35"/>
  <c r="J12" i="35"/>
  <c r="AC23" i="35"/>
  <c r="W23" i="35"/>
  <c r="AC28" i="36"/>
  <c r="W28" i="36"/>
  <c r="H27" i="37"/>
  <c r="F27" i="37"/>
  <c r="F38" i="40"/>
  <c r="H38" i="40"/>
  <c r="U30" i="36"/>
  <c r="AB30" i="36"/>
  <c r="BL584" i="3"/>
  <c r="BA584" i="3"/>
  <c r="BL582" i="3"/>
  <c r="AZ582" i="3" s="1"/>
  <c r="AZ537" i="3"/>
  <c r="AZ564" i="3"/>
  <c r="AZ580" i="3"/>
  <c r="U30" i="40"/>
  <c r="U11" i="39"/>
  <c r="U15" i="34"/>
  <c r="AA17" i="33"/>
  <c r="S36" i="33"/>
  <c r="S17" i="37"/>
  <c r="AA15" i="21"/>
  <c r="AB44" i="21"/>
  <c r="W33" i="34"/>
  <c r="AB33" i="34"/>
  <c r="AA40" i="34"/>
  <c r="U38" i="39"/>
  <c r="S23" i="39"/>
  <c r="W15" i="33"/>
  <c r="S43" i="34"/>
  <c r="U23" i="37"/>
  <c r="S30" i="37"/>
  <c r="W27" i="37"/>
  <c r="AC14" i="35"/>
  <c r="AZ345" i="3"/>
  <c r="AZ334" i="3"/>
  <c r="AZ390" i="3"/>
  <c r="AZ351" i="3"/>
  <c r="AZ549" i="3"/>
  <c r="AZ539" i="3"/>
  <c r="G557" i="3"/>
  <c r="AZ513" i="3"/>
  <c r="AZ574" i="3"/>
  <c r="S14" i="37"/>
  <c r="U23" i="34"/>
  <c r="W22" i="35"/>
  <c r="AA40" i="21"/>
  <c r="S40" i="21"/>
  <c r="AC27" i="35"/>
  <c r="W27" i="35"/>
  <c r="J9" i="36"/>
  <c r="H12" i="36"/>
  <c r="J12" i="36"/>
  <c r="H34" i="36"/>
  <c r="F34" i="36"/>
  <c r="J34" i="36"/>
  <c r="W34" i="36" s="1"/>
  <c r="H31" i="39"/>
  <c r="J31" i="39"/>
  <c r="J43" i="39"/>
  <c r="F43" i="39"/>
  <c r="H43" i="39"/>
  <c r="J37" i="39"/>
  <c r="F37" i="39"/>
  <c r="AA38" i="39"/>
  <c r="S38" i="39"/>
  <c r="F14" i="40"/>
  <c r="H14" i="40"/>
  <c r="AZ203" i="3"/>
  <c r="AZ306" i="3"/>
  <c r="BL519" i="3"/>
  <c r="AZ519" i="3" s="1"/>
  <c r="BL531" i="3"/>
  <c r="AZ531" i="3" s="1"/>
  <c r="BL559" i="3"/>
  <c r="AZ559" i="3" s="1"/>
  <c r="BL573" i="3"/>
  <c r="AZ573" i="3" s="1"/>
  <c r="BL583" i="3"/>
  <c r="AZ583" i="3" s="1"/>
  <c r="S44" i="34"/>
  <c r="BL585" i="3"/>
  <c r="AZ585" i="3" s="1"/>
  <c r="J27" i="21"/>
  <c r="F27" i="21"/>
  <c r="F26" i="33"/>
  <c r="H26" i="33"/>
  <c r="AB31" i="36"/>
  <c r="U31" i="36"/>
  <c r="H25" i="37"/>
  <c r="F25" i="37"/>
  <c r="U8" i="39"/>
  <c r="AB8" i="39"/>
  <c r="BL503" i="3"/>
  <c r="AZ503" i="3" s="1"/>
  <c r="BL515" i="3"/>
  <c r="AZ515" i="3" s="1"/>
  <c r="BL523" i="3"/>
  <c r="AZ523" i="3" s="1"/>
  <c r="BL527" i="3"/>
  <c r="BL547" i="3"/>
  <c r="AZ547" i="3" s="1"/>
  <c r="BL569" i="3"/>
  <c r="AZ569" i="3" s="1"/>
  <c r="BL557" i="3"/>
  <c r="AZ557" i="3" s="1"/>
  <c r="AC9" i="34"/>
  <c r="W9" i="34"/>
  <c r="S9" i="40"/>
  <c r="AA9" i="40"/>
  <c r="AZ419" i="3"/>
  <c r="E19" i="6"/>
  <c r="K6" i="1" s="1"/>
  <c r="BL432" i="3"/>
  <c r="AZ432" i="3" s="1"/>
  <c r="BL435" i="3"/>
  <c r="AZ435" i="3" s="1"/>
  <c r="BL436" i="3"/>
  <c r="G449"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4" i="3"/>
  <c r="BA436" i="3"/>
  <c r="AZ217" i="3"/>
  <c r="AZ228" i="3"/>
  <c r="H5" i="3"/>
  <c r="BA13" i="3"/>
  <c r="A15" i="62"/>
  <c r="B61" i="72"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G445" i="3"/>
  <c r="AZ448" i="3"/>
  <c r="AZ476" i="3"/>
  <c r="S31" i="35"/>
  <c r="G587" i="3"/>
  <c r="BA551" i="3"/>
  <c r="AZ551" i="3" s="1"/>
  <c r="BA550" i="3"/>
  <c r="AZ550" i="3" s="1"/>
  <c r="BL548" i="3"/>
  <c r="AZ548" i="3" s="1"/>
  <c r="BA401" i="3"/>
  <c r="AZ401" i="3" s="1"/>
  <c r="BA403" i="3"/>
  <c r="AZ403" i="3" s="1"/>
  <c r="BA404" i="3"/>
  <c r="BA405" i="3"/>
  <c r="AZ405" i="3" s="1"/>
  <c r="BL410" i="3"/>
  <c r="G412" i="3"/>
  <c r="G418" i="3"/>
  <c r="BA422" i="3"/>
  <c r="AZ422" i="3" s="1"/>
  <c r="G429" i="3"/>
  <c r="BL431" i="3"/>
  <c r="G433" i="3"/>
  <c r="BL434" i="3"/>
  <c r="BA438" i="3"/>
  <c r="BA451" i="3"/>
  <c r="AZ451" i="3" s="1"/>
  <c r="AZ458" i="3"/>
  <c r="AZ462" i="3"/>
  <c r="BA210" i="3"/>
  <c r="AZ210" i="3" s="1"/>
  <c r="BL210" i="3"/>
  <c r="BL212" i="3"/>
  <c r="BL214" i="3"/>
  <c r="AZ214" i="3" s="1"/>
  <c r="BL225" i="3"/>
  <c r="G443" i="3"/>
  <c r="BA446" i="3"/>
  <c r="BA450" i="3"/>
  <c r="BA453" i="3"/>
  <c r="AZ453" i="3" s="1"/>
  <c r="BA455" i="3"/>
  <c r="AZ455" i="3" s="1"/>
  <c r="BL457" i="3"/>
  <c r="BL460" i="3"/>
  <c r="BL461" i="3"/>
  <c r="BL463" i="3"/>
  <c r="BA471" i="3"/>
  <c r="AZ471" i="3" s="1"/>
  <c r="BL317" i="3"/>
  <c r="BA349" i="3"/>
  <c r="AZ349" i="3" s="1"/>
  <c r="BA353" i="3"/>
  <c r="BL353" i="3"/>
  <c r="BA358" i="3"/>
  <c r="AZ358" i="3" s="1"/>
  <c r="BA368" i="3"/>
  <c r="AZ368" i="3" s="1"/>
  <c r="BL368" i="3"/>
  <c r="BA388" i="3"/>
  <c r="AZ388" i="3" s="1"/>
  <c r="BA396" i="3"/>
  <c r="BA209" i="3"/>
  <c r="BL217" i="3"/>
  <c r="BA219" i="3"/>
  <c r="AZ219" i="3" s="1"/>
  <c r="BA221" i="3"/>
  <c r="BA223" i="3"/>
  <c r="BL228" i="3"/>
  <c r="BL234" i="3"/>
  <c r="AZ239" i="3"/>
  <c r="BL239" i="3"/>
  <c r="BL437" i="3"/>
  <c r="AZ437" i="3" s="1"/>
  <c r="G440" i="3"/>
  <c r="BL441" i="3"/>
  <c r="BL442" i="3"/>
  <c r="BL444" i="3"/>
  <c r="AZ444" i="3" s="1"/>
  <c r="G447" i="3"/>
  <c r="BL448" i="3"/>
  <c r="G451" i="3"/>
  <c r="BA454" i="3"/>
  <c r="AZ454" i="3" s="1"/>
  <c r="BA457" i="3"/>
  <c r="AZ457" i="3" s="1"/>
  <c r="BA459" i="3"/>
  <c r="AZ459" i="3" s="1"/>
  <c r="BA460" i="3"/>
  <c r="BA461" i="3"/>
  <c r="BL464" i="3"/>
  <c r="BL466" i="3"/>
  <c r="AZ466" i="3" s="1"/>
  <c r="G469" i="3"/>
  <c r="BL476" i="3"/>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2" i="3"/>
  <c r="BA238" i="3"/>
  <c r="AZ177"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G236" i="3"/>
  <c r="AZ270" i="3"/>
  <c r="BA243" i="3"/>
  <c r="AZ243" i="3" s="1"/>
  <c r="BL248" i="3"/>
  <c r="AZ248" i="3" s="1"/>
  <c r="BL250" i="3"/>
  <c r="AZ250" i="3" s="1"/>
  <c r="BA259" i="3"/>
  <c r="AZ259" i="3" s="1"/>
  <c r="BL261" i="3"/>
  <c r="BA263" i="3"/>
  <c r="BL157" i="3"/>
  <c r="AZ157" i="3" s="1"/>
  <c r="BL159" i="3"/>
  <c r="AZ159" i="3" s="1"/>
  <c r="BL177" i="3"/>
  <c r="BL183" i="3"/>
  <c r="AZ183" i="3" s="1"/>
  <c r="BA186" i="3"/>
  <c r="AZ186" i="3" s="1"/>
  <c r="BA190" i="3"/>
  <c r="AZ190" i="3" s="1"/>
  <c r="BA197" i="3"/>
  <c r="AZ197" i="3" s="1"/>
  <c r="BL201" i="3"/>
  <c r="AZ201" i="3" s="1"/>
  <c r="BL203" i="3"/>
  <c r="BA204" i="3"/>
  <c r="AZ204" i="3" s="1"/>
  <c r="BA18" i="3"/>
  <c r="AZ18" i="3" s="1"/>
  <c r="BL21" i="3"/>
  <c r="G23" i="3"/>
  <c r="G29" i="3"/>
  <c r="BL29" i="3"/>
  <c r="G33" i="3"/>
  <c r="G34" i="3"/>
  <c r="BA37" i="3"/>
  <c r="G39" i="3"/>
  <c r="BL39" i="3"/>
  <c r="AZ39" i="3" s="1"/>
  <c r="G43" i="3"/>
  <c r="G44" i="3"/>
  <c r="BA45" i="3"/>
  <c r="BA46" i="3"/>
  <c r="BA50" i="3"/>
  <c r="BL54" i="3"/>
  <c r="BA63" i="3"/>
  <c r="BL68" i="3"/>
  <c r="BA69" i="3"/>
  <c r="AZ69" i="3" s="1"/>
  <c r="BA77" i="3"/>
  <c r="AZ77" i="3" s="1"/>
  <c r="BL82" i="3"/>
  <c r="BA84" i="3"/>
  <c r="BL96" i="3"/>
  <c r="V24" i="71"/>
  <c r="E23" i="71"/>
  <c r="E22" i="71" s="1"/>
  <c r="E21" i="71" s="1"/>
  <c r="E20" i="71" s="1"/>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A29" i="3"/>
  <c r="AZ38" i="3"/>
  <c r="BA56" i="3"/>
  <c r="BA60" i="3"/>
  <c r="C44" i="71"/>
  <c r="D43" i="71"/>
  <c r="C52" i="71"/>
  <c r="D51" i="71"/>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BA28" i="3"/>
  <c r="AZ28" i="3" s="1"/>
  <c r="BA31" i="3"/>
  <c r="AZ31" i="3" s="1"/>
  <c r="BA32" i="3"/>
  <c r="G38" i="3"/>
  <c r="BA38" i="3"/>
  <c r="BA41" i="3"/>
  <c r="BA42" i="3"/>
  <c r="G47" i="3"/>
  <c r="BA48" i="3"/>
  <c r="BA49" i="3"/>
  <c r="BL50" i="3"/>
  <c r="BL51" i="3"/>
  <c r="AZ51" i="3" s="1"/>
  <c r="BL53" i="3"/>
  <c r="AZ64" i="3"/>
  <c r="BA75" i="3"/>
  <c r="AZ75" i="3" s="1"/>
  <c r="C47" i="71"/>
  <c r="D47" i="71" s="1"/>
  <c r="D46" i="71"/>
  <c r="BL266" i="3"/>
  <c r="BA268" i="3"/>
  <c r="BL273" i="3"/>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27" i="3"/>
  <c r="BL30" i="3"/>
  <c r="BL40" i="3"/>
  <c r="BL41" i="3"/>
  <c r="BL45" i="3"/>
  <c r="BL49" i="3"/>
  <c r="BL55" i="3"/>
  <c r="AZ55" i="3" s="1"/>
  <c r="BA59" i="3"/>
  <c r="AZ59" i="3" s="1"/>
  <c r="BL61" i="3"/>
  <c r="BA66" i="3"/>
  <c r="BL76" i="3"/>
  <c r="BL88" i="3"/>
  <c r="AZ88" i="3" s="1"/>
  <c r="BL90" i="3"/>
  <c r="BA92" i="3"/>
  <c r="BA95" i="3"/>
  <c r="BL97" i="3"/>
  <c r="AZ97" i="3" s="1"/>
  <c r="D31" i="71"/>
  <c r="C32" i="71"/>
  <c r="C55" i="71"/>
  <c r="D54" i="71"/>
  <c r="N67" i="71"/>
  <c r="B66" i="71"/>
  <c r="F66" i="71"/>
  <c r="Q67" i="71"/>
  <c r="BL56" i="3"/>
  <c r="BA58" i="3"/>
  <c r="AZ58" i="3" s="1"/>
  <c r="BL59" i="3"/>
  <c r="BL60" i="3"/>
  <c r="BA61" i="3"/>
  <c r="AZ61" i="3" s="1"/>
  <c r="BA68" i="3"/>
  <c r="BA73" i="3"/>
  <c r="BA80" i="3"/>
  <c r="G84" i="3"/>
  <c r="BL84" i="3"/>
  <c r="BA89" i="3"/>
  <c r="G99" i="3"/>
  <c r="G103" i="3"/>
  <c r="BA103" i="3"/>
  <c r="AZ103" i="3" s="1"/>
  <c r="BA104" i="3"/>
  <c r="BA106" i="3"/>
  <c r="BL108" i="3"/>
  <c r="AZ108" i="3" s="1"/>
  <c r="G110" i="3"/>
  <c r="BL111" i="3"/>
  <c r="C40" i="68"/>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1" i="3"/>
  <c r="AZ101" i="3" s="1"/>
  <c r="BL112"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49" i="3"/>
  <c r="G50" i="3"/>
  <c r="G52" i="3"/>
  <c r="BA52" i="3"/>
  <c r="AZ52" i="3" s="1"/>
  <c r="BA53" i="3"/>
  <c r="AZ53" i="3" s="1"/>
  <c r="BA54" i="3"/>
  <c r="BL57" i="3"/>
  <c r="AZ57" i="3" s="1"/>
  <c r="G59" i="3"/>
  <c r="G62" i="3"/>
  <c r="BL62" i="3"/>
  <c r="AZ62" i="3" s="1"/>
  <c r="BL63" i="3"/>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21" i="68"/>
  <c r="AB21" i="33"/>
  <c r="S21" i="34"/>
  <c r="B88" i="43"/>
  <c r="F8" i="1"/>
  <c r="G8" i="1" s="1"/>
  <c r="G44" i="43"/>
  <c r="AB28" i="71"/>
  <c r="AB33" i="71"/>
  <c r="AA30" i="71"/>
  <c r="E35" i="71"/>
  <c r="E36" i="71" s="1"/>
  <c r="U36" i="71" s="1"/>
  <c r="AB31" i="71"/>
  <c r="AA36" i="71"/>
  <c r="B47" i="71"/>
  <c r="B48" i="71" s="1"/>
  <c r="S48" i="71" s="1"/>
  <c r="H69" i="43"/>
  <c r="C40" i="69"/>
  <c r="E19" i="68"/>
  <c r="G22" i="68"/>
  <c r="G22" i="69"/>
  <c r="G22" i="11"/>
  <c r="E1" i="73"/>
  <c r="G16" i="3"/>
  <c r="BL15" i="3"/>
  <c r="AZ15" i="3" s="1"/>
  <c r="AZ14" i="3"/>
  <c r="BL16" i="3"/>
  <c r="AZ16"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K14"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1" i="6"/>
  <c r="E60" i="39"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M29" i="82"/>
  <c r="M8" i="15"/>
  <c r="F38" i="15"/>
  <c r="M24" i="67"/>
  <c r="D5" i="73"/>
  <c r="F26" i="15"/>
  <c r="F37" i="15"/>
  <c r="F38" i="67"/>
  <c r="M8" i="67"/>
  <c r="F43" i="67"/>
  <c r="F43" i="15"/>
  <c r="L48" i="15"/>
  <c r="M29" i="15"/>
  <c r="M6" i="67"/>
  <c r="J15" i="67"/>
  <c r="F7" i="82"/>
  <c r="M23" i="67"/>
  <c r="M26" i="15"/>
  <c r="F7" i="15"/>
  <c r="F43" i="82"/>
  <c r="F8" i="15"/>
  <c r="M29" i="67"/>
  <c r="L48" i="67"/>
  <c r="F6" i="15"/>
  <c r="F8" i="67"/>
  <c r="M22" i="67"/>
  <c r="F36" i="67"/>
  <c r="F42" i="15"/>
  <c r="F9" i="67"/>
  <c r="M28" i="15"/>
  <c r="D6" i="73"/>
  <c r="M28" i="67"/>
  <c r="F16" i="15"/>
  <c r="C76" i="15"/>
  <c r="M9" i="67"/>
  <c r="F37" i="67"/>
  <c r="F13" i="15"/>
  <c r="F6" i="67"/>
  <c r="M22" i="15"/>
  <c r="M6" i="15"/>
  <c r="M24" i="15"/>
  <c r="F36" i="15"/>
  <c r="D3" i="73"/>
  <c r="F26" i="67"/>
  <c r="M23" i="15"/>
  <c r="F16" i="67"/>
  <c r="L47" i="67"/>
  <c r="D7" i="73"/>
  <c r="J15" i="15"/>
  <c r="C76" i="67"/>
  <c r="M9" i="15"/>
  <c r="F42" i="67"/>
  <c r="M26" i="67"/>
  <c r="F40" i="15"/>
  <c r="D4" i="73"/>
  <c r="F9" i="15"/>
  <c r="L47" i="15"/>
  <c r="F40" i="67"/>
  <c r="F13" i="67"/>
  <c r="F7" i="67"/>
  <c r="F71" i="82" l="1"/>
  <c r="F50" i="82"/>
  <c r="C49" i="82" s="1"/>
  <c r="C61" i="82" s="1"/>
  <c r="C6" i="82"/>
  <c r="M7" i="82"/>
  <c r="J6" i="82" s="1"/>
  <c r="E10" i="6"/>
  <c r="M6" i="1"/>
  <c r="C44" i="43"/>
  <c r="F1" i="82"/>
  <c r="Q52" i="82"/>
  <c r="Q57" i="82"/>
  <c r="Q66" i="82"/>
  <c r="Q60" i="82"/>
  <c r="Q73" i="82"/>
  <c r="O6" i="1"/>
  <c r="M11" i="82"/>
  <c r="J10" i="82" s="1"/>
  <c r="F11" i="82"/>
  <c r="F66" i="15"/>
  <c r="F64" i="15"/>
  <c r="F68" i="15"/>
  <c r="J53" i="15"/>
  <c r="L56" i="15" s="1"/>
  <c r="I54" i="15"/>
  <c r="J57" i="15"/>
  <c r="J55" i="15" s="1"/>
  <c r="J58" i="15" s="1"/>
  <c r="Q50" i="15" s="1"/>
  <c r="C27" i="15"/>
  <c r="F51" i="15"/>
  <c r="L58" i="15"/>
  <c r="L59" i="15"/>
  <c r="Q74" i="15" s="1"/>
  <c r="N59" i="15"/>
  <c r="M59" i="15"/>
  <c r="F51" i="67"/>
  <c r="E59" i="40"/>
  <c r="J26" i="43"/>
  <c r="H16" i="1"/>
  <c r="E29" i="6"/>
  <c r="K15" i="1" s="1"/>
  <c r="K16" i="1" s="1"/>
  <c r="Q16" i="1"/>
  <c r="F27" i="69" s="1"/>
  <c r="C47" i="69" s="1"/>
  <c r="D45" i="69" s="1"/>
  <c r="G16" i="1"/>
  <c r="F10" i="39" s="1"/>
  <c r="J7" i="36"/>
  <c r="F71" i="15"/>
  <c r="F64" i="67"/>
  <c r="C27" i="67"/>
  <c r="Q71" i="67"/>
  <c r="C6" i="67"/>
  <c r="C32" i="67" s="1"/>
  <c r="F68" i="67"/>
  <c r="F66" i="67"/>
  <c r="J53" i="67"/>
  <c r="F1" i="67" s="1"/>
  <c r="L56" i="67"/>
  <c r="I54" i="67"/>
  <c r="J57" i="67"/>
  <c r="J55" i="67" s="1"/>
  <c r="J58" i="67" s="1"/>
  <c r="Q50" i="67" s="1"/>
  <c r="M59" i="67"/>
  <c r="N59" i="67"/>
  <c r="L59" i="67"/>
  <c r="Q61" i="67" s="1"/>
  <c r="L58" i="67"/>
  <c r="Q60" i="67" s="1"/>
  <c r="F65" i="67"/>
  <c r="Q71" i="15"/>
  <c r="M7" i="67"/>
  <c r="J6" i="67" s="1"/>
  <c r="J18" i="67" s="1"/>
  <c r="F50" i="67"/>
  <c r="M7" i="15"/>
  <c r="J6" i="15" s="1"/>
  <c r="J18" i="15" s="1"/>
  <c r="C6" i="15"/>
  <c r="C32" i="15" s="1"/>
  <c r="F50" i="15"/>
  <c r="F65" i="15"/>
  <c r="F71" i="67"/>
  <c r="F30" i="6"/>
  <c r="D83" i="71"/>
  <c r="C82" i="71"/>
  <c r="D82" i="71" s="1"/>
  <c r="O65" i="71"/>
  <c r="D66" i="71"/>
  <c r="O66" i="71"/>
  <c r="N65" i="71"/>
  <c r="N66" i="71"/>
  <c r="T32" i="71"/>
  <c r="D32" i="71"/>
  <c r="AZ66" i="3"/>
  <c r="AZ25" i="3"/>
  <c r="AZ84" i="3"/>
  <c r="AZ464" i="3"/>
  <c r="AZ238" i="3"/>
  <c r="AZ460" i="3"/>
  <c r="AZ223" i="3"/>
  <c r="AZ425" i="3"/>
  <c r="AA27" i="21"/>
  <c r="S27" i="21"/>
  <c r="U14" i="40"/>
  <c r="AB14" i="40"/>
  <c r="AA37" i="39"/>
  <c r="S37" i="39"/>
  <c r="AC43" i="39"/>
  <c r="W43" i="39"/>
  <c r="S34" i="36"/>
  <c r="AA34" i="36"/>
  <c r="AC9" i="36"/>
  <c r="W9" i="36"/>
  <c r="AB27" i="37"/>
  <c r="U27" i="37"/>
  <c r="AA32" i="34"/>
  <c r="S32" i="34"/>
  <c r="S45" i="33"/>
  <c r="AA45" i="33"/>
  <c r="AB12" i="39"/>
  <c r="U12" i="39"/>
  <c r="AZ524" i="3"/>
  <c r="AZ527" i="3"/>
  <c r="AZ579" i="3"/>
  <c r="AC31" i="40"/>
  <c r="W31" i="40"/>
  <c r="AC29" i="21"/>
  <c r="W29" i="21"/>
  <c r="W44" i="39"/>
  <c r="AC44" i="39"/>
  <c r="AB32" i="36"/>
  <c r="U32" i="36"/>
  <c r="W14" i="21"/>
  <c r="AC14" i="21"/>
  <c r="J7" i="37"/>
  <c r="C40" i="71"/>
  <c r="D39" i="71"/>
  <c r="AZ27" i="3"/>
  <c r="D44" i="71"/>
  <c r="T44" i="71"/>
  <c r="AZ150" i="3"/>
  <c r="AZ63" i="3"/>
  <c r="AZ45" i="3"/>
  <c r="AZ263" i="3"/>
  <c r="AZ415" i="3"/>
  <c r="AZ398" i="3"/>
  <c r="AC27" i="21"/>
  <c r="W27" i="21"/>
  <c r="S14" i="40"/>
  <c r="AA14" i="40"/>
  <c r="AC37" i="39"/>
  <c r="W37" i="39"/>
  <c r="W31" i="39"/>
  <c r="AC31" i="39"/>
  <c r="AB34" i="36"/>
  <c r="U34" i="36"/>
  <c r="AZ584" i="3"/>
  <c r="AB38" i="40"/>
  <c r="U38" i="40"/>
  <c r="W12" i="35"/>
  <c r="AC12" i="35"/>
  <c r="S14" i="34"/>
  <c r="AA14" i="34"/>
  <c r="AZ530" i="3"/>
  <c r="AZ570" i="3"/>
  <c r="AZ587" i="3"/>
  <c r="AB44" i="39"/>
  <c r="U44" i="39"/>
  <c r="AA32" i="36"/>
  <c r="S32" i="36"/>
  <c r="G5" i="3"/>
  <c r="B3" i="3" s="1"/>
  <c r="E510" i="3" s="1"/>
  <c r="C70" i="71"/>
  <c r="D70" i="71" s="1"/>
  <c r="D71" i="71"/>
  <c r="C36" i="71"/>
  <c r="D35" i="71"/>
  <c r="AA25" i="37"/>
  <c r="S25" i="37"/>
  <c r="AB26" i="33"/>
  <c r="U26" i="33"/>
  <c r="U43" i="39"/>
  <c r="AB43" i="39"/>
  <c r="AB31" i="39"/>
  <c r="U31" i="39"/>
  <c r="AC12" i="36"/>
  <c r="W12" i="36"/>
  <c r="S38" i="40"/>
  <c r="AA38" i="40"/>
  <c r="W14" i="34"/>
  <c r="AC14" i="34"/>
  <c r="AC39" i="37"/>
  <c r="W39" i="37"/>
  <c r="U13" i="36"/>
  <c r="AB13" i="36"/>
  <c r="AZ568" i="3"/>
  <c r="S12" i="39"/>
  <c r="AA12" i="39"/>
  <c r="S13" i="36"/>
  <c r="AA13" i="36"/>
  <c r="U14" i="21"/>
  <c r="AB14" i="21"/>
  <c r="G30" i="6"/>
  <c r="G31" i="6" s="1"/>
  <c r="T28" i="71"/>
  <c r="D28" i="71"/>
  <c r="U28" i="71" s="1"/>
  <c r="C27" i="71"/>
  <c r="D79" i="71"/>
  <c r="C78" i="71"/>
  <c r="D78" i="71" s="1"/>
  <c r="C56" i="71"/>
  <c r="D55" i="71"/>
  <c r="AZ302" i="3"/>
  <c r="AZ277" i="3"/>
  <c r="AZ49" i="3"/>
  <c r="AZ41" i="3"/>
  <c r="AZ20" i="3"/>
  <c r="T52" i="71"/>
  <c r="D52" i="71"/>
  <c r="AZ29" i="3"/>
  <c r="AZ273" i="3"/>
  <c r="AZ50" i="3"/>
  <c r="AZ332" i="3"/>
  <c r="AZ461" i="3"/>
  <c r="AZ353" i="3"/>
  <c r="AZ404" i="3"/>
  <c r="AP6" i="1"/>
  <c r="C36" i="69" s="1"/>
  <c r="U25" i="37"/>
  <c r="AB25" i="37"/>
  <c r="S26" i="33"/>
  <c r="AA26" i="33"/>
  <c r="AA43" i="39"/>
  <c r="S43" i="39"/>
  <c r="U12" i="36"/>
  <c r="AB12" i="36"/>
  <c r="AA27" i="37"/>
  <c r="S27" i="37"/>
  <c r="W32" i="34"/>
  <c r="AC32" i="34"/>
  <c r="U45" i="33"/>
  <c r="AB45" i="33"/>
  <c r="U31" i="40"/>
  <c r="AB31" i="40"/>
  <c r="U29" i="21"/>
  <c r="AB29" i="21"/>
  <c r="AA44" i="39"/>
  <c r="S44" i="39"/>
  <c r="AC12" i="39"/>
  <c r="W12" i="39"/>
  <c r="S14" i="21"/>
  <c r="AA14" i="21"/>
  <c r="G26" i="43"/>
  <c r="N94" i="46"/>
  <c r="N370" i="46"/>
  <c r="P6" i="1"/>
  <c r="C13" i="12" s="1"/>
  <c r="F26" i="43"/>
  <c r="E26" i="43"/>
  <c r="K1" i="73"/>
  <c r="E539" i="3"/>
  <c r="E575" i="3"/>
  <c r="E502" i="3"/>
  <c r="E466" i="3"/>
  <c r="E255" i="3"/>
  <c r="E554" i="3"/>
  <c r="E517" i="3"/>
  <c r="E479" i="3"/>
  <c r="E56" i="3"/>
  <c r="E95" i="3"/>
  <c r="E241" i="3"/>
  <c r="E292" i="3"/>
  <c r="E389" i="3"/>
  <c r="E76" i="3"/>
  <c r="E484" i="3"/>
  <c r="E425" i="3"/>
  <c r="E103" i="3"/>
  <c r="E267" i="3"/>
  <c r="E249" i="3"/>
  <c r="E492" i="3"/>
  <c r="E23" i="3"/>
  <c r="E33"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43" i="3"/>
  <c r="E428" i="3"/>
  <c r="E78" i="3"/>
  <c r="E190" i="3"/>
  <c r="E342" i="3"/>
  <c r="E35" i="3"/>
  <c r="E49" i="3"/>
  <c r="E80" i="3"/>
  <c r="E158" i="3"/>
  <c r="E83" i="3"/>
  <c r="E16" i="3"/>
  <c r="E223" i="3"/>
  <c r="E116"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Q60" i="15"/>
  <c r="Q73" i="15"/>
  <c r="AE11" i="1"/>
  <c r="AE9" i="1"/>
  <c r="AE8" i="1"/>
  <c r="AE12" i="1"/>
  <c r="AE10" i="1"/>
  <c r="C16" i="67"/>
  <c r="C16" i="82"/>
  <c r="F41" i="67"/>
  <c r="C16" i="15"/>
  <c r="G1" i="73"/>
  <c r="J19" i="82" l="1"/>
  <c r="J18" i="82"/>
  <c r="F27" i="68"/>
  <c r="C29" i="68" s="1"/>
  <c r="D27" i="68" s="1"/>
  <c r="C33" i="82"/>
  <c r="C32" i="82"/>
  <c r="F28" i="12"/>
  <c r="C29" i="12" s="1"/>
  <c r="D28" i="12" s="1"/>
  <c r="F27" i="11"/>
  <c r="C29" i="11" s="1"/>
  <c r="D27" i="11" s="1"/>
  <c r="J5" i="82"/>
  <c r="J26" i="82" s="1"/>
  <c r="Q61" i="15"/>
  <c r="C49" i="67"/>
  <c r="C53" i="82"/>
  <c r="C48" i="82" s="1"/>
  <c r="C10" i="82"/>
  <c r="C5" i="82" s="1"/>
  <c r="C29" i="69"/>
  <c r="D27" i="69" s="1"/>
  <c r="Q52" i="15"/>
  <c r="F1" i="15"/>
  <c r="C49" i="15"/>
  <c r="Q52" i="67"/>
  <c r="J5" i="15"/>
  <c r="J24" i="15" s="1"/>
  <c r="E105" i="3"/>
  <c r="E329" i="3"/>
  <c r="E370" i="3"/>
  <c r="E220" i="3"/>
  <c r="E356" i="3"/>
  <c r="E104" i="3"/>
  <c r="E497" i="3"/>
  <c r="E512" i="3"/>
  <c r="E534" i="3"/>
  <c r="E22" i="3"/>
  <c r="AF6" i="3"/>
  <c r="E522" i="3"/>
  <c r="E18" i="3"/>
  <c r="E391" i="3"/>
  <c r="E21" i="3"/>
  <c r="E63" i="3"/>
  <c r="E144" i="3"/>
  <c r="E310" i="3"/>
  <c r="E64" i="3"/>
  <c r="E544" i="3"/>
  <c r="E192" i="3"/>
  <c r="E435" i="3"/>
  <c r="E449" i="3"/>
  <c r="E286"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67" i="3"/>
  <c r="E300" i="3"/>
  <c r="E46" i="3"/>
  <c r="E409" i="3"/>
  <c r="E363" i="3"/>
  <c r="E152" i="3"/>
  <c r="E417" i="3"/>
  <c r="I3" i="6"/>
  <c r="E442" i="3"/>
  <c r="E212" i="3"/>
  <c r="Q74" i="67"/>
  <c r="J5" i="67"/>
  <c r="J24" i="67" s="1"/>
  <c r="Q73" i="67"/>
  <c r="E184" i="3"/>
  <c r="E84" i="3"/>
  <c r="E371" i="3"/>
  <c r="E160" i="3"/>
  <c r="E467" i="3"/>
  <c r="E59" i="3"/>
  <c r="E349" i="3"/>
  <c r="E258" i="3"/>
  <c r="E37" i="3"/>
  <c r="E491" i="3"/>
  <c r="AP6" i="3"/>
  <c r="AC6" i="3" s="1"/>
  <c r="E430" i="3"/>
  <c r="E499" i="3"/>
  <c r="E536" i="3"/>
  <c r="D36" i="71"/>
  <c r="T36" i="71"/>
  <c r="E541" i="3"/>
  <c r="R6" i="3"/>
  <c r="E199" i="3"/>
  <c r="C26" i="71"/>
  <c r="D26" i="71" s="1"/>
  <c r="D27" i="71"/>
  <c r="T40" i="71"/>
  <c r="D40" i="71"/>
  <c r="D56" i="71"/>
  <c r="T56" i="71"/>
  <c r="D26" i="43"/>
  <c r="C25" i="43" s="1"/>
  <c r="C33" i="43" s="1"/>
  <c r="H6" i="3"/>
  <c r="E3" i="6"/>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7" i="82"/>
  <c r="AE7" i="1"/>
  <c r="AE6" i="1"/>
  <c r="M27" i="67"/>
  <c r="M27" i="15"/>
  <c r="C47" i="68" l="1"/>
  <c r="D45" i="68" s="1"/>
  <c r="F45" i="68"/>
  <c r="J24" i="82"/>
  <c r="C48" i="67"/>
  <c r="C66" i="67" s="1"/>
  <c r="C24" i="82"/>
  <c r="C38" i="82"/>
  <c r="C66" i="82"/>
  <c r="C60" i="82"/>
  <c r="C48" i="15"/>
  <c r="C66" i="15" s="1"/>
  <c r="L36" i="43"/>
  <c r="L37" i="43" s="1"/>
  <c r="P37" i="43" s="1"/>
  <c r="E6" i="3"/>
  <c r="B1" i="74"/>
  <c r="F22" i="68"/>
  <c r="C44" i="68" s="1"/>
  <c r="D41" i="68" s="1"/>
  <c r="D116" i="43"/>
  <c r="E49" i="34"/>
  <c r="I54" i="34" s="1"/>
  <c r="J54" i="34" s="1"/>
  <c r="F24" i="15"/>
  <c r="C24" i="15" s="1"/>
  <c r="F24" i="67"/>
  <c r="C24" i="67" s="1"/>
  <c r="F25" i="12"/>
  <c r="C26" i="12" s="1"/>
  <c r="D25" i="12" s="1"/>
  <c r="F22" i="69"/>
  <c r="F41" i="69" s="1"/>
  <c r="F22" i="11"/>
  <c r="C24" i="11"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F41" i="15"/>
  <c r="F41" i="82"/>
  <c r="C17" i="67"/>
  <c r="C17" i="15"/>
  <c r="C14" i="82"/>
  <c r="C14" i="67"/>
  <c r="C60" i="67" l="1"/>
  <c r="F69" i="15"/>
  <c r="O36" i="43"/>
  <c r="C18" i="82"/>
  <c r="C15" i="82"/>
  <c r="F69" i="82"/>
  <c r="J29" i="82"/>
  <c r="C60" i="15"/>
  <c r="M37" i="43"/>
  <c r="Q36" i="43"/>
  <c r="O37" i="43"/>
  <c r="N36" i="43"/>
  <c r="Q37" i="43"/>
  <c r="P36" i="43"/>
  <c r="N37" i="43"/>
  <c r="M36" i="43"/>
  <c r="F41" i="68"/>
  <c r="H24" i="6"/>
  <c r="E54" i="34"/>
  <c r="F54" i="34" s="1"/>
  <c r="M19" i="9"/>
  <c r="C118" i="9" s="1"/>
  <c r="D30" i="6"/>
  <c r="C26" i="68"/>
  <c r="D22" i="68" s="1"/>
  <c r="H25" i="6"/>
  <c r="C26" i="11"/>
  <c r="D22" i="11" s="1"/>
  <c r="C23" i="11"/>
  <c r="C44" i="11"/>
  <c r="D41" i="11"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9" i="82" l="1"/>
  <c r="C20" i="82" s="1"/>
  <c r="C18" i="12"/>
  <c r="D31" i="6"/>
  <c r="C14" i="74"/>
  <c r="B2" i="74" s="1"/>
  <c r="B3" i="43"/>
  <c r="C7" i="68"/>
  <c r="C5" i="68" s="1"/>
  <c r="C23" i="68" s="1"/>
  <c r="C22" i="11"/>
  <c r="C31" i="1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6" i="82" l="1"/>
  <c r="C23" i="82"/>
  <c r="C29" i="82" s="1"/>
  <c r="C57" i="82" s="1"/>
  <c r="C64" i="82" s="1"/>
  <c r="C21" i="12"/>
  <c r="C22" i="12" s="1"/>
  <c r="C30" i="12" s="1"/>
  <c r="C28" i="12" s="1"/>
  <c r="D8" i="74"/>
  <c r="D7" i="74"/>
  <c r="U16" i="71"/>
  <c r="M23"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14" i="82" l="1"/>
  <c r="J22" i="82" s="1"/>
  <c r="C27" i="12"/>
  <c r="C25" i="12" s="1"/>
  <c r="C32" i="12" s="1"/>
  <c r="B2" i="12" s="1"/>
  <c r="B3" i="12" s="1"/>
  <c r="J59" i="82"/>
  <c r="J60" i="82" s="1"/>
  <c r="Q48" i="82" s="1"/>
  <c r="Q49" i="82"/>
  <c r="C36" i="82"/>
  <c r="C13" i="82"/>
  <c r="C56" i="82" s="1"/>
  <c r="C65" i="82" s="1"/>
  <c r="J13" i="82"/>
  <c r="J23" i="8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82"/>
  <c r="M21" i="82"/>
  <c r="M21" i="67"/>
  <c r="M21" i="15"/>
  <c r="F35" i="15"/>
  <c r="F35" i="67"/>
  <c r="L46" i="82" l="1"/>
  <c r="C37" i="82"/>
  <c r="C75" i="82"/>
  <c r="Q70" i="82"/>
  <c r="J20" i="82"/>
  <c r="J17" i="82" s="1"/>
  <c r="J16" i="82" s="1"/>
  <c r="J25" i="82" s="1"/>
  <c r="C34" i="82"/>
  <c r="C31" i="82" s="1"/>
  <c r="C30" i="82" s="1"/>
  <c r="C39" i="82" s="1"/>
  <c r="F63" i="82"/>
  <c r="C62" i="82" s="1"/>
  <c r="C59" i="82" s="1"/>
  <c r="C58" i="82" s="1"/>
  <c r="C67" i="82" s="1"/>
  <c r="C68" i="82" s="1"/>
  <c r="C71"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51" i="68" l="1"/>
  <c r="C52" i="68" s="1"/>
  <c r="B2" i="68" s="1"/>
  <c r="B3" i="68" s="1"/>
  <c r="D13" i="77"/>
  <c r="D12" i="77" s="1"/>
  <c r="D11" i="77" s="1"/>
  <c r="Q67" i="82"/>
  <c r="I39" i="82"/>
  <c r="C80" i="82"/>
  <c r="C79" i="82" s="1"/>
  <c r="Q69" i="82"/>
  <c r="Q68" i="82" s="1"/>
  <c r="C40" i="82"/>
  <c r="C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D2" i="21"/>
  <c r="D35" i="9"/>
  <c r="D34" i="9"/>
  <c r="C21" i="9" l="1"/>
  <c r="C102" i="9"/>
  <c r="E11" i="77"/>
  <c r="E7" i="77" s="1"/>
  <c r="C27" i="77" s="1"/>
  <c r="D7" i="77"/>
  <c r="C26" i="77" s="1"/>
  <c r="C32" i="77" s="1"/>
  <c r="C38" i="77" s="1"/>
  <c r="C39" i="77" s="1"/>
  <c r="C40" i="77" s="1"/>
  <c r="Q47" i="82"/>
  <c r="Q53" i="82" s="1"/>
  <c r="C43" i="82"/>
  <c r="B2" i="82"/>
  <c r="B3" i="82" s="1"/>
  <c r="Q56" i="82"/>
  <c r="Q62" i="82" s="1"/>
  <c r="Q65" i="82"/>
  <c r="Q75" i="82" s="1"/>
  <c r="C83" i="82"/>
  <c r="C82" i="82" s="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B2" i="77" l="1"/>
  <c r="B3" i="77" s="1"/>
  <c r="C41" i="77"/>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C7" i="71" l="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G19" i="9" l="1"/>
  <c r="G21" i="9" s="1"/>
  <c r="D102" i="9"/>
  <c r="D21" i="9"/>
  <c r="D22" i="9"/>
  <c r="B3" i="70"/>
  <c r="D6" i="71"/>
  <c r="C5" i="71"/>
  <c r="D5" i="71" s="1"/>
  <c r="M24" i="43" s="1"/>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H4" i="52" l="1"/>
  <c r="D14" i="74"/>
  <c r="G14" i="74" s="1"/>
  <c r="B6" i="74" s="1"/>
  <c r="D6" i="74" s="1"/>
  <c r="I118" i="9"/>
  <c r="C105" i="9" s="1"/>
  <c r="D4" i="52"/>
  <c r="B47" i="72" s="1"/>
  <c r="F119" i="9"/>
  <c r="F5" i="52" s="1"/>
  <c r="B53" i="72" s="1"/>
  <c r="G118" i="9"/>
  <c r="G4" i="52" s="1"/>
  <c r="B52" i="72" s="1"/>
  <c r="C104" i="9"/>
  <c r="H101" i="9"/>
  <c r="H119" i="9"/>
  <c r="H5" i="52" s="1"/>
  <c r="H102" i="9" l="1"/>
  <c r="D7" i="53" s="1"/>
  <c r="B21" i="72" s="1"/>
  <c r="I4" i="52"/>
  <c r="E14" i="74"/>
  <c r="F14" i="74"/>
  <c r="B5" i="74"/>
  <c r="D5" i="74" s="1"/>
  <c r="E118" i="9"/>
  <c r="E4" i="52" s="1"/>
  <c r="B48" i="72" s="1"/>
  <c r="D5" i="53"/>
  <c r="H107" i="9"/>
  <c r="D45" i="9"/>
  <c r="M48" i="9"/>
  <c r="C5" i="74" l="1"/>
  <c r="B20" i="72"/>
  <c r="D6" i="53"/>
  <c r="B22" i="72" s="1"/>
  <c r="D53" i="9"/>
  <c r="C93" i="9"/>
  <c r="C86" i="9" s="1"/>
  <c r="C85" i="9"/>
  <c r="D52" i="9"/>
  <c r="D55" i="9"/>
  <c r="M53" i="9" s="1"/>
  <c r="C72" i="9"/>
  <c r="C64" i="9"/>
  <c r="C63" i="9" s="1"/>
  <c r="C67" i="9" s="1"/>
  <c r="C78" i="9"/>
  <c r="C73" i="9" s="1"/>
  <c r="D122" i="9"/>
  <c r="H108" i="9"/>
  <c r="D13" i="53"/>
  <c r="C79" i="9" l="1"/>
  <c r="C80" i="9" s="1"/>
  <c r="E80" i="9" s="1"/>
  <c r="E81" i="9" s="1"/>
  <c r="C6" i="74"/>
  <c r="D15" i="53"/>
  <c r="B31" i="72" s="1"/>
  <c r="D123" i="9"/>
  <c r="D9" i="52" s="1"/>
  <c r="D8" i="52"/>
  <c r="D14" i="53"/>
  <c r="B32" i="72" s="1"/>
  <c r="B30" i="72"/>
  <c r="C68" i="9"/>
  <c r="D54" i="9" s="1"/>
  <c r="D59" i="9"/>
  <c r="M55" i="9" s="1"/>
  <c r="C95" i="9"/>
  <c r="C96" i="9" l="1"/>
  <c r="E96" i="9" s="1"/>
  <c r="E97" i="9" s="1"/>
  <c r="C81" i="9"/>
  <c r="C97" i="9" l="1"/>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1D66A3D-26A5-47D9-8B3B-532F6B5711F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BD3BE1B-9E6F-4065-9135-25AB23F7564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3234180-CCA1-490D-95E7-F52DF5989B2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FBFB6C9-9FA3-4103-9243-64CD662EA117}">
      <text>
        <r>
          <rPr>
            <sz val="11"/>
            <color indexed="81"/>
            <rFont val="宋体"/>
            <family val="3"/>
            <charset val="134"/>
          </rPr>
          <t>在建项目均选择“是”</t>
        </r>
      </text>
    </comment>
    <comment ref="F59" authorId="1" shapeId="0" xr:uid="{2BCD8D92-75AC-44B7-BEDB-82B40F509BB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45CC917-CE5A-454E-9D36-DE8109020529}">
      <text>
        <r>
          <rPr>
            <sz val="10"/>
            <color indexed="81"/>
            <rFont val="宋体"/>
            <family val="3"/>
            <charset val="134"/>
          </rPr>
          <t xml:space="preserve">在建
</t>
        </r>
      </text>
    </comment>
    <comment ref="N59" authorId="0" shapeId="0" xr:uid="{81997E06-0742-4E8F-AE8A-CBA241C69B42}">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<sst xmlns="http://schemas.openxmlformats.org/spreadsheetml/2006/main" count="8219" uniqueCount="3415">
  <si>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</si>
  <si>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</si>
  <si>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</si>
  <si>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</si>
  <si>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</si>
  <si>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</si>
  <si>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</si>
  <si>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</si>
  <si>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</si>
  <si>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</si>
  <si>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</si>
  <si>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</si>
  <si>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</si>
  <si>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</si>
  <si>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</si>
  <si>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</si>
  <si>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</si>
  <si>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</si>
  <si>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</si>
  <si>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</si>
  <si>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</si>
  <si>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</si>
  <si>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</si>
  <si>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</si>
  <si>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</si>
  <si>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</si>
  <si>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</si>
  <si>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</si>
  <si>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</si>
  <si>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</si>
  <si>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</si>
  <si>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</si>
  <si>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</si>
  <si>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</si>
  <si>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</si>
  <si>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</si>
  <si>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</si>
  <si>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</si>
  <si>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</si>
  <si>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</si>
  <si>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</si>
  <si>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</si>
  <si>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</si>
  <si>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</si>
  <si>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</si>
  <si>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</si>
  <si>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</si>
  <si>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</si>
  <si>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</si>
  <si>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</si>
  <si>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</si>
  <si>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</si>
  <si>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</si>
  <si>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</si>
  <si>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</si>
  <si>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</si>
  <si>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</si>
  <si>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</si>
  <si>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</si>
  <si>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</si>
  <si>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</si>
  <si>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</si>
  <si>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</si>
  <si>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</si>
  <si>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</si>
  <si>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</si>
  <si>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</si>
  <si>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</si>
  <si>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</si>
  <si>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</si>
  <si>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</si>
  <si>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</si>
  <si>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</si>
  <si>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</si>
  <si>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</si>
  <si>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</si>
  <si>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</si>
  <si>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</si>
  <si>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</si>
  <si>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</si>
  <si>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</si>
  <si>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</si>
  <si>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</si>
  <si>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</si>
  <si>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</si>
  <si>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</si>
  <si>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</si>
  <si>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</si>
  <si>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</si>
  <si>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</si>
  <si>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</si>
  <si>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</si>
  <si>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</si>
  <si>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</si>
  <si>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</si>
  <si>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</si>
  <si>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</si>
  <si>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</si>
  <si>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</si>
  <si>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</si>
  <si>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</si>
  <si>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</si>
  <si>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</si>
  <si>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</si>
  <si>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</si>
  <si>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</si>
  <si>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</si>
  <si>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</si>
  <si>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</si>
  <si>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</si>
  <si>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</si>
  <si>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</si>
  <si>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</si>
  <si>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</si>
  <si>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</si>
  <si>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</si>
  <si>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</si>
  <si>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</si>
  <si>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</si>
  <si>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</si>
  <si>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</si>
  <si>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</si>
  <si>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</si>
  <si>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</si>
  <si>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</si>
  <si>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</si>
  <si>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</si>
  <si>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</si>
  <si>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</si>
  <si>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</si>
  <si>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</si>
  <si>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</si>
  <si>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</si>
  <si>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</si>
  <si>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</si>
  <si>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</si>
  <si>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</si>
  <si>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</si>
  <si>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</si>
  <si>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</si>
  <si>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</si>
  <si>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</si>
  <si>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</si>
  <si>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</si>
  <si>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</si>
  <si>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</si>
  <si>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</si>
  <si>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</si>
  <si>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</si>
  <si>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</si>
  <si>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</si>
  <si>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</si>
  <si>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</si>
  <si>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</si>
  <si>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</si>
  <si>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</si>
  <si>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</si>
  <si>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</si>
  <si>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</si>
  <si>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</si>
  <si>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</si>
  <si>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</si>
  <si>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</si>
  <si>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</si>
  <si>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</si>
  <si>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</si>
  <si>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</si>
  <si>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</si>
  <si>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</si>
  <si>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</si>
  <si>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</si>
  <si>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</si>
  <si>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</si>
  <si>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</si>
  <si>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</si>
  <si>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</si>
  <si>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</si>
  <si>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</si>
  <si>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</si>
  <si>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</si>
  <si>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</si>
  <si>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</si>
  <si>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</si>
  <si>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</si>
  <si>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</si>
  <si>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</si>
  <si>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</si>
  <si>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</si>
  <si>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</si>
  <si>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</si>
  <si>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</si>
  <si>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</si>
  <si>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</si>
  <si>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</si>
  <si>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</si>
  <si>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</si>
  <si>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</si>
  <si>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</si>
  <si>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</si>
  <si>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</si>
  <si>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</si>
  <si>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</si>
  <si>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</si>
  <si>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</si>
  <si>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</si>
  <si>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</si>
  <si>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</si>
  <si>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</si>
  <si>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</si>
  <si>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</si>
  <si>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</si>
  <si>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</si>
  <si>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</si>
  <si>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</si>
  <si>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</si>
  <si>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</si>
  <si>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</si>
  <si>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</si>
  <si>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</si>
  <si>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</si>
  <si>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</si>
  <si>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</si>
  <si>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</si>
  <si>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</si>
  <si>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</si>
  <si>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</si>
  <si>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</si>
  <si>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</si>
  <si>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</si>
  <si>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</si>
  <si>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</si>
  <si>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</si>
  <si>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</si>
  <si>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</si>
  <si>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</si>
  <si>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</si>
  <si>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</si>
  <si>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</si>
  <si>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</si>
  <si>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</si>
  <si>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</si>
  <si>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</si>
  <si>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</si>
  <si>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</si>
  <si>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</si>
  <si>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</si>
  <si>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</si>
  <si>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</si>
  <si>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</si>
  <si>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</si>
  <si>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</si>
  <si>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</si>
  <si>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</si>
  <si>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</si>
  <si>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</si>
  <si>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</si>
  <si>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</si>
  <si>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</si>
  <si>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</si>
  <si>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</si>
  <si>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</si>
  <si>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</si>
  <si>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</si>
  <si>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</si>
  <si>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</si>
  <si>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</si>
  <si>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</si>
  <si>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</si>
  <si>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</si>
  <si>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</si>
  <si>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</si>
  <si>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</si>
  <si>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</si>
  <si>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</si>
  <si>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</si>
  <si>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</si>
  <si>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</si>
  <si>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</si>
  <si>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</si>
  <si>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</si>
  <si>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</si>
  <si>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</si>
  <si>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</si>
  <si>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</si>
  <si>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</si>
  <si>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</si>
  <si>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</si>
  <si>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</si>
  <si>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</si>
  <si>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</si>
  <si>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</si>
  <si>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</si>
  <si>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</si>
  <si>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</si>
  <si>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</si>
  <si>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</si>
  <si>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</si>
  <si>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</si>
  <si>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</si>
  <si>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</si>
  <si>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</si>
  <si>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</si>
  <si>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</si>
  <si>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</si>
  <si>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</si>
  <si>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</si>
  <si>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</si>
  <si>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</si>
  <si>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</si>
  <si>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</si>
  <si>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</si>
  <si>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</si>
  <si>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</si>
  <si>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</si>
  <si>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</si>
  <si>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</si>
  <si>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</si>
  <si>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</si>
  <si>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</si>
  <si>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</si>
  <si>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</si>
  <si>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</si>
  <si>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</si>
  <si>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</si>
  <si>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</si>
  <si>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</si>
  <si>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</si>
  <si>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</si>
  <si>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</si>
  <si>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</si>
  <si>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</si>
  <si>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</si>
  <si>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</si>
  <si>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</si>
  <si>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</si>
  <si>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</si>
  <si>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</si>
  <si>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</si>
  <si>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</si>
  <si>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</si>
  <si>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</si>
  <si>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</si>
  <si>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</si>
  <si>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</si>
  <si>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</si>
  <si>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</si>
  <si>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</si>
  <si>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</si>
  <si>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</si>
  <si>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</si>
  <si>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</si>
  <si>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</si>
  <si>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</si>
  <si>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</si>
  <si>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</si>
  <si>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</si>
  <si>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</si>
  <si>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</si>
  <si>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</si>
  <si>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</si>
  <si>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</si>
  <si>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</si>
  <si>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</si>
  <si>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</si>
  <si>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</si>
  <si>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</si>
  <si>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</si>
  <si>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</si>
  <si>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</si>
  <si>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</si>
  <si>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</si>
  <si>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</si>
  <si>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</si>
  <si>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</si>
  <si>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</si>
  <si>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</si>
  <si>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</si>
  <si>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</si>
  <si>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</si>
  <si>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</si>
  <si>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</si>
  <si>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</si>
  <si>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</si>
  <si>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</si>
  <si>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</si>
  <si>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</si>
  <si>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</si>
  <si>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</si>
  <si>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</si>
  <si>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</si>
  <si>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</si>
  <si>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</si>
  <si>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</si>
  <si>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</si>
  <si>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</si>
  <si>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</si>
  <si>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</si>
  <si>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</si>
  <si>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</si>
  <si>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</si>
  <si>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</si>
  <si>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</si>
  <si>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</si>
  <si>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</si>
  <si>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</si>
  <si>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</si>
  <si>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</si>
  <si>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</si>
  <si>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</si>
  <si>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</si>
  <si>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</si>
  <si>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</si>
  <si>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</si>
  <si>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</si>
  <si>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</si>
  <si>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</si>
  <si>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</si>
  <si>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</si>
  <si>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</si>
  <si>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</si>
  <si>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</si>
  <si>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</si>
  <si>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</si>
  <si>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</si>
  <si>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</si>
  <si>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</si>
  <si>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</si>
  <si>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</si>
  <si>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</si>
  <si>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</si>
  <si>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</si>
  <si>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</si>
  <si>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</si>
  <si>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</si>
  <si>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</si>
  <si>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</si>
  <si>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</si>
  <si>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</si>
  <si>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</si>
  <si>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</si>
  <si>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</si>
  <si>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</si>
  <si>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</si>
  <si>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</si>
  <si>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</si>
  <si>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</si>
  <si>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</si>
  <si>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</si>
  <si>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</si>
  <si>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</si>
  <si>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</si>
  <si>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</si>
  <si>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</si>
  <si>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</si>
  <si>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</si>
  <si>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</si>
  <si>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</si>
  <si>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</si>
  <si>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</si>
  <si>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</si>
  <si>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</si>
  <si>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</si>
  <si>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</si>
  <si>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</si>
  <si>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</si>
  <si>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</si>
  <si>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</si>
  <si>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</si>
  <si>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</si>
  <si>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</si>
  <si>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</si>
  <si>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</si>
  <si>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</si>
  <si>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</si>
  <si>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</si>
  <si>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</si>
  <si>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</si>
  <si>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</si>
  <si>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</si>
  <si>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</si>
  <si>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</si>
  <si>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</si>
  <si>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</si>
  <si>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</si>
  <si>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</si>
  <si>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</si>
  <si>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</si>
  <si>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</si>
  <si>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</si>
  <si>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</si>
  <si>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</si>
  <si>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</si>
  <si>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</si>
  <si>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</si>
  <si>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</si>
  <si>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</si>
  <si>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</si>
  <si>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</si>
  <si>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</si>
  <si>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</si>
  <si>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</si>
  <si>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</si>
  <si>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</si>
  <si>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</si>
  <si>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</si>
  <si>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</si>
  <si>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</si>
  <si>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</si>
  <si>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</si>
  <si>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</si>
  <si>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</si>
  <si>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</si>
  <si>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</si>
  <si>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</si>
  <si>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</si>
  <si>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</si>
  <si>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</si>
  <si>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</si>
  <si>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</si>
  <si>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</si>
  <si>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</si>
  <si>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</si>
  <si>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</si>
  <si>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</si>
  <si>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</si>
  <si>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</si>
  <si>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</si>
  <si>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</si>
  <si>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</si>
  <si>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</si>
  <si>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</si>
  <si>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</si>
  <si>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</si>
  <si>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</si>
  <si>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</si>
  <si>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</si>
  <si>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</si>
  <si>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</si>
  <si>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</si>
  <si>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</si>
  <si>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</si>
  <si>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</si>
  <si>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</si>
  <si>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</si>
  <si>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</si>
  <si>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</si>
  <si>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</si>
  <si>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</si>
  <si>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</si>
  <si>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</si>
  <si>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</si>
  <si>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</si>
  <si>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</si>
  <si>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</si>
  <si>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</si>
  <si>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</si>
  <si>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</si>
  <si>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</si>
  <si>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</si>
  <si>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</si>
  <si>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</si>
  <si>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</si>
  <si>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</si>
  <si>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</si>
  <si>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</si>
  <si>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</si>
  <si>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</si>
  <si>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</si>
  <si>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</si>
  <si>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</si>
  <si>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</si>
  <si>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</si>
  <si>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</si>
  <si>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</si>
  <si>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</si>
  <si>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</si>
  <si>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</si>
  <si>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</si>
  <si>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</si>
  <si>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</si>
  <si>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</si>
  <si>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</si>
  <si>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</si>
  <si>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</si>
  <si>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</si>
  <si>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</si>
  <si>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</si>
  <si>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</si>
  <si>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</si>
  <si>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</si>
  <si>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</si>
  <si>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</si>
  <si>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</si>
  <si>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</si>
  <si>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</si>
  <si>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</si>
  <si>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</si>
  <si>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</si>
  <si>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</si>
  <si>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</si>
  <si>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</si>
  <si>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</si>
  <si>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</si>
  <si>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</si>
  <si>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</si>
  <si>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</si>
  <si>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</si>
  <si>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</si>
  <si>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</si>
  <si>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</si>
  <si>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</si>
  <si>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</si>
  <si>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</si>
  <si>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</si>
  <si>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</si>
  <si>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</si>
  <si>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</si>
  <si>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</si>
  <si>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</si>
  <si>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</si>
  <si>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</si>
  <si>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</si>
  <si>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</si>
  <si>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</si>
  <si>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</si>
  <si>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</si>
  <si>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</si>
  <si>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</si>
  <si>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</si>
  <si>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</si>
  <si>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</si>
  <si>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</si>
  <si>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</si>
  <si>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</si>
  <si>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</si>
  <si>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</si>
  <si>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</si>
  <si>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</si>
  <si>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</si>
  <si>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</si>
  <si>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</si>
  <si>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</si>
  <si>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</si>
  <si>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</si>
  <si>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</si>
  <si>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</si>
  <si>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</si>
  <si>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</si>
  <si>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</si>
  <si>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</si>
  <si>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</si>
  <si>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</si>
  <si>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</si>
  <si>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</si>
  <si>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</si>
  <si>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</si>
  <si>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</si>
  <si>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</si>
  <si>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</si>
  <si>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</si>
  <si>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</si>
  <si>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</si>
  <si>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</si>
  <si>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</si>
  <si>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</si>
  <si>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</si>
  <si>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</si>
  <si>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</si>
  <si>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</si>
  <si>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</si>
  <si>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</si>
  <si>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</si>
  <si>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</si>
  <si>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</si>
  <si>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</si>
  <si>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</si>
  <si>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</si>
  <si>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</si>
  <si>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</si>
  <si>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</si>
  <si>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</si>
  <si>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</si>
  <si>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</si>
  <si>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</si>
  <si>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</si>
  <si>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</si>
  <si>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</si>
  <si>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</si>
  <si>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</si>
  <si>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</si>
  <si>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</si>
  <si>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</si>
  <si>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</si>
  <si>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</si>
  <si>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</si>
  <si>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</si>
  <si>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</si>
  <si>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</si>
  <si>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</si>
  <si>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</si>
  <si>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</si>
  <si>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</si>
  <si>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</si>
  <si>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</si>
  <si>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</si>
  <si>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</si>
  <si>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</si>
  <si>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</si>
  <si>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</si>
  <si>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</si>
  <si>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</si>
  <si>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</si>
  <si>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</si>
  <si>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</si>
  <si>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</si>
  <si>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</si>
  <si>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</si>
  <si>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</si>
  <si>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</si>
  <si>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</si>
  <si>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</si>
  <si>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</si>
  <si>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</si>
  <si>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</si>
  <si>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</si>
  <si>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</si>
  <si>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</si>
  <si>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</si>
  <si>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</si>
  <si>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</si>
  <si>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</si>
  <si>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</si>
  <si>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</si>
  <si>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</si>
  <si>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</si>
  <si>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</si>
  <si>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</si>
  <si>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</si>
  <si>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</si>
  <si>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</si>
  <si>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</si>
  <si>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</si>
  <si>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</si>
  <si>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</si>
  <si>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</si>
  <si>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</si>
  <si>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</si>
  <si>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</si>
  <si>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</si>
  <si>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</si>
  <si>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</si>
  <si>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</si>
  <si>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</si>
  <si>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</si>
  <si>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</si>
  <si>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</si>
  <si>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</si>
  <si>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</si>
  <si>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</si>
  <si>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</si>
  <si>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</si>
  <si>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</si>
  <si>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</si>
  <si>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</si>
  <si>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</si>
  <si>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</si>
  <si>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</si>
  <si>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</si>
  <si>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</si>
  <si>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</si>
  <si>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</si>
  <si>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</si>
  <si>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</si>
  <si>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</si>
  <si>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</si>
  <si>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</si>
  <si>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</si>
  <si>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</si>
  <si>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</si>
  <si>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</si>
  <si>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</si>
  <si>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</si>
  <si>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</si>
  <si>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</si>
  <si>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</si>
  <si>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</si>
  <si>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</si>
  <si>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</si>
  <si>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</si>
  <si>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</si>
  <si>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</si>
  <si>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</si>
  <si>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</si>
  <si>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</si>
  <si>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</si>
  <si>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</si>
  <si>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</si>
  <si>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</si>
  <si>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</si>
  <si>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</si>
  <si>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</si>
  <si>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</si>
  <si>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</si>
  <si>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</si>
  <si>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</si>
  <si>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</si>
  <si>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</si>
  <si>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</si>
  <si>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</si>
  <si>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</si>
  <si>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</si>
  <si>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</si>
  <si>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</si>
  <si>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</si>
  <si>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</si>
  <si>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</si>
  <si>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</si>
  <si>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</si>
  <si>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</si>
  <si>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</si>
  <si>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</si>
  <si>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</si>
  <si>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</si>
  <si>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</si>
  <si>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</si>
  <si>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</si>
  <si>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</si>
  <si>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</si>
  <si>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</si>
  <si>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</si>
  <si>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</si>
  <si>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</si>
  <si>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</si>
  <si>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</si>
  <si>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</si>
  <si>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</si>
  <si>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</si>
  <si>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</si>
  <si>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</si>
  <si>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</si>
  <si>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</si>
  <si>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</si>
  <si>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</si>
  <si>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</si>
  <si>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</si>
  <si>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</si>
  <si>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</si>
  <si>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</si>
  <si>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</si>
  <si>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</si>
  <si>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</si>
  <si>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</si>
  <si>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</si>
  <si>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</si>
  <si>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</si>
  <si>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</si>
  <si>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</si>
  <si>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</si>
  <si>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</si>
  <si>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</si>
  <si>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</si>
  <si>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</si>
  <si>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</si>
  <si>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</si>
  <si>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</si>
  <si>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</si>
  <si>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</si>
  <si>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</si>
  <si>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</si>
  <si>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</si>
  <si>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</si>
  <si>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</si>
  <si>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</si>
  <si>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</si>
  <si>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</si>
  <si>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</si>
  <si>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</si>
  <si>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</si>
  <si>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</si>
  <si>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</si>
  <si>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</si>
  <si>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</si>
  <si>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</si>
  <si>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</si>
  <si>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</si>
  <si>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</si>
  <si>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</si>
  <si>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</si>
  <si>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</si>
  <si>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</si>
  <si>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</si>
  <si>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</si>
  <si>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</si>
  <si>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</si>
  <si>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</si>
  <si>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</si>
  <si>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</si>
  <si>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</si>
  <si>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</si>
  <si>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</si>
  <si>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</si>
  <si>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</si>
  <si>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</si>
  <si>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</si>
  <si>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</si>
  <si>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</si>
  <si>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</si>
  <si>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</si>
  <si>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</si>
  <si>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</si>
  <si>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</si>
  <si>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</si>
  <si>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</si>
  <si>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</si>
  <si>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</si>
  <si>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</si>
  <si>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</si>
  <si>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</si>
  <si>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</si>
  <si>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</si>
  <si>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</si>
  <si>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</si>
  <si>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</si>
  <si>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</si>
  <si>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</si>
  <si>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</si>
  <si>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</si>
  <si>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</si>
  <si>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</si>
  <si>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</si>
  <si>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</si>
  <si>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</si>
  <si>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</si>
  <si>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</si>
  <si>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</si>
  <si>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</si>
  <si>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</si>
  <si>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</si>
  <si>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</si>
  <si>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</si>
  <si>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</si>
  <si>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</si>
  <si>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</si>
  <si>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</si>
  <si>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</si>
  <si>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</si>
  <si>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</si>
  <si>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</si>
  <si>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</si>
  <si>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</si>
  <si>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</si>
  <si>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</si>
  <si>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</si>
  <si>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</si>
  <si>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</si>
  <si>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</si>
  <si>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</si>
  <si>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</si>
  <si>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</si>
  <si>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</si>
  <si>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</si>
  <si>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</si>
  <si>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</si>
  <si>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</si>
  <si>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</si>
  <si>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</si>
  <si>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</si>
  <si>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</si>
  <si>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</si>
  <si>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</si>
  <si>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</si>
  <si>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</si>
  <si>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</si>
  <si>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</si>
  <si>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</si>
  <si>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</si>
  <si>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</si>
  <si>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</si>
  <si>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</si>
  <si>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</si>
  <si>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</si>
  <si>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</si>
  <si>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</si>
  <si>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</si>
  <si>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</si>
  <si>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</si>
  <si>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</si>
  <si>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</si>
  <si>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</si>
  <si>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</si>
  <si>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</si>
  <si>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</si>
  <si>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</si>
  <si>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</si>
  <si>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</si>
  <si>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</si>
  <si>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</si>
  <si>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</si>
  <si>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</si>
  <si>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</si>
  <si>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</si>
  <si>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</si>
  <si>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</si>
  <si>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</si>
  <si>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</si>
  <si>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</si>
  <si>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</si>
  <si>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</si>
  <si>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</si>
  <si>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</si>
  <si>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</si>
  <si>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</si>
  <si>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</si>
  <si>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</si>
  <si>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</si>
  <si>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</si>
  <si>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</si>
  <si>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</si>
  <si>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</si>
  <si>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</si>
  <si>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</si>
  <si>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</si>
  <si>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</si>
  <si>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</si>
  <si>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</si>
  <si>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</si>
  <si>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</si>
  <si>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</si>
  <si>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</si>
  <si>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</si>
  <si>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</si>
  <si>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</si>
  <si>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</si>
  <si>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</si>
  <si>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</si>
  <si>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</si>
  <si>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</si>
  <si>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</si>
  <si>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</si>
  <si>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</si>
  <si>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</si>
  <si>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</si>
  <si>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</si>
  <si>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</si>
  <si>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</si>
  <si>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</si>
  <si>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</si>
  <si>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</si>
  <si>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</si>
  <si>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</si>
  <si>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</si>
  <si>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</si>
  <si>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</si>
  <si>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</si>
  <si>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</si>
  <si>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</si>
  <si>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</si>
  <si>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</si>
  <si>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</si>
  <si>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</si>
  <si>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</si>
  <si>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</si>
  <si>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</si>
  <si>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</si>
  <si>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</si>
  <si>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</si>
  <si>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</si>
  <si>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</si>
  <si>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</si>
  <si>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</si>
  <si>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</si>
  <si>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</si>
  <si>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</si>
  <si>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</si>
  <si>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</si>
  <si>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</si>
  <si>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</si>
  <si>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</si>
  <si>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</si>
  <si>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</si>
  <si>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</si>
  <si>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</si>
  <si>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</si>
  <si>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</si>
  <si>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</si>
  <si>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</si>
  <si>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</si>
  <si>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</si>
  <si>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</si>
  <si>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</si>
  <si>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</si>
  <si>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</si>
  <si>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</si>
  <si>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</si>
  <si>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</si>
  <si>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</si>
  <si>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</si>
  <si>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</si>
  <si>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</si>
  <si>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</si>
  <si>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</si>
  <si>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</si>
  <si>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</si>
  <si>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</si>
  <si>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</si>
  <si>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</si>
  <si>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</si>
  <si>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</si>
  <si>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</si>
  <si>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</si>
  <si>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</si>
  <si>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</si>
  <si>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</si>
  <si>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</si>
  <si>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</si>
  <si>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</si>
  <si>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</si>
  <si>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</si>
  <si>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</si>
  <si>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</si>
  <si>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</si>
  <si>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</si>
  <si>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</si>
  <si>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</si>
  <si>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</si>
  <si>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</si>
  <si>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</si>
  <si>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</si>
  <si>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</si>
  <si>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</si>
  <si>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</si>
  <si>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</si>
  <si>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</si>
  <si>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</si>
  <si>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</si>
  <si>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</si>
  <si>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</si>
  <si>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</si>
  <si>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</si>
  <si>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</si>
  <si>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</si>
  <si>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</si>
  <si>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</si>
  <si>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</si>
  <si>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</si>
  <si>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</si>
  <si>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</si>
  <si>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</si>
  <si>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</si>
  <si>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</si>
  <si>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</si>
  <si>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</si>
  <si>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</si>
  <si>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</si>
  <si>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</si>
  <si>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</si>
  <si>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</si>
  <si>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</si>
  <si>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</si>
  <si>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</si>
  <si>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</si>
  <si>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</si>
  <si>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</si>
  <si>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</si>
  <si>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</si>
  <si>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</si>
  <si>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</si>
  <si>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</si>
  <si>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</si>
  <si>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</si>
  <si>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</si>
  <si>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</si>
  <si>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</si>
  <si>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</si>
  <si>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</si>
  <si>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</si>
  <si>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</si>
  <si>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</si>
  <si>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</si>
  <si>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</si>
  <si>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</si>
  <si>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</si>
  <si>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</si>
  <si>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</si>
  <si>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</si>
  <si>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</si>
  <si>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</si>
  <si>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</si>
  <si>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</si>
  <si>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</si>
  <si>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</si>
  <si>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</si>
  <si>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</si>
  <si>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</si>
  <si>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</si>
  <si>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</si>
  <si>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</si>
  <si>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</si>
  <si>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</si>
  <si>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</si>
  <si>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</si>
  <si>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</si>
  <si>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</si>
  <si>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</si>
  <si>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</si>
  <si>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</si>
  <si>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</si>
  <si>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</si>
  <si>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</si>
  <si>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</si>
  <si>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</si>
  <si>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</si>
  <si>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</si>
  <si>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</si>
  <si>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</si>
  <si>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</si>
  <si>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</si>
  <si>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</si>
  <si>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</si>
  <si>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</si>
  <si>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</si>
  <si>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</si>
  <si>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</si>
  <si>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</si>
  <si>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</si>
  <si>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</si>
  <si>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</si>
  <si>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</si>
  <si>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</si>
  <si>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</si>
  <si>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</si>
  <si>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</si>
  <si>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</si>
  <si>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</si>
  <si>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</si>
  <si>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</si>
  <si>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</si>
  <si>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</si>
  <si>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</si>
  <si>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</si>
  <si>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</si>
  <si>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</si>
  <si>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</si>
  <si>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</si>
  <si>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</si>
  <si>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</si>
  <si>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</si>
  <si>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</si>
  <si>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</si>
  <si>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</si>
  <si>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</si>
  <si>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</si>
  <si>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</si>
  <si>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</si>
  <si>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</si>
  <si>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</si>
  <si>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</si>
  <si>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</si>
  <si>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</si>
  <si>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</si>
  <si>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</si>
  <si>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</si>
  <si>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</si>
  <si>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</si>
  <si>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</si>
  <si>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</si>
  <si>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</si>
  <si>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</si>
  <si>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</si>
  <si>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</si>
  <si>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</si>
  <si>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</si>
  <si>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</si>
  <si>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</si>
  <si>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</si>
  <si>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</si>
  <si>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</si>
  <si>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</si>
  <si>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</si>
  <si>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</si>
  <si>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</si>
  <si>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</si>
  <si>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</si>
  <si>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</si>
  <si>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</si>
  <si>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</si>
  <si>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</si>
  <si>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</si>
  <si>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</si>
  <si>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</si>
  <si>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</si>
  <si>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</si>
  <si>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</si>
  <si>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</si>
  <si>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</si>
  <si>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</si>
  <si>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</si>
  <si>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</si>
  <si>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</si>
  <si>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</si>
  <si>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</si>
  <si>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</si>
  <si>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</si>
  <si>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</si>
  <si>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</si>
  <si>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</si>
  <si>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</si>
  <si>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</si>
  <si>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</si>
  <si>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</si>
  <si>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</si>
  <si>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</si>
  <si>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</si>
  <si>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</si>
  <si>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</si>
  <si>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</si>
  <si>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</si>
  <si>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</si>
  <si>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</si>
  <si>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</si>
  <si>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</si>
  <si>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</si>
  <si>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</si>
  <si>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</si>
  <si>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</si>
  <si>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</si>
  <si>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</si>
  <si>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</si>
  <si>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</si>
  <si>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</si>
  <si>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</si>
  <si>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</si>
  <si>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</si>
  <si>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</si>
  <si>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</si>
  <si>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</si>
  <si>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</si>
  <si>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</si>
  <si>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</si>
  <si>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</si>
  <si>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</si>
  <si>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</si>
  <si>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</si>
  <si>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</si>
  <si>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</si>
  <si>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</si>
  <si>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</si>
  <si>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</si>
  <si>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</si>
  <si>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</si>
  <si>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</si>
  <si>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</si>
  <si>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</si>
  <si>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</si>
  <si>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</si>
  <si>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</si>
  <si>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</si>
  <si>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</si>
  <si>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</si>
  <si>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</si>
  <si>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</si>
  <si>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</si>
  <si>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</si>
  <si>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</si>
  <si>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</si>
  <si>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</si>
  <si>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</si>
  <si>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</si>
  <si>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</si>
  <si>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</si>
  <si>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</si>
  <si>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</si>
  <si>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</si>
  <si>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</si>
  <si>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</si>
  <si>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</si>
  <si>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</si>
  <si>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</si>
  <si>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</si>
  <si>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</si>
  <si>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</si>
  <si>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</si>
  <si>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</si>
  <si>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</si>
  <si>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</si>
  <si>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</si>
  <si>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</si>
  <si>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</si>
  <si>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</si>
  <si>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</si>
  <si>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</si>
  <si>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</si>
  <si>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</si>
  <si>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</si>
  <si>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</si>
  <si>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</si>
  <si>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</si>
  <si>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</si>
  <si>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</si>
  <si>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</si>
  <si>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</si>
  <si>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</si>
  <si>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</si>
  <si>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</si>
  <si>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</si>
  <si>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</si>
  <si>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</si>
  <si>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</si>
  <si>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</si>
  <si>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</si>
  <si>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</si>
  <si>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</si>
  <si>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</si>
  <si>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</si>
  <si>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</si>
  <si>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</si>
  <si>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</si>
  <si>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</si>
  <si>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</si>
  <si>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</si>
  <si>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</si>
  <si>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</si>
  <si>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</si>
  <si>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</si>
  <si>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</si>
  <si>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</si>
  <si>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</si>
  <si>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</si>
  <si>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</si>
  <si>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</si>
  <si>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</si>
  <si>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</si>
  <si>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</si>
  <si>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</si>
  <si>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</si>
  <si>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</si>
  <si>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</si>
  <si>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</si>
  <si>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</si>
  <si>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</si>
  <si>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</si>
  <si>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</si>
  <si>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</si>
  <si>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</si>
  <si>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</si>
  <si>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</si>
  <si>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</si>
  <si>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</si>
  <si>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</si>
  <si>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</si>
  <si>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</si>
  <si>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</si>
  <si>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</si>
  <si>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</si>
  <si>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</si>
  <si>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</si>
  <si>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</si>
  <si>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</si>
  <si>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</si>
  <si>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</si>
  <si>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</si>
  <si>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</si>
  <si>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</si>
  <si>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</si>
  <si>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</si>
  <si>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</si>
  <si>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</si>
  <si>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</si>
  <si>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</si>
  <si>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</si>
  <si>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</si>
  <si>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</si>
  <si>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</si>
  <si>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</si>
  <si>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</si>
  <si>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</si>
  <si>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</si>
  <si>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</si>
  <si>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</si>
  <si>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</si>
  <si>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</si>
  <si>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</si>
  <si>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</si>
  <si>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</si>
  <si>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</si>
  <si>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</si>
  <si>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</si>
  <si>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</si>
  <si>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</si>
  <si>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</si>
  <si>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</si>
  <si>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</si>
  <si>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</si>
  <si>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</si>
  <si>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</si>
  <si>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</si>
  <si>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</si>
  <si>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</si>
  <si>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</si>
  <si>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</si>
  <si>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</si>
  <si>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</si>
  <si>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</si>
  <si>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</si>
  <si>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</si>
  <si>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</si>
  <si>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</si>
  <si>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</si>
  <si>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</si>
  <si>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</si>
  <si>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</si>
  <si>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</si>
  <si>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</si>
  <si>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</si>
  <si>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</si>
  <si>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</si>
  <si>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</si>
  <si>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</si>
  <si>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</si>
  <si>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</si>
  <si>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</si>
  <si>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</si>
  <si>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</si>
  <si>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</si>
  <si>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</si>
  <si>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</si>
  <si>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</si>
  <si>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</si>
  <si>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</si>
  <si>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</si>
  <si>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</si>
  <si>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</si>
  <si>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</si>
  <si>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</si>
  <si>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</si>
  <si>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</si>
  <si>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</si>
  <si>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</si>
  <si>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</si>
  <si>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</si>
  <si>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</si>
  <si>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</si>
  <si>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</si>
  <si>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</si>
  <si>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</si>
  <si>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</si>
  <si>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</si>
  <si>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</si>
  <si>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</si>
  <si>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</si>
  <si>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</si>
  <si>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</si>
  <si>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</si>
  <si>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</si>
  <si>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</si>
  <si>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</si>
  <si>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</si>
  <si>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</si>
  <si>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</si>
  <si>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</si>
  <si>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</si>
  <si>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</si>
  <si>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</si>
  <si>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</si>
  <si>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</si>
  <si>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</si>
  <si>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</si>
  <si>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</si>
  <si>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</si>
  <si>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</si>
  <si>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</si>
  <si>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</si>
  <si>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</si>
  <si>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</si>
  <si>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</si>
  <si>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</si>
  <si>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</si>
  <si>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</si>
  <si>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</si>
  <si>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</si>
  <si>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</si>
  <si>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</si>
  <si>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</si>
  <si>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</si>
  <si>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</si>
  <si>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</si>
  <si>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</si>
  <si>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</si>
  <si>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</si>
  <si>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</si>
  <si>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</si>
  <si>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</si>
  <si>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</si>
  <si>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</si>
  <si>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</si>
  <si>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</si>
  <si>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</si>
  <si>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</si>
  <si>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</si>
  <si>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</si>
  <si>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</si>
  <si>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</si>
  <si>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</si>
  <si>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</si>
  <si>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</si>
  <si>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</si>
  <si>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</si>
  <si>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</si>
  <si>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</si>
  <si>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</si>
  <si>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</si>
  <si>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</si>
  <si>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</si>
  <si>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</si>
  <si>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</si>
  <si>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</si>
  <si>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</si>
  <si>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</si>
  <si>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</si>
  <si>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</si>
  <si>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</si>
  <si>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</si>
  <si>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</si>
  <si>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</si>
  <si>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</si>
  <si>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</si>
  <si>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</si>
  <si>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</si>
  <si>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</si>
  <si>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</si>
  <si>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</si>
  <si>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</si>
  <si>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</si>
  <si>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</si>
  <si>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</si>
  <si>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</si>
  <si>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</si>
  <si>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</si>
  <si>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</si>
  <si>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</si>
  <si>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</si>
  <si>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</si>
  <si>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</si>
  <si>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</si>
  <si>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</si>
  <si>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</si>
  <si>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</si>
  <si>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</si>
  <si>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</si>
  <si>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</si>
  <si>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</si>
  <si>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</si>
  <si>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</si>
  <si>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</si>
  <si>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</si>
  <si>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</si>
  <si>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</si>
  <si>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</si>
  <si>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</si>
  <si>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</si>
  <si>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</si>
  <si>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</si>
  <si>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</si>
  <si>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</si>
  <si>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</si>
  <si>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</si>
  <si>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</si>
  <si>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</si>
  <si>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</si>
  <si>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</si>
  <si>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</si>
  <si>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</si>
  <si>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</si>
  <si>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</si>
  <si>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</si>
  <si>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</si>
  <si>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</si>
  <si>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</si>
  <si>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</si>
  <si>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</si>
  <si>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</si>
  <si>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</si>
  <si>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</si>
  <si>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</si>
  <si>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</si>
  <si>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</si>
  <si>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</si>
  <si>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</si>
  <si>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</si>
  <si>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</si>
  <si>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</si>
  <si>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</si>
  <si>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</si>
  <si>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</si>
  <si>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</si>
  <si>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</si>
  <si>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</si>
  <si>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</si>
  <si>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</si>
  <si>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</si>
  <si>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</si>
  <si>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</si>
  <si>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</si>
  <si>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</si>
  <si>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</si>
  <si>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</si>
  <si>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</si>
  <si>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</si>
  <si>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</si>
  <si>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</si>
  <si>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</si>
  <si>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</si>
  <si>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</si>
  <si>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</si>
  <si>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</si>
  <si>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</si>
  <si>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</si>
  <si>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</si>
  <si>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</si>
  <si>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</si>
  <si>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</si>
  <si>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</si>
  <si>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</si>
  <si>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</si>
  <si>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</si>
  <si>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</si>
  <si>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</si>
  <si>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</si>
  <si>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</si>
  <si>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</si>
  <si>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</si>
  <si>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</si>
  <si>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</si>
  <si>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</si>
  <si>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</si>
  <si>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</si>
  <si>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</si>
  <si>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</si>
  <si>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</si>
  <si>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</si>
  <si>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</si>
  <si>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</si>
  <si>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</si>
  <si>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</si>
  <si>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</si>
  <si>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</si>
  <si>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</si>
  <si>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</si>
  <si>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</si>
  <si>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</si>
  <si>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</si>
  <si>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</si>
  <si>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</si>
  <si>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</si>
  <si>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</si>
  <si>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</si>
  <si>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</si>
  <si>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</si>
  <si>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</si>
  <si>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</si>
  <si>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</si>
  <si>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</si>
  <si>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</si>
  <si>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</si>
  <si>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</si>
  <si>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</si>
  <si>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</si>
  <si>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</si>
  <si>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</si>
  <si>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</si>
  <si>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</si>
  <si>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</si>
  <si>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</si>
  <si>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</si>
  <si>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</si>
  <si>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</si>
  <si>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</si>
  <si>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</si>
  <si>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</si>
  <si>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</si>
  <si>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</si>
  <si>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</si>
  <si>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</si>
  <si>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</si>
  <si>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</si>
  <si>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</si>
  <si>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</si>
  <si>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</si>
  <si>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</si>
  <si>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</si>
  <si>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</si>
  <si>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</si>
  <si>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</si>
  <si>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</si>
  <si>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</si>
  <si>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</si>
  <si>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</si>
  <si>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</si>
  <si>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</si>
  <si>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</si>
  <si>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</si>
  <si>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</si>
  <si>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</si>
  <si>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</si>
  <si>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</si>
  <si>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</si>
  <si>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</si>
  <si>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</si>
  <si>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</si>
  <si>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</si>
  <si>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</si>
  <si>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</si>
  <si>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</si>
  <si>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</si>
  <si>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</si>
  <si>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</si>
  <si>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</si>
  <si>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</si>
  <si>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</si>
  <si>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</si>
  <si>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</si>
  <si>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</si>
  <si>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</si>
  <si>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</si>
  <si>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</si>
  <si>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</si>
  <si>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</si>
  <si>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</si>
  <si>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</si>
  <si>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</si>
  <si>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</si>
  <si>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</si>
  <si>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</si>
  <si>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</si>
  <si>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</si>
  <si>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</si>
  <si>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</si>
  <si>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</si>
  <si>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</si>
  <si>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</si>
  <si>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</si>
  <si>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</si>
  <si>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</si>
  <si>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</si>
  <si>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</si>
  <si>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</si>
  <si>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</si>
  <si>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</si>
  <si>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</si>
  <si>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</si>
  <si>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</si>
  <si>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</si>
  <si>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</si>
  <si>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</si>
  <si>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</si>
  <si>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</si>
  <si>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</si>
  <si>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</si>
  <si>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</si>
  <si>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</si>
  <si>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</si>
  <si>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</si>
  <si>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</si>
  <si>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</si>
  <si>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</si>
  <si>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</si>
  <si>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</si>
  <si>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</si>
  <si>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</si>
  <si>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</si>
  <si>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</si>
  <si>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</si>
  <si>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</si>
  <si>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</si>
  <si>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</si>
  <si>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</si>
  <si>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</si>
  <si>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</si>
  <si>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</si>
  <si>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</si>
  <si>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</si>
  <si>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</si>
  <si>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</si>
  <si>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</si>
  <si>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</si>
  <si>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</si>
  <si>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</si>
  <si>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</si>
  <si>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</si>
  <si>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</si>
  <si>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</si>
  <si>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</si>
  <si>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</si>
  <si>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</si>
  <si>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</si>
  <si>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</si>
  <si>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</si>
  <si>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</si>
  <si>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</si>
  <si>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</si>
  <si>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</si>
  <si>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</si>
  <si>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</si>
  <si>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</si>
  <si>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</si>
  <si>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</si>
  <si>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</si>
  <si>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</si>
  <si>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</si>
  <si>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</si>
  <si>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</si>
  <si>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</si>
  <si>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</si>
  <si>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</si>
  <si>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</si>
  <si>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</si>
  <si>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</si>
  <si>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</si>
  <si>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</si>
  <si>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</si>
  <si>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</si>
  <si>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</si>
  <si>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</si>
  <si>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</si>
  <si>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</si>
  <si>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</si>
  <si>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</si>
  <si>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</si>
  <si>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</si>
  <si>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</si>
  <si>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</si>
  <si>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</si>
  <si>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</si>
  <si>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</si>
  <si>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</si>
  <si>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</si>
  <si>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</si>
  <si>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</si>
  <si>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</si>
  <si>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</si>
  <si>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</si>
  <si>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</si>
  <si>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</si>
  <si>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</si>
  <si>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</si>
  <si>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</si>
  <si>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</si>
  <si>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</si>
  <si>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</si>
  <si>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</si>
  <si>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</si>
  <si>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</si>
  <si>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</si>
  <si>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</si>
  <si>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</si>
  <si>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</si>
  <si>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</si>
  <si>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</si>
  <si>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</si>
  <si>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</si>
  <si>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</si>
  <si>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</si>
  <si>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</si>
  <si>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</si>
  <si>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</si>
  <si>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</si>
  <si>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</si>
  <si>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</si>
  <si>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</si>
  <si>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</si>
  <si>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</si>
  <si>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</si>
  <si>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</si>
  <si>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</si>
  <si>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</si>
  <si>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</si>
  <si>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</si>
  <si>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</si>
  <si>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</si>
  <si>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</si>
  <si>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</si>
  <si>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</si>
  <si>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</si>
  <si>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</si>
  <si>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</si>
  <si>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</si>
  <si>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</si>
  <si>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</si>
  <si>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</si>
  <si>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</si>
  <si>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</si>
  <si>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</si>
  <si>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</si>
  <si>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</si>
  <si>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</si>
  <si>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</si>
  <si>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</si>
  <si>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</si>
  <si>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</si>
  <si>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</si>
  <si>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</si>
  <si>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</si>
  <si>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</si>
  <si>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</si>
  <si>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</si>
  <si>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</si>
  <si>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</si>
  <si>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</si>
  <si>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</si>
  <si>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</si>
  <si>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</si>
  <si>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</si>
  <si>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</si>
  <si>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</si>
  <si>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</si>
  <si>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</si>
  <si>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</si>
  <si>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</si>
  <si>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</si>
  <si>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</si>
  <si>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</si>
  <si>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</si>
  <si>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</si>
  <si>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</si>
  <si>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</si>
  <si>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</si>
  <si>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</si>
  <si>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</si>
  <si>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</si>
  <si>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</si>
  <si>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</si>
  <si>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</si>
  <si>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</si>
  <si>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</si>
  <si>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</si>
  <si>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</si>
  <si>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</si>
  <si>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</si>
  <si>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</si>
  <si>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</si>
  <si>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</si>
  <si>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</si>
  <si>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</si>
  <si>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</si>
  <si>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</si>
  <si>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</si>
  <si>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</si>
  <si>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</si>
  <si>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</si>
  <si>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</si>
  <si>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</si>
  <si>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</si>
  <si>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</si>
  <si>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</si>
  <si>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</si>
  <si>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</si>
  <si>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</si>
  <si>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</si>
  <si>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</si>
  <si>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</si>
  <si>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</si>
  <si>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</si>
  <si>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</si>
  <si>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</si>
  <si>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</si>
  <si>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</si>
  <si>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</si>
  <si>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</si>
  <si>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</si>
  <si>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</si>
  <si>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</si>
  <si>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</si>
  <si>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</si>
  <si>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</si>
  <si>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</si>
  <si>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</si>
  <si>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</si>
  <si>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</si>
  <si>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</si>
  <si>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</si>
  <si>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</si>
  <si>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</si>
  <si>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</si>
  <si>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</si>
  <si>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</si>
  <si>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</si>
  <si>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</si>
  <si>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</si>
  <si>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</si>
  <si>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</si>
  <si>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</si>
  <si>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</si>
  <si>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</si>
  <si>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</si>
  <si>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</si>
  <si>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</si>
  <si>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</si>
  <si>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</si>
  <si>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</si>
  <si>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</si>
  <si>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</si>
  <si>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</si>
  <si>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</si>
  <si>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</si>
  <si>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</si>
  <si>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</si>
  <si>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</si>
  <si>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</si>
  <si>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</si>
  <si>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</si>
  <si>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</si>
  <si>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</si>
  <si>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</si>
  <si>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</si>
  <si>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</si>
  <si>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</si>
  <si>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</si>
  <si>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</si>
  <si>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</si>
  <si>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</si>
  <si>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</si>
  <si>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</si>
  <si>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</si>
  <si>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</si>
  <si>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</si>
  <si>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</si>
  <si>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</si>
  <si>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</si>
  <si>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</si>
  <si>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</si>
  <si>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</si>
  <si>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</si>
  <si>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</si>
  <si>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</si>
  <si>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</si>
  <si>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</si>
  <si>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</si>
  <si>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</si>
  <si>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</si>
  <si>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</si>
  <si>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</si>
  <si>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</si>
  <si>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</si>
  <si>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</si>
  <si>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</si>
  <si>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</si>
  <si>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</si>
  <si>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</si>
  <si>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</si>
  <si>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</si>
  <si>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</si>
  <si>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</si>
  <si>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</si>
  <si>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</si>
  <si>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</si>
  <si>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</si>
  <si>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</si>
  <si>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</si>
  <si>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</si>
  <si>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</si>
  <si>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</si>
  <si>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</si>
  <si>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</si>
  <si>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</si>
  <si>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</si>
  <si>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</si>
  <si>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</si>
  <si>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</si>
  <si>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</si>
  <si>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</si>
  <si>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</si>
  <si>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</si>
  <si>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</si>
  <si>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</si>
  <si>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</si>
  <si>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</si>
  <si>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</si>
  <si>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</si>
  <si>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</si>
  <si>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</si>
  <si>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</si>
  <si>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</si>
  <si>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</si>
  <si>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</si>
  <si>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</si>
  <si>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</si>
  <si>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</si>
  <si>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</si>
  <si>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</si>
  <si>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</si>
  <si>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</si>
  <si>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</si>
  <si>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</si>
  <si>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</si>
  <si>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</si>
  <si>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</si>
  <si>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</si>
  <si>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</si>
  <si>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</si>
  <si>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</si>
  <si>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</si>
  <si>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</si>
  <si>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</si>
  <si>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</si>
  <si>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</si>
  <si>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</si>
  <si>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</si>
  <si>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</si>
  <si>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</si>
  <si>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</si>
  <si>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</si>
  <si>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</si>
  <si>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</si>
  <si>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</si>
  <si>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</si>
  <si>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</si>
  <si>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</si>
  <si>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</si>
  <si>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</si>
  <si>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</si>
  <si>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</si>
  <si>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</si>
  <si>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</si>
  <si>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</si>
  <si>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</si>
  <si>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</si>
  <si>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</si>
  <si>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</si>
  <si>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</si>
  <si>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</si>
  <si>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</si>
  <si>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</si>
  <si>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</si>
  <si>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</si>
  <si>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</si>
  <si>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</si>
  <si>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</si>
  <si>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</si>
  <si>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</si>
  <si>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</si>
  <si>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</si>
  <si>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</si>
  <si>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</si>
  <si>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</si>
  <si>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</si>
  <si>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</si>
  <si>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</si>
  <si>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</si>
  <si>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</si>
  <si>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</si>
  <si>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</si>
  <si>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</si>
  <si>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</si>
  <si>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</si>
  <si>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</si>
  <si>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</si>
  <si>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</si>
  <si>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</si>
  <si>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</si>
  <si>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</si>
  <si>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</si>
  <si>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</si>
  <si>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</si>
  <si>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</si>
  <si>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</si>
  <si>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</si>
  <si>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</si>
  <si>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</si>
  <si>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</si>
  <si>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</si>
  <si>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</si>
  <si>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</si>
  <si>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</si>
  <si>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</si>
  <si>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</si>
  <si>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</si>
  <si>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</si>
  <si>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</si>
  <si>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</si>
  <si>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</si>
  <si>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</si>
  <si>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</si>
  <si>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</si>
  <si>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</si>
  <si>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</si>
  <si>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</si>
  <si>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</si>
  <si>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</si>
  <si>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</si>
  <si>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</si>
  <si>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</si>
  <si>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</si>
  <si>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</si>
  <si>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</si>
  <si>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</si>
  <si>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</si>
  <si>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</si>
  <si>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</si>
  <si>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</si>
  <si>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</si>
  <si>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</si>
  <si>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</si>
  <si>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</si>
  <si>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</si>
  <si>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</si>
  <si>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</si>
  <si>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</si>
  <si>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</si>
  <si>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</si>
  <si>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</si>
  <si>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</si>
  <si>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</si>
  <si>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</si>
  <si>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</si>
  <si>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</si>
  <si>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</si>
  <si>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</si>
  <si>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</si>
  <si>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</si>
  <si>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</si>
  <si>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</si>
  <si>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</si>
  <si>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</si>
  <si>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</si>
  <si>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</si>
  <si>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</si>
  <si>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</si>
  <si>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</si>
  <si>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</si>
  <si>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</si>
  <si>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</si>
  <si>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</si>
  <si>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</si>
  <si>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</si>
  <si>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</si>
  <si>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</si>
  <si>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</si>
  <si>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</si>
  <si>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</si>
  <si>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</si>
  <si>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</si>
  <si>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</si>
  <si>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</si>
  <si>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</si>
  <si>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</si>
  <si>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</si>
  <si>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</si>
  <si>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</si>
  <si>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</si>
  <si>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</si>
  <si>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</si>
  <si>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</si>
  <si>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</si>
  <si>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</si>
  <si>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</si>
  <si>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</si>
  <si>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</si>
  <si>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</si>
  <si>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</si>
  <si>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</si>
  <si>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</si>
  <si>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</si>
  <si>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</si>
  <si>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</si>
  <si>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</si>
  <si>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</si>
  <si>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</si>
  <si>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</si>
  <si>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</si>
  <si>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</si>
  <si>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</si>
  <si>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</si>
  <si>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</si>
  <si>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</si>
  <si>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</si>
  <si>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</si>
  <si>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</si>
  <si>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</si>
  <si>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</si>
  <si>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</si>
  <si>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</si>
  <si>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</si>
  <si>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</si>
  <si>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</si>
  <si>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</si>
  <si>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</si>
  <si>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</si>
  <si>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</si>
  <si>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</si>
  <si>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</si>
  <si>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</si>
  <si>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</si>
  <si>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</si>
  <si>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</si>
  <si>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</si>
  <si>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</si>
  <si>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</si>
  <si>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</si>
  <si>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</si>
  <si>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</si>
  <si>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</si>
  <si>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</si>
  <si>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</si>
  <si>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</si>
  <si>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</si>
  <si>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</si>
  <si>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</si>
  <si>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</si>
  <si>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</si>
  <si>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</si>
  <si>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</si>
  <si>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</si>
  <si>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</si>
  <si>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</si>
  <si>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</si>
  <si>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</si>
  <si>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</si>
  <si>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</si>
  <si>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</si>
  <si>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</si>
  <si>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</si>
  <si>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</si>
  <si>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</si>
  <si>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</si>
  <si>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</si>
  <si>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</si>
  <si>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</si>
  <si>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</si>
  <si>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</si>
  <si>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</si>
  <si>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</si>
  <si>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</si>
  <si>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</si>
  <si>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</si>
  <si>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</si>
  <si>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</si>
  <si>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</si>
  <si>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</si>
  <si>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</si>
  <si>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</si>
  <si>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</si>
  <si>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</si>
  <si>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</si>
  <si>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</si>
  <si>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</si>
  <si>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</si>
  <si>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</si>
  <si>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</si>
  <si>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</si>
  <si>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</si>
  <si>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</si>
  <si>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</si>
  <si>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</si>
  <si>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</si>
  <si>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</si>
  <si>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</si>
  <si>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</si>
  <si>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</si>
  <si>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</si>
  <si>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</si>
  <si>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</si>
  <si>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</si>
  <si>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</si>
  <si>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</si>
  <si>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</si>
  <si>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</si>
  <si>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</si>
  <si>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</si>
  <si>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</si>
  <si>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</si>
  <si>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</si>
  <si>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</si>
  <si>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</si>
  <si>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</si>
  <si>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</si>
  <si>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</si>
  <si>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</si>
  <si>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</si>
  <si>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</si>
  <si>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</si>
  <si>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</si>
  <si>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</si>
  <si>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</si>
  <si>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</si>
  <si>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</si>
  <si>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</si>
  <si>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</si>
  <si>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</si>
  <si>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</si>
  <si>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</si>
  <si>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</si>
  <si>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</si>
  <si>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</si>
  <si>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</si>
  <si>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</si>
  <si>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</si>
  <si>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</si>
  <si>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</si>
  <si>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</si>
  <si>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</si>
  <si>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</si>
  <si>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</si>
  <si>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</si>
  <si>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</si>
  <si>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</si>
  <si>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</si>
  <si>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</si>
  <si>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</si>
  <si>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</si>
  <si>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</si>
  <si>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</si>
  <si>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</si>
  <si>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</si>
  <si>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</si>
  <si>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</si>
  <si>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</si>
  <si>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</si>
  <si>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</si>
  <si>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</si>
  <si>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</si>
  <si>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</si>
  <si>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</si>
  <si>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</si>
  <si>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</si>
  <si>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</si>
  <si>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</si>
  <si>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</si>
  <si>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</si>
  <si>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</si>
  <si>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</si>
  <si>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</si>
  <si>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</si>
  <si>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</si>
  <si>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</si>
  <si>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</si>
  <si>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</si>
  <si>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</si>
  <si>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</si>
  <si>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</si>
  <si>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</si>
  <si>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</si>
  <si>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</si>
  <si>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</si>
  <si>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</si>
  <si>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</si>
  <si>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</si>
  <si>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</si>
  <si>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</si>
  <si>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</si>
  <si>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</si>
  <si>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</si>
  <si>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</si>
  <si>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</si>
  <si>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</si>
  <si>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</si>
  <si>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</si>
  <si>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</si>
  <si>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</si>
  <si>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</si>
  <si>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</si>
  <si>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</si>
  <si>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</si>
  <si>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</si>
  <si>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</si>
  <si>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</si>
  <si>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</si>
  <si>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</si>
  <si>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</si>
  <si>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</si>
  <si>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</si>
  <si>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</si>
  <si>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</si>
  <si>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</si>
  <si>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</si>
  <si>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</si>
  <si>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</si>
  <si>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</si>
  <si>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</si>
  <si>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</si>
  <si>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</si>
  <si>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</si>
  <si>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</si>
  <si>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</si>
  <si>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</si>
  <si>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</si>
  <si>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</si>
  <si>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</si>
  <si>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</si>
  <si>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</si>
  <si>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</si>
  <si>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</si>
  <si>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</si>
  <si>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</si>
  <si>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</si>
  <si>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</si>
  <si>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</si>
  <si>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</si>
  <si>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</si>
  <si>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</si>
  <si>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</si>
  <si>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</si>
  <si>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</si>
  <si>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</si>
  <si>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</si>
  <si>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</si>
  <si>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</si>
  <si>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</si>
  <si>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</si>
  <si>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</si>
  <si>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</si>
  <si>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</si>
  <si>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</si>
  <si>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</si>
  <si>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</si>
  <si>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</si>
  <si>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</si>
  <si>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</si>
  <si>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</si>
  <si>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</si>
  <si>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</si>
  <si>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</si>
  <si>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</si>
  <si>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</si>
  <si>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</si>
  <si>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</si>
  <si>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</si>
  <si>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</si>
  <si>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</si>
  <si>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</si>
  <si>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</si>
  <si>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</si>
  <si>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</si>
  <si>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</si>
  <si>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</si>
  <si>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</si>
  <si>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</si>
  <si>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</si>
  <si>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</si>
  <si>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</si>
  <si>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</si>
  <si>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</si>
  <si>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</si>
  <si>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</si>
  <si>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</si>
  <si>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</si>
  <si>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</si>
  <si>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</si>
  <si>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</si>
  <si>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</si>
  <si>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</si>
  <si>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</si>
  <si>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</si>
  <si>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</si>
  <si>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</si>
  <si>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</si>
  <si>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</si>
  <si>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</si>
  <si>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</si>
  <si>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</si>
  <si>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</si>
  <si>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</si>
  <si>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</si>
  <si>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</si>
  <si>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</si>
  <si>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</si>
  <si>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</si>
  <si>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</si>
  <si>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</si>
  <si>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</si>
  <si>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</si>
  <si>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</si>
  <si>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</si>
  <si>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</si>
  <si>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</si>
  <si>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</si>
  <si>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</si>
  <si>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</si>
  <si>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</si>
  <si>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</si>
  <si>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</si>
  <si>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</si>
  <si>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</si>
  <si>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</si>
  <si>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</si>
  <si>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</si>
  <si>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</si>
  <si>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</si>
  <si>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</si>
  <si>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</si>
  <si>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</si>
  <si>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</si>
  <si>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</si>
  <si>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</si>
  <si>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</si>
  <si>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</si>
  <si>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</si>
  <si>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</si>
  <si>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</si>
  <si>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</si>
  <si>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</si>
  <si>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</si>
  <si>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</si>
  <si>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</si>
  <si>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</si>
  <si>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</si>
  <si>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</si>
  <si>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</si>
  <si>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</si>
  <si>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</si>
  <si>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</si>
  <si>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</si>
  <si>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</si>
  <si>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</si>
  <si>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</si>
  <si>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</si>
  <si>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</si>
  <si>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</si>
  <si>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</si>
  <si>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</si>
  <si>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</si>
  <si>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</si>
  <si>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</si>
  <si>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</si>
  <si>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</si>
  <si>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</si>
  <si>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</si>
  <si>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</si>
  <si>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</si>
  <si>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</si>
  <si>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</si>
  <si>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</si>
  <si>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</si>
  <si>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</si>
  <si>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</si>
  <si>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</si>
  <si>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</si>
  <si>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</si>
  <si>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</si>
  <si>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</si>
  <si>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</si>
  <si>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</si>
  <si>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</si>
  <si>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</si>
  <si>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</si>
  <si>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</si>
  <si>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</si>
  <si>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</si>
  <si>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</si>
  <si>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</si>
  <si>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</si>
  <si>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</si>
  <si>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</si>
  <si>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</si>
  <si>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</si>
  <si>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</si>
  <si>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</si>
  <si>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</si>
  <si>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</si>
  <si>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</si>
  <si>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</si>
  <si>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</si>
  <si>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</si>
  <si>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</si>
  <si>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</si>
  <si>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</si>
  <si>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</si>
  <si>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</si>
  <si>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</si>
  <si>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</si>
  <si>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</si>
  <si>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</si>
  <si>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</si>
  <si>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</si>
  <si>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</si>
  <si>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</si>
  <si>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</si>
  <si>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</si>
  <si>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</si>
  <si>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</si>
  <si>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</si>
  <si>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</si>
  <si>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</si>
  <si>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</si>
  <si>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</si>
  <si>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</si>
  <si>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</si>
  <si>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</si>
  <si>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</si>
  <si>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</si>
  <si>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</si>
  <si>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</si>
  <si>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</si>
  <si>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</si>
  <si>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</si>
  <si>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</si>
  <si>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</si>
  <si>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</si>
  <si>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</si>
  <si>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</si>
  <si>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</si>
  <si>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</si>
  <si>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</si>
  <si>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</si>
  <si>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</si>
  <si>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</si>
  <si>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</si>
  <si>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</si>
  <si>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</si>
  <si>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</si>
  <si>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</si>
  <si>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</si>
  <si>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</si>
  <si>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</si>
  <si>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</si>
  <si>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</si>
  <si>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</si>
  <si>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</si>
  <si>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</si>
  <si>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</si>
  <si>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</si>
  <si>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</si>
  <si>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</si>
  <si>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</si>
  <si>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</si>
  <si>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</si>
  <si>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</si>
  <si>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</si>
  <si>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</si>
  <si>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</si>
  <si>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</si>
  <si>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</si>
  <si>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</si>
  <si>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</si>
  <si>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</si>
  <si>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</si>
  <si>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</si>
  <si>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</si>
  <si>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</si>
  <si>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</si>
  <si>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</si>
  <si>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</si>
  <si>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</si>
  <si>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</si>
  <si>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</si>
  <si>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</si>
  <si>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</si>
  <si>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</si>
  <si>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</si>
  <si>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</si>
  <si>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</si>
  <si>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</si>
  <si>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</si>
  <si>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</si>
  <si>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</si>
  <si>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</si>
  <si>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</si>
  <si>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</si>
  <si>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</si>
  <si>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</si>
  <si>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</si>
  <si>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</si>
  <si>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</si>
  <si>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</si>
  <si>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</si>
  <si>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</si>
  <si>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</si>
  <si>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</si>
  <si>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</si>
  <si>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</si>
  <si>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</si>
  <si>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</si>
  <si>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</si>
  <si>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</si>
  <si>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</si>
  <si>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</si>
  <si>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</si>
  <si>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</si>
  <si>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</si>
  <si>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</si>
  <si>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</si>
  <si>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</si>
  <si>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</si>
  <si>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</si>
  <si>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</si>
  <si>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</si>
  <si>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</si>
  <si>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</si>
  <si>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</si>
  <si>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</si>
  <si>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</si>
  <si>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</si>
  <si>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</si>
  <si>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</si>
  <si>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</si>
  <si>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</si>
  <si>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</si>
  <si>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</si>
  <si>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</si>
  <si>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</si>
  <si>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</si>
  <si>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</si>
  <si>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</si>
  <si>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</si>
  <si>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</si>
  <si>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</si>
  <si>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</si>
  <si>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</si>
  <si>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</si>
  <si>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</si>
  <si>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</si>
  <si>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</si>
  <si>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</si>
  <si>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</si>
  <si>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</si>
  <si>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</si>
  <si>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</si>
  <si>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</si>
  <si>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</si>
  <si>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</si>
  <si>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</si>
  <si>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</si>
  <si>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</si>
  <si>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</si>
  <si>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</si>
  <si>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</si>
  <si>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</si>
  <si>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</si>
  <si>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</si>
  <si>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</si>
  <si>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</si>
  <si>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</si>
  <si>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</si>
  <si>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</si>
  <si>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</si>
  <si>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</si>
  <si>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</si>
  <si>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</si>
  <si>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</si>
  <si>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</si>
  <si>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</si>
  <si>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</si>
  <si>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</si>
  <si>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</si>
  <si>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</si>
  <si>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</si>
  <si>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</si>
  <si>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</si>
  <si>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</si>
  <si>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</si>
  <si>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</si>
  <si>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</si>
  <si>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</si>
  <si>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</si>
  <si>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</si>
  <si>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</si>
  <si>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</si>
  <si>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</si>
  <si>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</si>
  <si>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</si>
  <si>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</si>
  <si>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</si>
  <si>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</si>
  <si>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</si>
  <si>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</si>
  <si>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</si>
  <si>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</si>
  <si>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</si>
  <si>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</si>
  <si>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</si>
  <si>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</si>
  <si>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</si>
  <si>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</si>
  <si>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</si>
  <si>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</si>
  <si>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</si>
  <si>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</si>
  <si>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</si>
  <si>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</si>
  <si>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</si>
  <si>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</si>
  <si>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</si>
  <si>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</si>
  <si>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</si>
  <si>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</si>
  <si>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</si>
  <si>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</si>
  <si>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</si>
  <si>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</si>
  <si>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</si>
  <si>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</si>
  <si>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</si>
  <si>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</si>
  <si>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</si>
  <si>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</si>
  <si>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</si>
  <si>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</si>
  <si>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</si>
  <si>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</si>
  <si>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</si>
  <si>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</si>
  <si>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</si>
  <si>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</si>
  <si>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</si>
  <si>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</si>
  <si>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</si>
  <si>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</si>
  <si>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</si>
  <si>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</si>
  <si>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</si>
  <si>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</si>
  <si>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</si>
  <si>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</si>
  <si>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</si>
  <si>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</si>
  <si>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</si>
  <si>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</si>
  <si>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</si>
  <si>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</si>
  <si>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</si>
  <si>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</si>
  <si>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</si>
  <si>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</si>
  <si>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</si>
  <si>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</si>
  <si>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</si>
  <si>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</si>
  <si>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</si>
  <si>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</si>
  <si>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</si>
  <si>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</si>
  <si>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</si>
  <si>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</si>
  <si>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</si>
  <si>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</si>
  <si>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</si>
  <si>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</si>
  <si>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</si>
  <si>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</si>
  <si>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</si>
  <si>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</si>
  <si>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</si>
  <si>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</si>
  <si>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</si>
  <si>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</si>
  <si>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</si>
  <si>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</si>
  <si>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</si>
  <si>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</si>
  <si>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</si>
  <si>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</si>
  <si>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</si>
  <si>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</si>
  <si>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</si>
  <si>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</si>
  <si>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</si>
  <si>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</si>
  <si>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</si>
  <si>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</si>
  <si>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</si>
  <si>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</si>
  <si>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</si>
  <si>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</si>
  <si>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</si>
  <si>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</si>
  <si>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</si>
  <si>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</si>
  <si>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</si>
  <si>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</si>
  <si>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</si>
  <si>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</si>
  <si>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</si>
  <si>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</si>
  <si>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</si>
  <si>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</si>
  <si>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</si>
  <si>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</si>
  <si>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</si>
  <si>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</si>
  <si>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</si>
  <si>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</si>
  <si>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</si>
  <si>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</si>
  <si>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</si>
  <si>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</si>
  <si>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</si>
  <si>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</si>
  <si>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</si>
  <si>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</si>
  <si>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</si>
  <si>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</si>
  <si>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</si>
  <si>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</si>
  <si>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</si>
  <si>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</si>
  <si>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</si>
  <si>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</si>
  <si>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</si>
  <si>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</si>
  <si>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</si>
  <si>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</si>
  <si>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</si>
  <si>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</si>
  <si>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</si>
  <si>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</si>
  <si>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</si>
  <si>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</si>
  <si>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</si>
  <si>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</si>
  <si>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</si>
  <si>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</si>
  <si>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</si>
  <si>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</si>
  <si>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</si>
  <si>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</si>
  <si>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</si>
  <si>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</si>
  <si>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</si>
  <si>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</si>
  <si>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</si>
  <si>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</si>
  <si>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</si>
  <si>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</si>
  <si>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</si>
  <si>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</si>
  <si>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</si>
  <si>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</si>
  <si>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</si>
  <si>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</si>
  <si>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</si>
  <si>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</si>
  <si>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</si>
  <si>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</si>
  <si>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</si>
  <si>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</si>
  <si>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</si>
  <si>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</si>
  <si>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</si>
  <si>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</si>
  <si>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</si>
  <si>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</si>
  <si>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</si>
  <si>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</si>
  <si>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</si>
  <si>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</si>
  <si>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</si>
  <si>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</si>
  <si>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</si>
  <si>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</si>
  <si>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</si>
  <si>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</si>
  <si>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</si>
  <si>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</si>
  <si>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</si>
  <si>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</si>
  <si>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</si>
  <si>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</si>
  <si>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</si>
  <si>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</si>
  <si>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</si>
  <si>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</si>
  <si>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</si>
  <si>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</si>
  <si>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</si>
  <si>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</si>
  <si>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</si>
  <si>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</si>
  <si>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</si>
  <si>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</si>
  <si>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</si>
  <si>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</si>
  <si>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</si>
  <si>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</si>
  <si>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</si>
  <si>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</si>
  <si>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</si>
  <si>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</si>
  <si>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</si>
  <si>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</si>
  <si>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</si>
  <si>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</si>
  <si>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</si>
  <si>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</si>
  <si>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</si>
  <si>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</si>
  <si>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</si>
  <si>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</si>
  <si>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</si>
  <si>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</si>
  <si>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</si>
  <si>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</si>
  <si>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</si>
  <si>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</si>
  <si>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</si>
  <si>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</si>
  <si>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</si>
  <si>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</si>
  <si>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</si>
  <si>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</si>
  <si>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</si>
  <si>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</si>
  <si>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</si>
  <si>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</si>
  <si>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</si>
  <si>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</si>
  <si>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</si>
  <si>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</si>
  <si>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</si>
  <si>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</si>
  <si>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</si>
  <si>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</si>
  <si>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</si>
  <si>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</si>
  <si>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</si>
  <si>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</si>
  <si>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</si>
  <si>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</si>
  <si>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</si>
  <si>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</si>
  <si>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</si>
  <si>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</si>
  <si>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</si>
  <si>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</si>
  <si>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</si>
  <si>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</si>
  <si>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</si>
  <si>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</si>
  <si>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</si>
  <si>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</si>
  <si>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</si>
  <si>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</si>
  <si>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</si>
  <si>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</si>
  <si>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</si>
  <si>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</si>
  <si>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</si>
  <si>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</si>
  <si>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</si>
  <si>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</si>
  <si>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</si>
  <si>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</si>
  <si>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</si>
  <si>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</si>
  <si>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</si>
  <si>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</si>
  <si>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</si>
  <si>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</si>
  <si>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</si>
  <si>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</si>
  <si>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</si>
  <si>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</si>
  <si>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</si>
  <si>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</si>
  <si>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</si>
  <si>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</si>
  <si>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</si>
  <si>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</si>
  <si>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</si>
  <si>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</si>
  <si>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</si>
  <si>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</si>
  <si>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</si>
  <si>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</si>
  <si>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</si>
  <si>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</si>
  <si>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</si>
  <si>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</si>
  <si>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</si>
  <si>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</si>
  <si>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</si>
  <si>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</si>
  <si>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</si>
  <si>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</si>
  <si>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</si>
  <si>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</si>
  <si>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</si>
  <si>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</si>
  <si>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</si>
  <si>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</si>
  <si>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</si>
  <si>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</si>
  <si>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</si>
  <si>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</si>
  <si>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</si>
  <si>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</si>
  <si>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</si>
  <si>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</si>
  <si>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</si>
  <si>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</si>
  <si>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</si>
  <si>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</si>
  <si>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</si>
  <si>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</si>
  <si>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</si>
  <si>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</si>
  <si>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</si>
  <si>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</si>
  <si>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</si>
  <si>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</si>
  <si>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</si>
  <si>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</si>
  <si>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</si>
  <si>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</si>
  <si>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</si>
  <si>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</si>
  <si>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</si>
  <si>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</si>
  <si>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</si>
  <si>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</si>
  <si>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</si>
  <si>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</si>
  <si>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</si>
  <si>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</si>
  <si>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</si>
  <si>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</si>
  <si>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</si>
  <si>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</si>
  <si>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</si>
  <si>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</si>
  <si>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</si>
  <si>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</si>
  <si>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</si>
  <si>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</si>
  <si>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</si>
  <si>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</si>
  <si>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</si>
  <si>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</si>
  <si>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</si>
  <si>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</si>
  <si>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</si>
  <si>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</si>
  <si>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</si>
  <si>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</si>
  <si>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</si>
  <si>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</si>
  <si>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</si>
  <si>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</si>
  <si>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</si>
  <si>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</si>
  <si>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</si>
  <si>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</si>
  <si>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</si>
  <si>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</si>
  <si>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</si>
  <si>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</si>
  <si>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</si>
  <si>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</si>
  <si>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</si>
  <si>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</si>
  <si>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</si>
  <si>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</si>
  <si>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</si>
  <si>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</si>
  <si>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</si>
  <si>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</si>
  <si>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</si>
  <si>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</si>
  <si>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</si>
  <si>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</si>
  <si>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</si>
  <si>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</si>
  <si>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</si>
  <si>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</si>
  <si>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</si>
  <si>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</si>
  <si>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</si>
  <si>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</si>
  <si>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</si>
  <si>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</si>
  <si>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</si>
  <si>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</si>
  <si>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</si>
  <si>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</si>
  <si>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</si>
  <si>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</si>
  <si>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</si>
  <si>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</si>
  <si>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</si>
  <si>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</si>
  <si>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</si>
  <si>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</si>
  <si>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</si>
  <si>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</si>
  <si>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</si>
  <si>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</si>
  <si>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抵押</t>
  </si>
  <si>
    <t>房地产抵押价值</t>
  </si>
  <si>
    <t>是</t>
  </si>
  <si>
    <t>地上</t>
  </si>
  <si>
    <t>地下</t>
  </si>
  <si>
    <t>成新度</t>
  </si>
  <si>
    <t>收益法</t>
  </si>
  <si>
    <t>商务金融用地</t>
  </si>
  <si>
    <t>不临65条商业街</t>
  </si>
  <si>
    <t>与级别开发程度一致</t>
  </si>
  <si>
    <t>押一</t>
  </si>
  <si>
    <t>钢混</t>
  </si>
  <si>
    <t>非生产用房</t>
  </si>
  <si>
    <t>否</t>
  </si>
  <si>
    <t>现房</t>
  </si>
  <si>
    <t>项目局部</t>
  </si>
  <si>
    <t>成本法</t>
  </si>
  <si>
    <t>总价</t>
  </si>
  <si>
    <t>成本比率</t>
  </si>
  <si>
    <t>办公</t>
    <phoneticPr fontId="7" type="noConversion"/>
  </si>
  <si>
    <t>商业</t>
    <phoneticPr fontId="7" type="noConversion"/>
  </si>
  <si>
    <t>自定义容积率</t>
  </si>
  <si>
    <t>未包含在土地购买价格中</t>
  </si>
  <si>
    <t>全部缴纳</t>
  </si>
  <si>
    <t>已包含在土地取得成本中</t>
  </si>
  <si>
    <t>收益法办公</t>
  </si>
  <si>
    <t>收益法办公</t>
    <phoneticPr fontId="16" type="noConversion"/>
  </si>
  <si>
    <t>Ⅷ-延1</t>
  </si>
  <si>
    <t>楼层修正</t>
  </si>
  <si>
    <t>按比例</t>
  </si>
  <si>
    <t>收益法-酒店模型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</si>
</sst>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估价对象为北京市房地产，为所有。根据《国有土地使用证》[]，估价对象（分摊）出让国有建设用地使用权面积为0平方米，建筑面积为11761.1平方米。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估价对象为北京市房地产,属开发建设的，该项目尚在开发建设中。根据《国有土地使用证》[]，估价对象（分摊）出让国有建设用地使用权面积为0平方米，规划建筑面积为11761.1平方米。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2024年9月18日</v>
      </c>
    </row>
    <row r="13" spans="1:2">
      <c r="A13" s="1119" t="s">
        <v>529</v>
      </c>
      <c r="B13" s="1120"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16405</v>
      </c>
    </row>
    <row r="21" spans="1:2">
      <c r="A21" s="1119" t="s">
        <v>537</v>
      </c>
      <c r="B21" s="1120">
        <f ca="1">'预评函-2'!D7</f>
        <v>13949</v>
      </c>
    </row>
    <row r="22" spans="1:2">
      <c r="A22" s="1119" t="s">
        <v>538</v>
      </c>
      <c r="B22" s="1120" t="str">
        <f ca="1">'预评函-2'!D6</f>
        <v>壹亿陆仟肆佰零伍万元整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16405</v>
      </c>
    </row>
    <row r="31" spans="1:2">
      <c r="A31" s="1119" t="s">
        <v>576</v>
      </c>
      <c r="B31" s="1120">
        <f ca="1">'预评函-2'!D15</f>
        <v>13949</v>
      </c>
    </row>
    <row r="32" spans="1:2">
      <c r="A32" s="1119" t="s">
        <v>543</v>
      </c>
      <c r="B32" s="1120" t="str">
        <f ca="1">'预评函-2'!D14</f>
        <v>壹亿陆仟肆佰零伍万元整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11761.1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4856</v>
      </c>
    </row>
    <row r="48" spans="1:2">
      <c r="A48" s="1119" t="s">
        <v>549</v>
      </c>
      <c r="B48" s="1120">
        <f ca="1">'预评函-3'!E4</f>
        <v>4129</v>
      </c>
    </row>
    <row r="49" spans="1:2">
      <c r="A49" s="1119" t="s">
        <v>550</v>
      </c>
      <c r="B49" s="1120" t="str">
        <f ca="1">'预评函-3'!D5</f>
        <v>肆仟捌佰伍拾陆万元整</v>
      </c>
    </row>
    <row r="50" spans="1:2">
      <c r="A50" s="1119" t="s">
        <v>574</v>
      </c>
      <c r="B50" s="1120" t="str">
        <f>'预评函-3'!F2</f>
        <v>在建建筑物价值</v>
      </c>
    </row>
    <row r="51" spans="1:2">
      <c r="A51" s="1119" t="s">
        <v>551</v>
      </c>
      <c r="B51" s="1120">
        <f ca="1">'预评函-3'!F4</f>
        <v>11549</v>
      </c>
    </row>
    <row r="52" spans="1:2">
      <c r="A52" s="1119" t="s">
        <v>552</v>
      </c>
      <c r="B52" s="1120">
        <f ca="1">'预评函-3'!G4</f>
        <v>9820</v>
      </c>
    </row>
    <row r="53" spans="1:2">
      <c r="A53" s="1119" t="s">
        <v>580</v>
      </c>
      <c r="B53" s="1120" t="str">
        <f ca="1">'预评函-3'!F5</f>
        <v>壹亿壹仟伍佰肆拾玖万元整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G20" sqref="G20"/>
    </sheetView>
  </sheetViews>
  <sheetFormatPr defaultRowHeight="13.5"/>
  <sheetData/>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W127"/>
  <sheetViews>
    <sheetView workbookViewId="0">
      <selection activeCell="H17" sqref="H1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3410</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86" t="s">
        <v>2580</v>
      </c>
      <c r="J2" s="3186"/>
      <c r="K2" s="3186"/>
      <c r="L2" s="3186"/>
      <c r="M2" s="3186"/>
      <c r="N2" s="3186"/>
      <c r="O2" s="3186"/>
      <c r="P2" s="3186"/>
      <c r="Q2" s="3186"/>
      <c r="R2" s="3186"/>
    </row>
    <row r="3" spans="1:18">
      <c r="A3" s="2763" t="s">
        <v>2501</v>
      </c>
      <c r="B3" s="2764">
        <f>项目基本情况!D3</f>
        <v>45553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2.25</v>
      </c>
      <c r="D5" s="2768">
        <f>IF(ISERROR(ROUND(POWER(1+E5,A5-C5)*(POWER(1+E5,C5)-1)/(POWER(1+E5,A5)-1),3)),0,ROUND(POWER(1+E5,A5-C5)*(POWER(1+E5,C5)-1)/(POWER(1+E5,A5)-1),4))</f>
        <v>0.1067</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12.26</v>
      </c>
      <c r="D6" s="2768">
        <f>IF(ISERROR(ROUND(POWER(1+E6,A6-C6)*(POWER(1+E6,C6)-1)/(POWER(1+E6,A6)-1),3)),0,ROUND(POWER(1+E6,A6-C6)*(POWER(1+E6,C6)-1)/(POWER(1+E6,A6)-1),4))</f>
        <v>0.44429999999999997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32.270000000000003</v>
      </c>
      <c r="D7" s="2768">
        <f>IF(ISERROR(ROUND(POWER(1+E7,A7-C7)*(POWER(1+E7,C7)-1)/(POWER(1+E7,A7)-1),3)),0,ROUND(POWER(1+E7,A7-C7)*(POWER(1+E7,C7)-1)/(POWER(1+E7,A7)-1),4))</f>
        <v>0.76719999999999999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3">
      <c r="A17" s="2763" t="s">
        <v>2517</v>
      </c>
      <c r="B17" s="2771">
        <v>4810</v>
      </c>
      <c r="C17" s="2765"/>
      <c r="D17" s="2761"/>
      <c r="E17" s="2761"/>
      <c r="F17" s="2762"/>
    </row>
    <row r="18" spans="1:13" ht="14.25" thickBot="1">
      <c r="A18" s="2773" t="s">
        <v>2516</v>
      </c>
      <c r="B18" s="2774">
        <f>ROUND(B17*F11/F12,2)</f>
        <v>5541.87</v>
      </c>
      <c r="C18" s="2774">
        <f>ROUND(F11/F12,4)</f>
        <v>1.1521999999999999</v>
      </c>
      <c r="D18" s="2775"/>
      <c r="E18" s="2775"/>
      <c r="F18" s="2776"/>
    </row>
    <row r="19" spans="1:13" ht="14.25" thickBot="1"/>
    <row r="20" spans="1:13" s="2809" customFormat="1" ht="14.25" thickTop="1">
      <c r="A20" s="2806" t="s">
        <v>2519</v>
      </c>
      <c r="B20" s="2807"/>
      <c r="C20" s="2807"/>
      <c r="D20" s="2807"/>
      <c r="E20" s="2807"/>
      <c r="F20" s="2807"/>
      <c r="G20" s="2808"/>
      <c r="I20" s="2810" t="s">
        <v>2564</v>
      </c>
      <c r="J20" s="2810" t="s">
        <v>2569</v>
      </c>
      <c r="K20" s="2810"/>
      <c r="L20" s="2810"/>
      <c r="M20" s="2810"/>
    </row>
    <row r="21" spans="1:13">
      <c r="A21" s="2777"/>
      <c r="B21" s="2778" t="s">
        <v>2520</v>
      </c>
      <c r="C21" s="2778" t="s">
        <v>2521</v>
      </c>
      <c r="D21" s="2778" t="s">
        <v>2522</v>
      </c>
      <c r="E21" s="2778" t="s">
        <v>2523</v>
      </c>
      <c r="F21" s="2778" t="s">
        <v>2524</v>
      </c>
      <c r="G21" s="2779" t="s">
        <v>2525</v>
      </c>
      <c r="I21" s="2800">
        <v>5</v>
      </c>
      <c r="J21" s="2800">
        <v>54.2</v>
      </c>
    </row>
    <row r="22" spans="1:13">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2527</v>
      </c>
      <c r="B23" s="2780">
        <v>70</v>
      </c>
      <c r="C23" s="2780">
        <v>40</v>
      </c>
      <c r="D23" s="2781">
        <v>0.04</v>
      </c>
      <c r="E23" s="2778">
        <f>ROUND(POWER(1+D23,B23-C23)*(POWER(1+D23,C23)-1)/(POWER(1+D23,B23)-1),3)</f>
        <v>0.84599999999999997</v>
      </c>
      <c r="F23" s="2781">
        <f>F22</f>
        <v>0.7</v>
      </c>
      <c r="G23" s="2779">
        <f>ROUND(100*(1-(1-E23)*F23),1)</f>
        <v>89.2</v>
      </c>
      <c r="I23" s="2800">
        <v>15</v>
      </c>
      <c r="J23" s="2800">
        <v>74.099999999999994</v>
      </c>
      <c r="K23" s="2800">
        <f t="shared" ref="K23:K30" si="0">J23-J22</f>
        <v>8.6999999999999886</v>
      </c>
      <c r="L23" s="2800" t="s">
        <v>2567</v>
      </c>
      <c r="M23" s="2800" t="s">
        <v>2568</v>
      </c>
    </row>
    <row r="24" spans="1:13">
      <c r="A24" s="2777" t="s">
        <v>2528</v>
      </c>
      <c r="B24" s="2780">
        <v>70</v>
      </c>
      <c r="C24" s="2780">
        <v>50</v>
      </c>
      <c r="D24" s="2781">
        <v>0.04</v>
      </c>
      <c r="E24" s="2778">
        <f>ROUND(POWER(1+D24,B24-C24)*(POWER(1+D24,C24)-1)/(POWER(1+D24,B24)-1),3)</f>
        <v>0.91800000000000004</v>
      </c>
      <c r="F24" s="2781">
        <f>F23</f>
        <v>0.7</v>
      </c>
      <c r="G24" s="2779">
        <f>ROUND(100*(1-(1-E24)*F24),1)</f>
        <v>94.3</v>
      </c>
      <c r="I24" s="2800">
        <v>20</v>
      </c>
      <c r="J24" s="2800">
        <v>81</v>
      </c>
      <c r="K24" s="2800">
        <f t="shared" si="0"/>
        <v>6.9000000000000057</v>
      </c>
      <c r="L24" s="2800" t="s">
        <v>2566</v>
      </c>
      <c r="M24" s="2800">
        <v>10</v>
      </c>
    </row>
    <row r="25" spans="1:13">
      <c r="A25" s="2777" t="s">
        <v>2529</v>
      </c>
      <c r="B25" s="2780">
        <v>70</v>
      </c>
      <c r="C25" s="2780">
        <v>60</v>
      </c>
      <c r="D25" s="2781">
        <v>0.04</v>
      </c>
      <c r="E25" s="2778">
        <f>ROUND(POWER(1+D25,B25-C25)*(POWER(1+D25,C25)-1)/(POWER(1+D25,B25)-1),3)</f>
        <v>0.96699999999999997</v>
      </c>
      <c r="F25" s="2781">
        <f>F24</f>
        <v>0.7</v>
      </c>
      <c r="G25" s="2779">
        <f>ROUND(100*(1-(1-E25)*F25),1)</f>
        <v>97.7</v>
      </c>
      <c r="I25" s="2800">
        <v>25</v>
      </c>
      <c r="J25" s="2800">
        <v>86.3</v>
      </c>
      <c r="K25" s="2800">
        <f t="shared" si="0"/>
        <v>5.2999999999999972</v>
      </c>
      <c r="L25" s="2800" t="s">
        <v>2570</v>
      </c>
      <c r="M25" s="2800">
        <v>8</v>
      </c>
    </row>
    <row r="26" spans="1:13">
      <c r="A26" s="2782"/>
      <c r="B26" s="2783"/>
      <c r="C26" s="2783"/>
      <c r="D26" s="2783"/>
      <c r="E26" s="2783"/>
      <c r="F26" s="2783"/>
      <c r="G26" s="2784"/>
      <c r="I26" s="2800">
        <v>30</v>
      </c>
      <c r="J26" s="2800">
        <v>90.5</v>
      </c>
      <c r="K26" s="2800">
        <f t="shared" si="0"/>
        <v>4.2000000000000028</v>
      </c>
      <c r="L26" s="2800" t="s">
        <v>2571</v>
      </c>
      <c r="M26" s="2800">
        <v>5</v>
      </c>
    </row>
    <row r="27" spans="1:13">
      <c r="A27" s="2782" t="s">
        <v>2530</v>
      </c>
      <c r="B27" s="2783"/>
      <c r="C27" s="2783"/>
      <c r="D27" s="2783"/>
      <c r="E27" s="2783"/>
      <c r="F27" s="2783"/>
      <c r="G27" s="2784"/>
      <c r="I27" s="2800">
        <v>35</v>
      </c>
      <c r="J27" s="2800">
        <v>93.8</v>
      </c>
      <c r="K27" s="2800">
        <f t="shared" si="0"/>
        <v>3.2999999999999972</v>
      </c>
      <c r="L27" s="2800" t="s">
        <v>2572</v>
      </c>
      <c r="M27" s="2800">
        <v>3</v>
      </c>
    </row>
    <row r="28" spans="1:13">
      <c r="A28" s="2782" t="s">
        <v>2531</v>
      </c>
      <c r="B28" s="2783"/>
      <c r="C28" s="2783"/>
      <c r="D28" s="2783"/>
      <c r="E28" s="2783"/>
      <c r="F28" s="2783"/>
      <c r="G28" s="2784"/>
      <c r="I28" s="2800">
        <v>40</v>
      </c>
      <c r="J28" s="2800">
        <v>96.4</v>
      </c>
      <c r="K28" s="2800">
        <f t="shared" si="0"/>
        <v>2.6000000000000085</v>
      </c>
      <c r="L28" s="2800" t="s">
        <v>2573</v>
      </c>
      <c r="M28" s="2800">
        <v>2</v>
      </c>
    </row>
    <row r="29" spans="1:13">
      <c r="A29" s="2782" t="s">
        <v>2532</v>
      </c>
      <c r="B29" s="2783"/>
      <c r="C29" s="2783"/>
      <c r="D29" s="2783"/>
      <c r="E29" s="2783"/>
      <c r="F29" s="2783"/>
      <c r="G29" s="2784"/>
      <c r="I29" s="2800">
        <v>45</v>
      </c>
      <c r="J29" s="2800">
        <v>98.4</v>
      </c>
      <c r="K29" s="2800">
        <f t="shared" si="0"/>
        <v>2</v>
      </c>
    </row>
    <row r="30" spans="1:13">
      <c r="A30" s="2782" t="s">
        <v>2533</v>
      </c>
      <c r="B30" s="2783"/>
      <c r="C30" s="2783"/>
      <c r="D30" s="2783"/>
      <c r="E30" s="2783"/>
      <c r="F30" s="2783"/>
      <c r="G30" s="2784"/>
      <c r="I30" s="2800">
        <v>50</v>
      </c>
      <c r="J30" s="2800">
        <v>100</v>
      </c>
      <c r="K30" s="2800">
        <f t="shared" si="0"/>
        <v>1.5999999999999943</v>
      </c>
    </row>
    <row r="31" spans="1:13">
      <c r="A31" s="2782" t="s">
        <v>2534</v>
      </c>
      <c r="B31" s="2783"/>
      <c r="C31" s="2783"/>
      <c r="D31" s="2783"/>
      <c r="E31" s="2783"/>
      <c r="F31" s="2783"/>
      <c r="G31" s="2784"/>
      <c r="I31" s="2800" t="s">
        <v>2565</v>
      </c>
    </row>
    <row r="32" spans="1:13">
      <c r="A32" s="2782" t="s">
        <v>2535</v>
      </c>
      <c r="B32" s="2783"/>
      <c r="C32" s="2783"/>
      <c r="D32" s="2783"/>
      <c r="E32" s="2783"/>
      <c r="F32" s="2783"/>
      <c r="G32" s="2784"/>
    </row>
    <row r="33" spans="1:13">
      <c r="A33" s="2782" t="s">
        <v>2536</v>
      </c>
      <c r="B33" s="2783"/>
      <c r="C33" s="2783"/>
      <c r="D33" s="2783"/>
      <c r="E33" s="2783"/>
      <c r="F33" s="2783"/>
      <c r="G33" s="2784"/>
      <c r="I33" s="2800" t="s">
        <v>2564</v>
      </c>
      <c r="J33" s="2800" t="s">
        <v>2574</v>
      </c>
    </row>
    <row r="34" spans="1:13">
      <c r="A34" s="2782" t="s">
        <v>2537</v>
      </c>
      <c r="B34" s="2783"/>
      <c r="C34" s="2783"/>
      <c r="D34" s="2783"/>
      <c r="E34" s="2783"/>
      <c r="F34" s="2783"/>
      <c r="G34" s="2784"/>
      <c r="I34" s="2800">
        <v>5</v>
      </c>
      <c r="J34" s="2800">
        <v>55.1</v>
      </c>
    </row>
    <row r="35" spans="1:13">
      <c r="A35" s="2782" t="s">
        <v>2538</v>
      </c>
      <c r="B35" s="2783"/>
      <c r="C35" s="2783"/>
      <c r="D35" s="2783"/>
      <c r="E35" s="2783"/>
      <c r="F35" s="2783"/>
      <c r="G35" s="2784"/>
      <c r="I35" s="2800">
        <v>10</v>
      </c>
      <c r="J35" s="2800">
        <v>67</v>
      </c>
      <c r="K35" s="2800">
        <f>J35-J34</f>
        <v>11.899999999999999</v>
      </c>
    </row>
    <row r="36" spans="1:13">
      <c r="A36" s="2782" t="s">
        <v>2539</v>
      </c>
      <c r="B36" s="2783"/>
      <c r="C36" s="2783"/>
      <c r="D36" s="2783"/>
      <c r="E36" s="2783"/>
      <c r="F36" s="2783"/>
      <c r="G36" s="2784"/>
      <c r="I36" s="2800">
        <v>15</v>
      </c>
      <c r="J36" s="2800">
        <v>76.3</v>
      </c>
      <c r="K36" s="2800">
        <f t="shared" ref="K36:K41" si="1">J36-J35</f>
        <v>9.2999999999999972</v>
      </c>
      <c r="L36" s="2800" t="s">
        <v>2567</v>
      </c>
      <c r="M36" s="2800" t="s">
        <v>2568</v>
      </c>
    </row>
    <row r="37" spans="1:13">
      <c r="A37" s="2782" t="s">
        <v>2540</v>
      </c>
      <c r="B37" s="2783"/>
      <c r="C37" s="2783"/>
      <c r="D37" s="2783"/>
      <c r="E37" s="2783"/>
      <c r="F37" s="2783"/>
      <c r="G37" s="2784"/>
      <c r="I37" s="2800">
        <v>20</v>
      </c>
      <c r="J37" s="2800">
        <v>83.6</v>
      </c>
      <c r="K37" s="2800">
        <f t="shared" si="1"/>
        <v>7.2999999999999972</v>
      </c>
      <c r="L37" s="2800" t="s">
        <v>2566</v>
      </c>
      <c r="M37" s="2800">
        <v>10</v>
      </c>
    </row>
    <row r="38" spans="1:13">
      <c r="A38" s="2782" t="s">
        <v>2541</v>
      </c>
      <c r="B38" s="2783"/>
      <c r="C38" s="2783"/>
      <c r="D38" s="2783"/>
      <c r="E38" s="2783"/>
      <c r="F38" s="2783"/>
      <c r="G38" s="2784"/>
      <c r="I38" s="2800">
        <v>25</v>
      </c>
      <c r="J38" s="2800">
        <v>89.3</v>
      </c>
      <c r="K38" s="2800">
        <f t="shared" si="1"/>
        <v>5.7000000000000028</v>
      </c>
      <c r="L38" s="2800" t="s">
        <v>2570</v>
      </c>
      <c r="M38" s="2800">
        <v>8</v>
      </c>
    </row>
    <row r="39" spans="1:13">
      <c r="A39" s="2782"/>
      <c r="B39" s="2783"/>
      <c r="C39" s="2783"/>
      <c r="D39" s="2783"/>
      <c r="E39" s="2783"/>
      <c r="F39" s="2783"/>
      <c r="G39" s="2784"/>
      <c r="I39" s="2800">
        <v>30</v>
      </c>
      <c r="J39" s="2800">
        <v>93.8</v>
      </c>
      <c r="K39" s="2800">
        <f t="shared" si="1"/>
        <v>4.5</v>
      </c>
      <c r="L39" s="2800" t="s">
        <v>2571</v>
      </c>
      <c r="M39" s="2800">
        <v>6</v>
      </c>
    </row>
    <row r="40" spans="1:13">
      <c r="A40" s="2785" t="s">
        <v>2542</v>
      </c>
      <c r="B40" s="2786"/>
      <c r="C40" s="2786"/>
      <c r="D40" s="2786"/>
      <c r="E40" s="2786"/>
      <c r="F40" s="2786"/>
      <c r="G40" s="2787"/>
      <c r="I40" s="2800">
        <v>35</v>
      </c>
      <c r="J40" s="2800">
        <v>97.2</v>
      </c>
      <c r="K40" s="2800">
        <f t="shared" si="1"/>
        <v>3.4000000000000057</v>
      </c>
      <c r="L40" s="2800" t="s">
        <v>2572</v>
      </c>
      <c r="M40" s="2800">
        <v>3</v>
      </c>
    </row>
    <row r="41" spans="1:13">
      <c r="A41" s="2788" t="s">
        <v>2543</v>
      </c>
      <c r="B41" s="2789" t="s">
        <v>2544</v>
      </c>
      <c r="C41" s="2790" t="s">
        <v>2545</v>
      </c>
      <c r="D41" s="2790" t="s">
        <v>2546</v>
      </c>
      <c r="E41" s="2791"/>
      <c r="F41" s="2792"/>
      <c r="G41" s="2793"/>
      <c r="I41" s="2800">
        <v>40</v>
      </c>
      <c r="J41" s="2800">
        <v>100</v>
      </c>
      <c r="K41" s="2800">
        <f t="shared" si="1"/>
        <v>2.7999999999999972</v>
      </c>
    </row>
    <row r="42" spans="1:13">
      <c r="A42" s="2788" t="s">
        <v>2547</v>
      </c>
      <c r="B42" s="2789" t="s">
        <v>2548</v>
      </c>
      <c r="C42" s="2790" t="s">
        <v>2549</v>
      </c>
      <c r="D42" s="2794" t="s">
        <v>2550</v>
      </c>
      <c r="E42" s="2786" t="s">
        <v>2551</v>
      </c>
      <c r="F42" s="2786"/>
      <c r="G42" s="2787"/>
    </row>
    <row r="43" spans="1:13">
      <c r="A43" s="2788" t="s">
        <v>2552</v>
      </c>
      <c r="B43" s="2789" t="s">
        <v>2553</v>
      </c>
      <c r="C43" s="2790" t="s">
        <v>2554</v>
      </c>
      <c r="D43" s="2790" t="s">
        <v>2555</v>
      </c>
      <c r="E43" s="2791" t="s">
        <v>2556</v>
      </c>
      <c r="F43" s="2792"/>
      <c r="G43" s="2793"/>
      <c r="I43" s="2800" t="s">
        <v>2564</v>
      </c>
      <c r="J43" s="2800" t="s">
        <v>2575</v>
      </c>
    </row>
    <row r="44" spans="1:13">
      <c r="A44" s="2788" t="s">
        <v>2557</v>
      </c>
      <c r="B44" s="2789" t="s">
        <v>2558</v>
      </c>
      <c r="C44" s="2790" t="s">
        <v>2559</v>
      </c>
      <c r="D44" s="2794">
        <v>0.5</v>
      </c>
      <c r="E44" s="2791" t="s">
        <v>2560</v>
      </c>
      <c r="F44" s="2792"/>
      <c r="G44" s="2793"/>
      <c r="I44" s="2800">
        <v>30</v>
      </c>
      <c r="J44" s="2800">
        <v>81.7</v>
      </c>
    </row>
    <row r="45" spans="1:13" ht="14.25" thickBot="1">
      <c r="A45" s="2795" t="s">
        <v>2561</v>
      </c>
      <c r="B45" s="2796" t="s">
        <v>2548</v>
      </c>
      <c r="C45" s="2797" t="s">
        <v>2548</v>
      </c>
      <c r="D45" s="2797" t="s">
        <v>2562</v>
      </c>
      <c r="E45" s="2798" t="s">
        <v>2563</v>
      </c>
      <c r="F45" s="2798"/>
      <c r="G45" s="2799"/>
      <c r="I45" s="2800">
        <v>40</v>
      </c>
      <c r="J45" s="2800">
        <v>89.2</v>
      </c>
      <c r="K45" s="2800">
        <f>J45-J44</f>
        <v>7.5</v>
      </c>
    </row>
    <row r="46" spans="1:13">
      <c r="I46" s="2800">
        <v>50</v>
      </c>
      <c r="J46" s="2800">
        <v>94.3</v>
      </c>
      <c r="K46" s="2800">
        <f>J46-J45</f>
        <v>5.0999999999999943</v>
      </c>
    </row>
    <row r="47" spans="1:13">
      <c r="I47" s="2800">
        <v>60</v>
      </c>
      <c r="J47" s="2800">
        <v>97.7</v>
      </c>
      <c r="K47" s="2800">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3" zoomScale="115" zoomScaleNormal="100" zoomScaleSheetLayoutView="115" workbookViewId="0">
      <selection activeCell="C43" sqref="C4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18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45553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3384</v>
      </c>
      <c r="C8" s="2201"/>
      <c r="D8" s="3190" t="s">
        <v>2177</v>
      </c>
      <c r="E8" s="2202"/>
      <c r="F8" s="2203"/>
      <c r="G8" s="2442"/>
      <c r="H8" s="2442"/>
      <c r="I8" s="2442"/>
      <c r="J8" s="2245"/>
      <c r="K8" s="2400"/>
      <c r="L8" s="2399"/>
      <c r="M8" s="2399"/>
      <c r="N8" s="2245"/>
      <c r="O8" s="1670"/>
      <c r="P8" s="2245"/>
      <c r="Q8" s="2245"/>
      <c r="R8" s="2245"/>
    </row>
    <row r="9" spans="1:30" ht="13.5" thickBot="1">
      <c r="A9" s="2204" t="s">
        <v>2178</v>
      </c>
      <c r="B9" s="2205" t="s">
        <v>3385</v>
      </c>
      <c r="C9" s="2206"/>
      <c r="D9" s="3191"/>
      <c r="E9" s="2205"/>
      <c r="F9" s="2207"/>
      <c r="G9" s="2443"/>
      <c r="H9" s="2443"/>
      <c r="I9" s="2443"/>
      <c r="J9" s="2245"/>
      <c r="K9" s="2402"/>
      <c r="L9" s="2399"/>
      <c r="M9" s="2399"/>
      <c r="N9" s="2245"/>
      <c r="O9" s="1670"/>
      <c r="P9" s="2245"/>
      <c r="Q9" s="2245"/>
      <c r="R9" s="2245"/>
    </row>
    <row r="10" spans="1:30" ht="13.5" thickTop="1">
      <c r="A10" s="2208" t="s">
        <v>2179</v>
      </c>
      <c r="B10" s="2209" t="s">
        <v>3382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52225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18.27</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7"/>
      <c r="C16" s="3198"/>
      <c r="D16" s="3199"/>
      <c r="E16" s="2222" t="s">
        <v>2194</v>
      </c>
      <c r="F16" s="3200"/>
      <c r="G16" s="3201"/>
      <c r="H16" s="3201"/>
      <c r="I16" s="3202"/>
      <c r="J16" s="2245"/>
      <c r="K16" s="2403"/>
      <c r="L16" s="1670"/>
      <c r="M16" s="1670"/>
      <c r="N16" s="2245"/>
      <c r="O16" s="1670"/>
      <c r="P16" s="2245"/>
      <c r="Q16" s="2245"/>
      <c r="R16" s="2245"/>
    </row>
    <row r="17" spans="1:28">
      <c r="A17" s="305" t="s">
        <v>2195</v>
      </c>
      <c r="B17" s="294" t="s">
        <v>2196</v>
      </c>
      <c r="C17" s="8">
        <f>'数据-汇总表'!E3</f>
        <v>11761.1</v>
      </c>
      <c r="D17" s="1256" t="s">
        <v>2197</v>
      </c>
      <c r="E17" s="3203" t="s">
        <v>2198</v>
      </c>
      <c r="F17" s="3204"/>
      <c r="G17" s="3204"/>
      <c r="H17" s="3204"/>
      <c r="I17" s="320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06" t="s">
        <v>2202</v>
      </c>
      <c r="F18" s="3207"/>
      <c r="G18" s="3207"/>
      <c r="H18" s="3207"/>
      <c r="I18" s="320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3" t="s">
        <v>2206</v>
      </c>
      <c r="C20" s="3194"/>
      <c r="D20" s="3195" t="s">
        <v>2207</v>
      </c>
      <c r="E20" s="3196"/>
      <c r="F20" s="2430" t="s">
        <v>1056</v>
      </c>
      <c r="G20" s="2442"/>
      <c r="H20" s="2442"/>
      <c r="I20" s="2442"/>
      <c r="J20" s="2245"/>
      <c r="K20" s="31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305</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3411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11761.1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11761.1</v>
      </c>
      <c r="H5" s="13">
        <f t="shared" ref="H5:AT5" si="0">SUM(H13:H656)</f>
        <v>11761.1</v>
      </c>
      <c r="I5" s="13">
        <f t="shared" si="0"/>
        <v>11761.1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11761.1</v>
      </c>
      <c r="BA5" s="15">
        <f t="shared" si="1"/>
        <v>11761.1</v>
      </c>
      <c r="BB5" s="15">
        <f t="shared" si="1"/>
        <v>11761.1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t="s">
        <v>3387</v>
      </c>
      <c r="L9" s="761"/>
      <c r="M9" s="1491" t="s">
        <v>3388</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2244"/>
      <c r="D13" s="1513" t="s">
        <v>3386</v>
      </c>
      <c r="E13" s="13">
        <f>IF($C$3="是",ROUND($A$3*G13/$B$3,2),ROUND($A$3*(G13-AT13)/$B$3,2))</f>
        <v>0</v>
      </c>
      <c r="F13" s="29"/>
      <c r="G13" s="30">
        <f>H13+AC13+AT13</f>
        <v>11761.1</v>
      </c>
      <c r="H13" s="17">
        <f>SUMIF(I$12:AB$12,"总值",I13:AB13)</f>
        <v>11761.1</v>
      </c>
      <c r="I13" s="1514">
        <v>11761.1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11761.1</v>
      </c>
      <c r="BA13" s="13">
        <f>SUM(BB13:BK13)</f>
        <v>11761.1</v>
      </c>
      <c r="BB13" s="13">
        <f>IF($D13="是",I13-J13,0)</f>
        <v>11761.1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2244"/>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2244"/>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224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2244"/>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C4"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11761.1</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11761.1</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11761.1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11761.1</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0</v>
      </c>
      <c r="E19" s="51">
        <f t="shared" ref="E19:E26" si="1">SUM(F19:G19)</f>
        <v>0</v>
      </c>
      <c r="F19" s="2558">
        <f>'数据-基础表'!K13</f>
        <v>0</v>
      </c>
      <c r="G19" s="1243">
        <f>'数据-基础表'!M13</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0</v>
      </c>
    </row>
    <row r="20" spans="1:19">
      <c r="A20" s="1549"/>
      <c r="B20" s="45" t="s">
        <v>1153</v>
      </c>
      <c r="C20" s="3116" t="s">
        <v>3404</v>
      </c>
      <c r="D20" s="43">
        <f t="shared" ref="D20:D26" si="6">ROUND($D$3*E20/$E$3,2)</f>
        <v>0</v>
      </c>
      <c r="E20" s="51">
        <f t="shared" si="1"/>
        <v>11761.1</v>
      </c>
      <c r="F20" s="2558">
        <f>'数据-基础表'!I13</f>
        <v>11761.1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11761.1</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11761.1</v>
      </c>
      <c r="F27" s="1072">
        <f>IF(SUM(F19:F26)=E8,SUM(F19:F26),"地上面积有误")</f>
        <v>11761.1</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11761.1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11761.1</v>
      </c>
      <c r="F31" s="644">
        <f>F27+F30</f>
        <v>11761.1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F41" sqref="F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45553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 t="shared" ref="G6:G13" si="0">IF(ISERROR(ROUND(POWER(1+H6,D6-F6)*(POWER(1+H6,F6)-1)/(POWER(1+H6,D6)-1),3)),0,ROUND(POWER(1+H6,D6-F6)*(POWER(1+H6,F6)-1)/(POWER(1+H6,D6)-1),3))</f>
        <v>0</v>
      </c>
      <c r="H6" s="691">
        <v>0.05</v>
      </c>
      <c r="I6" s="691">
        <v>5.5E-2</v>
      </c>
      <c r="J6" s="63">
        <v>7.0000000000000007E-2</v>
      </c>
      <c r="K6" s="970">
        <f>SUMIF('数据-汇总表'!C$19:C$33,A6,'数据-汇总表'!E$19:E$33)</f>
        <v>0</v>
      </c>
      <c r="L6" s="692">
        <v>4500</v>
      </c>
      <c r="M6" s="64">
        <f t="shared" ref="M6:M14" si="1">ROUND(K6*L6/10000,0)</f>
        <v>0</v>
      </c>
      <c r="N6" s="690">
        <f>1-(2024-2021)/60</f>
        <v>0.95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0.95</v>
      </c>
      <c r="Z6" s="69"/>
      <c r="AA6" s="63"/>
      <c r="AB6" s="63"/>
      <c r="AC6" s="979"/>
      <c r="AD6" s="70"/>
      <c r="AE6" s="980">
        <f ca="1">IF(AN6="",0,SUMIF(INDIRECT("'"&amp;AN6&amp;"'"&amp;"!E:E"),$AE$5,INDIRECT("'"&amp;AN6&amp;"'"&amp;"!F:F")))</f>
        <v>0</v>
      </c>
      <c r="AF6" s="74"/>
      <c r="AG6" s="130">
        <f>IF(AF6="",0,AE6-AF6)</f>
        <v>0</v>
      </c>
      <c r="AH6" s="71"/>
      <c r="AI6" s="73">
        <v>365</v>
      </c>
      <c r="AJ6" s="74"/>
      <c r="AK6" s="75">
        <v>0.01</v>
      </c>
      <c r="AL6" s="76">
        <v>1E-3</v>
      </c>
      <c r="AM6" s="77">
        <v>0.01</v>
      </c>
      <c r="AN6" s="1589" t="s">
        <v>3409</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2">IF(A7=0,"","经营性")</f>
        <v>经营性</v>
      </c>
      <c r="C7" s="1588" t="s">
        <v>673</v>
      </c>
      <c r="D7" s="805">
        <f>SUMIF(项目基本情况!C$12:I$12,C7,项目基本情况!C$14:I$14)</f>
        <v>40</v>
      </c>
      <c r="E7" s="804">
        <f>IF(B7="","",SUMIF(项目基本情况!C$12:I$12,C7,项目基本情况!C$13:I$13))</f>
        <v>52225</v>
      </c>
      <c r="F7" s="61">
        <f>SUMIF(项目基本情况!C$12:I$12,C7,项目基本情况!C$15:I$15)</f>
        <v>18.27</v>
      </c>
      <c r="G7" s="62">
        <f t="shared" si="0"/>
        <v>0.68799999999999994</v>
      </c>
      <c r="H7" s="691">
        <v>0.05</v>
      </c>
      <c r="I7" s="691">
        <v>5.5E-2</v>
      </c>
      <c r="J7" s="63">
        <v>7.0000000000000007E-2</v>
      </c>
      <c r="K7" s="970">
        <f>SUMIF('数据-汇总表'!C$19:C$33,A7,'数据-汇总表'!E$19:E$33)</f>
        <v>11761.1</v>
      </c>
      <c r="L7" s="692">
        <v>7500</v>
      </c>
      <c r="M7" s="64">
        <f t="shared" si="1"/>
        <v>8821</v>
      </c>
      <c r="N7" s="690">
        <f>N6</f>
        <v>0.95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7.5</v>
      </c>
      <c r="V7" s="67">
        <v>0.02</v>
      </c>
      <c r="W7" s="67">
        <v>0.1</v>
      </c>
      <c r="X7" s="979"/>
      <c r="Y7" s="68">
        <f>Y6</f>
        <v>0.95</v>
      </c>
      <c r="Z7" s="69"/>
      <c r="AA7" s="63"/>
      <c r="AB7" s="63"/>
      <c r="AC7" s="979"/>
      <c r="AD7" s="70"/>
      <c r="AE7" s="980">
        <f t="shared" ref="AE7:AE13" ca="1" si="6">IF(AN7="",0,SUMIF(INDIRECT("'"&amp;AN7&amp;"'"&amp;"!E:E"),$AE$5,INDIRECT("'"&amp;AN7&amp;"'"&amp;"!F:F")))</f>
        <v>18.27</v>
      </c>
      <c r="AF7" s="74"/>
      <c r="AG7" s="130">
        <f t="shared" ref="AG7:AG13" si="7">IF(AF7="",0,AE7-AF7)</f>
        <v>0</v>
      </c>
      <c r="AH7" s="71"/>
      <c r="AI7" s="73">
        <v>365</v>
      </c>
      <c r="AJ7" s="74"/>
      <c r="AK7" s="75">
        <f>AK6</f>
        <v>0.01</v>
      </c>
      <c r="AL7" s="75">
        <f>AL6</f>
        <v>1E-3</v>
      </c>
      <c r="AM7" s="75">
        <f>AM6</f>
        <v>0.01</v>
      </c>
      <c r="AN7" s="1589" t="s">
        <v>3390</v>
      </c>
      <c r="AO7" s="50">
        <f t="shared" ref="AO7:AO13" ca="1" si="8">SUMIF(INDIRECT("'"&amp;AN7&amp;"'"&amp;"!A:A"),"总价",INDIRECT("'"&amp;AN7&amp;"'"&amp;"!B:B"))</f>
        <v>31270</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2"/>
        <v/>
      </c>
      <c r="C8" s="1588"/>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2"/>
        <v/>
      </c>
      <c r="C9" s="1588"/>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2"/>
        <v/>
      </c>
      <c r="C10" s="1588"/>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2"/>
        <v/>
      </c>
      <c r="C11" s="1588"/>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2"/>
        <v/>
      </c>
      <c r="C12" s="1588"/>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2"/>
        <v/>
      </c>
      <c r="C13" s="1588"/>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0.68799999999999994</v>
      </c>
      <c r="H16" s="84">
        <f>ROUND(SUMPRODUCT(H6:H13,K6:K13)/SUMPRODUCT((H6:H13&gt;0)*(K6:K13)),3)</f>
        <v>0.05</v>
      </c>
      <c r="I16" s="85"/>
      <c r="J16" s="85"/>
      <c r="K16" s="86">
        <f>SUM(K6:K15)</f>
        <v>11761.1</v>
      </c>
      <c r="L16" s="87">
        <f>ROUND(M16*10000/SUM(K6:K14),0)</f>
        <v>7500</v>
      </c>
      <c r="M16" s="87">
        <f>SUM(M6:M14)</f>
        <v>8821</v>
      </c>
      <c r="N16" s="88">
        <f>ROUND(SUMPRODUCT(M6:M14,N6:N14)/M16,3)</f>
        <v>0.95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235</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11761.1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45553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16405</v>
      </c>
      <c r="C5" s="2300">
        <f ca="1">IF(B5=D14,结果表!H102,ROUND(B5*10000/$B$1,0))</f>
        <v>13949</v>
      </c>
      <c r="D5" s="2300" t="e">
        <f ca="1">ROUND(B5*10000/$B$2,0)</f>
        <v>#DIV/0!</v>
      </c>
      <c r="E5" s="2462"/>
      <c r="F5" s="2463"/>
      <c r="G5" s="2463"/>
      <c r="H5" s="2463"/>
      <c r="I5" s="2463"/>
      <c r="J5" s="2463"/>
      <c r="K5" s="2463"/>
    </row>
    <row r="6" spans="1:11" ht="16.5">
      <c r="A6" s="2300" t="s">
        <v>656</v>
      </c>
      <c r="B6" s="2300">
        <f ca="1">SUM(G14:G23)</f>
        <v>16405</v>
      </c>
      <c r="C6" s="2300">
        <f ca="1">IF(B6=G14,结果表!H108,ROUND(B6*10000/$B$1,0))</f>
        <v>13949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11761.1</v>
      </c>
      <c r="C14" s="2306">
        <f>结果表!C118</f>
        <v>0</v>
      </c>
      <c r="D14" s="2306">
        <f ca="1">结果表!H118</f>
        <v>16405</v>
      </c>
      <c r="E14" s="2306">
        <f ca="1">ROUND(D14*10000/B14,0)</f>
        <v>13949</v>
      </c>
      <c r="F14" s="2306" t="e">
        <f ca="1">ROUND(D14*10000/C14,0)</f>
        <v>#DIV/0!</v>
      </c>
      <c r="G14" s="2306">
        <f ca="1">D14</f>
        <v>16405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SheetLayoutView="100" zoomScalePageLayoutView="80" workbookViewId="0">
      <selection activeCell="F10" sqref="F1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3398</v>
      </c>
      <c r="H1" s="1621" t="str">
        <f>IF(G1="现房","——","估价对象范围")</f>
        <v>——</v>
      </c>
      <c r="I1" s="1622" t="s">
        <v>3399</v>
      </c>
    </row>
    <row r="2" spans="1:12" ht="21.75" customHeight="1" thickBot="1">
      <c r="A2" s="3300" t="str">
        <f>项目基本情况!S2</f>
        <v>北京市房地产</v>
      </c>
      <c r="B2" s="3301"/>
      <c r="C2" s="3301"/>
      <c r="D2" s="3301"/>
      <c r="E2" s="3301"/>
      <c r="F2" s="3301"/>
      <c r="G2" s="3301"/>
      <c r="H2" s="3301"/>
      <c r="I2" s="3302"/>
    </row>
    <row r="3" spans="1:12" ht="12.75">
      <c r="A3" s="3304" t="s">
        <v>1264</v>
      </c>
      <c r="B3" s="3305"/>
      <c r="C3" s="3305"/>
      <c r="D3" s="3305"/>
      <c r="E3" s="3305"/>
      <c r="F3" s="3305"/>
      <c r="G3" s="3305"/>
      <c r="H3" s="3305"/>
      <c r="I3" s="3305"/>
    </row>
    <row r="4" spans="1:12" ht="14.25">
      <c r="A4" s="1624" t="s">
        <v>1265</v>
      </c>
      <c r="B4" s="1625" t="s">
        <v>1266</v>
      </c>
      <c r="C4" s="1626" t="s">
        <v>3400</v>
      </c>
      <c r="D4" s="1626" t="s">
        <v>3414</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8" t="s">
        <v>1268</v>
      </c>
      <c r="B5" s="3303">
        <v>25</v>
      </c>
      <c r="C5" s="3306"/>
      <c r="D5" s="3294"/>
      <c r="E5" s="123" t="s">
        <v>1269</v>
      </c>
      <c r="F5" s="1627"/>
      <c r="G5" s="1627"/>
      <c r="H5" s="1627"/>
      <c r="I5" s="1281"/>
    </row>
    <row r="6" spans="1:12" ht="12.75">
      <c r="A6" s="3248"/>
      <c r="B6" s="3303"/>
      <c r="C6" s="3308"/>
      <c r="D6" s="3294"/>
      <c r="E6" s="123" t="s">
        <v>1270</v>
      </c>
      <c r="F6" s="1627"/>
      <c r="G6" s="1627"/>
      <c r="H6" s="1627"/>
      <c r="I6" s="1281"/>
    </row>
    <row r="7" spans="1:12" ht="12.75">
      <c r="A7" s="3248"/>
      <c r="B7" s="3303"/>
      <c r="C7" s="3307"/>
      <c r="D7" s="3294"/>
      <c r="E7" s="123" t="s">
        <v>1271</v>
      </c>
      <c r="F7" s="1627"/>
      <c r="G7" s="1627"/>
      <c r="H7" s="1627"/>
      <c r="I7" s="1281"/>
    </row>
    <row r="8" spans="1:12" ht="12.75">
      <c r="A8" s="3248" t="s">
        <v>1272</v>
      </c>
      <c r="B8" s="3303">
        <v>15</v>
      </c>
      <c r="C8" s="3306"/>
      <c r="D8" s="3294"/>
      <c r="E8" s="123" t="s">
        <v>1273</v>
      </c>
      <c r="F8" s="1627"/>
      <c r="G8" s="1627"/>
      <c r="H8" s="1627"/>
      <c r="I8" s="1281"/>
    </row>
    <row r="9" spans="1:12" ht="12.75">
      <c r="A9" s="3248"/>
      <c r="B9" s="3303"/>
      <c r="C9" s="3307"/>
      <c r="D9" s="3294"/>
      <c r="E9" s="123" t="s">
        <v>1274</v>
      </c>
      <c r="F9" s="1627"/>
      <c r="G9" s="1627"/>
      <c r="H9" s="1627"/>
      <c r="I9" s="1281"/>
    </row>
    <row r="10" spans="1:12" ht="12.75">
      <c r="A10" s="3248" t="s">
        <v>1275</v>
      </c>
      <c r="B10" s="3303">
        <v>15</v>
      </c>
      <c r="C10" s="3306"/>
      <c r="D10" s="3294"/>
      <c r="E10" s="123" t="s">
        <v>1276</v>
      </c>
      <c r="F10" s="1627"/>
      <c r="G10" s="1627"/>
      <c r="H10" s="1627"/>
      <c r="I10" s="1281"/>
    </row>
    <row r="11" spans="1:12" ht="12.75">
      <c r="A11" s="3248"/>
      <c r="B11" s="3303"/>
      <c r="C11" s="3307"/>
      <c r="D11" s="3294"/>
      <c r="E11" s="123" t="s">
        <v>1277</v>
      </c>
      <c r="F11" s="1627"/>
      <c r="G11" s="1627"/>
      <c r="H11" s="1627"/>
      <c r="I11" s="1281"/>
    </row>
    <row r="12" spans="1:12" ht="12.75">
      <c r="A12" s="3248" t="s">
        <v>1278</v>
      </c>
      <c r="B12" s="3303">
        <v>15</v>
      </c>
      <c r="C12" s="3306"/>
      <c r="D12" s="3294"/>
      <c r="E12" s="123" t="s">
        <v>1279</v>
      </c>
      <c r="F12" s="1627"/>
      <c r="G12" s="1627"/>
      <c r="H12" s="1627"/>
      <c r="I12" s="1281"/>
    </row>
    <row r="13" spans="1:12" ht="12.75">
      <c r="A13" s="3248"/>
      <c r="B13" s="3303"/>
      <c r="C13" s="3307"/>
      <c r="D13" s="3294"/>
      <c r="E13" s="123" t="s">
        <v>1280</v>
      </c>
      <c r="F13" s="1627"/>
      <c r="G13" s="1627"/>
      <c r="H13" s="1627"/>
      <c r="I13" s="1281"/>
    </row>
    <row r="14" spans="1:12" ht="12.75">
      <c r="A14" s="3248" t="s">
        <v>1281</v>
      </c>
      <c r="B14" s="3303">
        <v>30</v>
      </c>
      <c r="C14" s="3306">
        <v>5</v>
      </c>
      <c r="D14" s="3294">
        <v>5</v>
      </c>
      <c r="E14" s="123" t="s">
        <v>1282</v>
      </c>
      <c r="F14" s="1627"/>
      <c r="G14" s="1627"/>
      <c r="H14" s="1627"/>
      <c r="I14" s="1281"/>
    </row>
    <row r="15" spans="1:12" ht="12.75">
      <c r="A15" s="3248"/>
      <c r="B15" s="3303"/>
      <c r="C15" s="3308"/>
      <c r="D15" s="3294"/>
      <c r="E15" s="123" t="s">
        <v>1283</v>
      </c>
      <c r="F15" s="1627"/>
      <c r="G15" s="1627"/>
      <c r="H15" s="1627"/>
      <c r="I15" s="1281"/>
    </row>
    <row r="16" spans="1:12" ht="12.75">
      <c r="A16" s="3248"/>
      <c r="B16" s="3303"/>
      <c r="C16" s="3307"/>
      <c r="D16" s="3294"/>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25" t="s">
        <v>2131</v>
      </c>
      <c r="F18" s="3326"/>
      <c r="G18" s="3326"/>
      <c r="H18" s="3326"/>
      <c r="I18" s="3326"/>
      <c r="K18" s="294" t="s">
        <v>1289</v>
      </c>
      <c r="L18" s="294">
        <f>IF(C1="",'数据-汇总表'!E3,SUMIF(项目类型,C1,'数据-汇总表'!E17:E26)+SUMIF(项目类型,C1,'数据-汇总表'!I17:I26))</f>
        <v>11761.1</v>
      </c>
      <c r="M18" s="294">
        <f>IF(C1="",'数据-汇总表'!E3,SUMIF(项目类型,C1,'数据-汇总表'!E17:E26))</f>
        <v>11761.1</v>
      </c>
    </row>
    <row r="19" spans="1:36" ht="15">
      <c r="A19" s="1630" t="s">
        <v>1290</v>
      </c>
      <c r="B19" s="1631" t="s">
        <v>1291</v>
      </c>
      <c r="C19" s="126">
        <f ca="1">SUMIF(INDIRECT("'"&amp;C4&amp;"'"&amp;"!A:A"),结果表!B19,INDIRECT("'"&amp;C4&amp;"'"&amp;"!B:B"))</f>
        <v>17911</v>
      </c>
      <c r="D19" s="127">
        <f ca="1">SUMIF(INDIRECT("'"&amp;D4&amp;"'"&amp;"!A:A"),结果表!B19,INDIRECT("'"&amp;D4&amp;"'"&amp;"!B:B"))</f>
        <v>14898</v>
      </c>
      <c r="E19" s="1630" t="s">
        <v>1292</v>
      </c>
      <c r="F19" s="1631" t="s">
        <v>1291</v>
      </c>
      <c r="G19" s="128">
        <f ca="1">ROUND(C19*$C$18+D19*$D$18,0)</f>
        <v>16405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15229</v>
      </c>
      <c r="D20" s="130">
        <f ca="1">SUMIF(INDIRECT("'"&amp;D4&amp;"'"&amp;"!A:A"),结果表!B20,INDIRECT("'"&amp;D4&amp;"'"&amp;"!B:B"))</f>
        <v>12667</v>
      </c>
      <c r="E20" s="1633"/>
      <c r="F20" s="43" t="s">
        <v>1295</v>
      </c>
      <c r="G20" s="131">
        <f ca="1">ROUND(C20*$C$18+D20*$D$18,0)</f>
        <v>13948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0.20224191166599548</v>
      </c>
      <c r="E22" s="121"/>
      <c r="F22" s="121"/>
      <c r="G22" s="121"/>
      <c r="H22" s="121"/>
      <c r="I22" s="121"/>
    </row>
    <row r="23" spans="1:36" ht="13.5" thickBot="1">
      <c r="A23" s="646"/>
      <c r="B23" s="646"/>
      <c r="C23" s="646"/>
      <c r="D23" s="646"/>
      <c r="E23" s="121"/>
      <c r="F23" s="121"/>
      <c r="G23" s="121"/>
      <c r="H23" s="121"/>
      <c r="I23" s="121"/>
    </row>
    <row r="24" spans="1:36" ht="14.25">
      <c r="A24" s="3318" t="s">
        <v>1299</v>
      </c>
      <c r="B24" s="1631" t="s">
        <v>1291</v>
      </c>
      <c r="C24" s="128">
        <f>IF(B30=0,0,D30)</f>
        <v>0</v>
      </c>
      <c r="D24" s="1637"/>
      <c r="E24" s="121"/>
      <c r="F24" s="121"/>
      <c r="G24" s="121"/>
      <c r="H24" s="121"/>
      <c r="I24" s="121"/>
    </row>
    <row r="25" spans="1:36" ht="14.25">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16405</v>
      </c>
      <c r="D32" s="1641" t="s">
        <v>3401</v>
      </c>
      <c r="E32" s="121"/>
      <c r="F32" s="121"/>
      <c r="G32" s="121"/>
      <c r="H32" s="121"/>
      <c r="I32" s="121"/>
    </row>
    <row r="33" spans="1:15" ht="15">
      <c r="A33" s="740" t="s">
        <v>1306</v>
      </c>
      <c r="B33" s="123"/>
      <c r="C33" s="1642" t="s">
        <v>3402</v>
      </c>
      <c r="D33" s="1643" t="s">
        <v>3400</v>
      </c>
      <c r="E33" s="1644" t="s">
        <v>1307</v>
      </c>
      <c r="F33" s="1645" t="str">
        <f>IF(D32="楼面单价","取值（单价）","取值（总价）")</f>
        <v>取值（总价）</v>
      </c>
      <c r="G33" s="121"/>
      <c r="H33" s="121"/>
      <c r="I33" s="121"/>
    </row>
    <row r="34" spans="1:15" ht="15">
      <c r="A34" s="1646"/>
      <c r="B34" s="1647" t="s">
        <v>1308</v>
      </c>
      <c r="C34" s="140">
        <f ca="1">IF(C33="自定义",F34,C32-C35)</f>
        <v>4856</v>
      </c>
      <c r="D34" s="808">
        <f ca="1">IF(C33="自定义",ROUND(C34/C32,3),IF(C33="收益比率",SUMIF(INDIRECT("'"&amp;D33&amp;"'"&amp;"!b:b"),"土地收益比率",INDIRECT("'"&amp;D33&amp;"'"&amp;"!c:c")),SUMIF(INDIRECT("'"&amp;D33&amp;"'"&amp;"!b:b"),"土地成本比率",INDIRECT("'"&amp;D33&amp;"'"&amp;"!c:c"))))</f>
        <v>0.29600000000000004</v>
      </c>
      <c r="E34" s="1648" t="s">
        <v>1309</v>
      </c>
      <c r="F34" s="1243"/>
      <c r="G34" s="121"/>
      <c r="H34" s="121"/>
      <c r="I34" s="121"/>
    </row>
    <row r="35" spans="1:15" ht="15.75" thickBot="1">
      <c r="A35" s="1649"/>
      <c r="B35" s="1650" t="s">
        <v>1310</v>
      </c>
      <c r="C35" s="1090">
        <f ca="1">IF(C33="自定义",F35,ROUND(C32*D35,0))</f>
        <v>11549</v>
      </c>
      <c r="D35" s="1091">
        <f ca="1">IF(C33="自定义",ROUND(C35/C32,3),IF(C33="收益比率",SUMIF(INDIRECT("'"&amp;D33&amp;"'"&amp;"!b:b"),"建筑物收益比率",INDIRECT("'"&amp;D33&amp;"'"&amp;"!c:c")),SUMIF(INDIRECT("'"&amp;D33&amp;"'"&amp;"!b:b"),"建筑物成本比率",INDIRECT("'"&amp;D33&amp;"'"&amp;"!c:c"))))</f>
        <v>0.70399999999999996</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f ca="1">ROUND(H101*F45,0)</f>
        <v>16405</v>
      </c>
      <c r="E45" s="148" t="s">
        <v>1327</v>
      </c>
      <c r="F45" s="149">
        <v>1</v>
      </c>
      <c r="G45" s="150" t="s">
        <v>1328</v>
      </c>
      <c r="H45" s="121"/>
      <c r="I45" s="121"/>
      <c r="J45" s="3235" t="s">
        <v>1329</v>
      </c>
      <c r="K45" s="3235"/>
      <c r="L45" s="3235"/>
      <c r="M45" s="3235"/>
      <c r="N45" s="3235"/>
      <c r="O45" s="3235"/>
    </row>
    <row r="46" spans="1:15" ht="14.25" customHeight="1">
      <c r="A46" s="3312" t="s">
        <v>1330</v>
      </c>
      <c r="B46" s="3313"/>
      <c r="C46" s="3313"/>
      <c r="D46" s="3313"/>
      <c r="E46" s="3313"/>
      <c r="F46" s="3313"/>
      <c r="G46" s="3314"/>
      <c r="H46" s="1668"/>
      <c r="I46" s="151"/>
      <c r="J46" s="2310">
        <v>1</v>
      </c>
      <c r="K46" s="3236" t="s">
        <v>1331</v>
      </c>
      <c r="L46" s="3236"/>
      <c r="M46" s="3237"/>
      <c r="N46" s="3237"/>
      <c r="O46" s="3237"/>
    </row>
    <row r="47" spans="1:15" ht="12" customHeight="1">
      <c r="A47" s="152" t="s">
        <v>1332</v>
      </c>
      <c r="B47" s="153"/>
      <c r="C47" s="154"/>
      <c r="D47" s="1024" t="s">
        <v>1333</v>
      </c>
      <c r="E47" s="294" t="s">
        <v>1334</v>
      </c>
      <c r="F47" s="155" t="s">
        <v>1335</v>
      </c>
      <c r="G47" s="2333" t="s">
        <v>1336</v>
      </c>
      <c r="H47" s="2334"/>
      <c r="I47" s="151"/>
      <c r="J47" s="2310">
        <v>2</v>
      </c>
      <c r="K47" s="3236" t="s">
        <v>1337</v>
      </c>
      <c r="L47" s="3236"/>
      <c r="M47" s="3238">
        <f>'数据-取费表'!B2</f>
        <v>45553</v>
      </c>
      <c r="N47" s="3238"/>
      <c r="O47" s="3238"/>
    </row>
    <row r="48" spans="1:15" ht="25.5">
      <c r="A48" s="3298" t="s">
        <v>1338</v>
      </c>
      <c r="B48" s="3299"/>
      <c r="C48" s="329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36" t="s">
        <v>1340</v>
      </c>
      <c r="L48" s="3236"/>
      <c r="M48" s="3239">
        <f ca="1">H101</f>
        <v>16405</v>
      </c>
      <c r="N48" s="3239"/>
      <c r="O48" s="3239"/>
    </row>
    <row r="49" spans="1:35" ht="25.5" customHeight="1">
      <c r="A49" s="2152" t="s">
        <v>1341</v>
      </c>
      <c r="B49" s="3284" t="s">
        <v>1342</v>
      </c>
      <c r="C49" s="3284"/>
      <c r="D49" s="1478">
        <v>0</v>
      </c>
      <c r="E49" s="316" t="s">
        <v>1343</v>
      </c>
      <c r="F49" s="2233" t="s">
        <v>28</v>
      </c>
      <c r="G49" s="3267"/>
      <c r="H49" s="2134" t="s">
        <v>2134</v>
      </c>
      <c r="I49" s="2135"/>
      <c r="J49" s="2310">
        <v>4</v>
      </c>
      <c r="K49" s="3236" t="str">
        <f>IF(项目基本情况!E8="房地产抵押价值","房地产抵押价值","抵押担保权已注销时的房地产抵押价值")</f>
        <v>抵押担保权已注销时的房地产抵押价值</v>
      </c>
      <c r="L49" s="3236"/>
      <c r="M49" s="3239" t="str">
        <f>IF(项目基本情况!E8="房地产抵押价值",H107,H109)</f>
        <v>——</v>
      </c>
      <c r="N49" s="3239"/>
      <c r="O49" s="3239"/>
    </row>
    <row r="50" spans="1:35" ht="25.5" customHeight="1">
      <c r="A50" s="2338"/>
      <c r="B50" s="3284" t="s">
        <v>1344</v>
      </c>
      <c r="C50" s="3284"/>
      <c r="D50" s="2189"/>
      <c r="E50" s="323"/>
      <c r="F50" s="2233"/>
      <c r="G50" s="3268"/>
      <c r="H50" s="2136" t="s">
        <v>2135</v>
      </c>
      <c r="I50" s="2135"/>
      <c r="J50" s="3235" t="s">
        <v>1345</v>
      </c>
      <c r="K50" s="3235"/>
      <c r="L50" s="3235"/>
      <c r="M50" s="3235"/>
      <c r="N50" s="3235"/>
      <c r="O50" s="3235"/>
    </row>
    <row r="51" spans="1:35" ht="20.45" customHeight="1">
      <c r="A51" s="2339"/>
      <c r="B51" s="3284" t="s">
        <v>1346</v>
      </c>
      <c r="C51" s="3284"/>
      <c r="D51" s="1024"/>
      <c r="E51" s="319"/>
      <c r="F51" s="2233"/>
      <c r="G51" s="3269"/>
      <c r="H51" s="2136" t="s">
        <v>2136</v>
      </c>
      <c r="I51" s="2135"/>
      <c r="J51" s="2311" t="s">
        <v>1347</v>
      </c>
      <c r="K51" s="3236" t="s">
        <v>1348</v>
      </c>
      <c r="L51" s="3236"/>
      <c r="M51" s="2311" t="s">
        <v>1349</v>
      </c>
      <c r="N51" s="2311" t="s">
        <v>1350</v>
      </c>
      <c r="O51" s="2311" t="s">
        <v>1351</v>
      </c>
    </row>
    <row r="52" spans="1:35" ht="24" customHeight="1">
      <c r="A52" s="2153" t="s">
        <v>1352</v>
      </c>
      <c r="B52" s="3284" t="s">
        <v>1353</v>
      </c>
      <c r="C52" s="3284"/>
      <c r="D52" s="1024">
        <f ca="1">ROUND(D45*'数据-取费表'!B41/(1+'数据-取费表'!C42),0)</f>
        <v>859</v>
      </c>
      <c r="E52" s="1256" t="s">
        <v>1354</v>
      </c>
      <c r="F52" s="2340">
        <f>'数据-取费表'!B41</f>
        <v>5.5000000000000007E-2</v>
      </c>
      <c r="G52" s="2341"/>
      <c r="H52" s="2331"/>
      <c r="I52" s="1669"/>
      <c r="J52" s="2310">
        <v>1</v>
      </c>
      <c r="K52" s="3261" t="s">
        <v>1355</v>
      </c>
      <c r="L52" s="3261"/>
      <c r="M52" s="2312" t="b">
        <f>D48</f>
        <v>0</v>
      </c>
      <c r="N52" s="2310" t="str">
        <f>E48</f>
        <v>销售额×税（费）率</v>
      </c>
      <c r="O52" s="2313">
        <f>F48</f>
        <v>5.5000000000000007E-2</v>
      </c>
    </row>
    <row r="53" spans="1:35" ht="12" customHeight="1">
      <c r="A53" s="2153" t="s">
        <v>1356</v>
      </c>
      <c r="B53" s="3285" t="s">
        <v>2291</v>
      </c>
      <c r="C53" s="3286"/>
      <c r="D53" s="1024">
        <f ca="1">ROUND(D45*'数据-取费表'!B41/(1+'数据-取费表'!C42),0)</f>
        <v>859</v>
      </c>
      <c r="E53" s="1256" t="s">
        <v>1354</v>
      </c>
      <c r="F53" s="2340">
        <f>'数据-取费表'!B41</f>
        <v>5.5000000000000007E-2</v>
      </c>
      <c r="G53" s="2341"/>
      <c r="H53" s="2331"/>
      <c r="I53" s="1669"/>
      <c r="J53" s="2310">
        <v>2</v>
      </c>
      <c r="K53" s="3261" t="s">
        <v>1357</v>
      </c>
      <c r="L53" s="3261"/>
      <c r="M53" s="2312">
        <f t="shared" ref="M53:O54" ca="1" si="0">D55</f>
        <v>8</v>
      </c>
      <c r="N53" s="2310" t="str">
        <f t="shared" si="0"/>
        <v>销售额×税（费）率</v>
      </c>
      <c r="O53" s="2313" t="str">
        <f t="shared" si="0"/>
        <v>免征</v>
      </c>
    </row>
    <row r="54" spans="1:35" ht="12" customHeight="1">
      <c r="A54" s="2153" t="s">
        <v>1358</v>
      </c>
      <c r="B54" s="3285" t="s">
        <v>2292</v>
      </c>
      <c r="C54" s="3286"/>
      <c r="D54" s="1024">
        <f ca="1">C68</f>
        <v>859</v>
      </c>
      <c r="E54" s="319" t="s">
        <v>1359</v>
      </c>
      <c r="F54" s="2340">
        <f>'数据-取费表'!B41</f>
        <v>5.5000000000000007E-2</v>
      </c>
      <c r="G54" s="2341"/>
      <c r="H54" s="2342"/>
      <c r="I54" s="1669"/>
      <c r="J54" s="2310">
        <v>3</v>
      </c>
      <c r="K54" s="3261" t="s">
        <v>1360</v>
      </c>
      <c r="L54" s="3261"/>
      <c r="M54" s="2312">
        <f t="shared" ca="1" si="0"/>
        <v>9300</v>
      </c>
      <c r="N54" s="2310" t="str">
        <f t="shared" si="0"/>
        <v>增值额×税（费）率</v>
      </c>
      <c r="O54" s="2314" t="str">
        <f t="shared" si="0"/>
        <v>免征</v>
      </c>
    </row>
    <row r="55" spans="1:35" ht="24" customHeight="1">
      <c r="A55" s="3321" t="s">
        <v>1361</v>
      </c>
      <c r="B55" s="3299"/>
      <c r="C55" s="3299"/>
      <c r="D55" s="12">
        <f ca="1">IF(H55="个人住宅",0,ROUND(D45*I55,0))</f>
        <v>8</v>
      </c>
      <c r="E55" s="1256" t="s">
        <v>1362</v>
      </c>
      <c r="F55" s="2340" t="str">
        <f>IF(H55="正常",I55,"免征")</f>
        <v>免征</v>
      </c>
      <c r="G55" s="2341"/>
      <c r="H55" s="2337"/>
      <c r="I55" s="157">
        <f>'数据-取费表'!B49</f>
        <v>5.0000000000000001E-4</v>
      </c>
      <c r="J55" s="2310">
        <f>IF(H59="非个人房产","",4)</f>
        <v>4</v>
      </c>
      <c r="K55" s="3261" t="str">
        <f>IF(H59="非个人房产","——","个人所得税")</f>
        <v>个人所得税</v>
      </c>
      <c r="L55" s="3261"/>
      <c r="M55" s="2315">
        <f ca="1">D59</f>
        <v>156</v>
      </c>
      <c r="N55" s="1883" t="str">
        <f>E59</f>
        <v>差额计税</v>
      </c>
      <c r="O55" s="2316">
        <f>F59</f>
        <v>0.01</v>
      </c>
    </row>
    <row r="56" spans="1:35" ht="24.75">
      <c r="A56" s="3321" t="s">
        <v>1363</v>
      </c>
      <c r="B56" s="3299"/>
      <c r="C56" s="3299"/>
      <c r="D56" s="12">
        <f ca="1">IF(H56="个人住宅",D57,D58)</f>
        <v>9300</v>
      </c>
      <c r="E56" s="1256" t="s">
        <v>1364</v>
      </c>
      <c r="F56" s="2340" t="str">
        <f>IF(H56="正常",F58,"免征")</f>
        <v>免征</v>
      </c>
      <c r="G56" s="2343" t="s">
        <v>1365</v>
      </c>
      <c r="H56" s="2344"/>
      <c r="I56" s="1670"/>
      <c r="J56" s="2310" t="str">
        <f>IF(项目基本情况!K6="上海银行",IF(J55="",4,J55+1),"")</f>
        <v/>
      </c>
      <c r="K56" s="3242" t="str">
        <f>IF(项目基本情况!K6="上海银行","其他处置费用","")</f>
        <v/>
      </c>
      <c r="L56" s="3243"/>
      <c r="M56" s="2312" t="str">
        <f>IF(项目基本情况!K6="上海银行",M69,"")</f>
        <v/>
      </c>
      <c r="N56" s="3242" t="str">
        <f>IF(项目基本情况!K6="上海银行","包含处置中涉及的律师、诉讼、拍卖、评估等费用","")</f>
        <v/>
      </c>
      <c r="O56" s="3245"/>
    </row>
    <row r="57" spans="1:35" ht="12.75">
      <c r="A57" s="2153" t="s">
        <v>1341</v>
      </c>
      <c r="B57" s="3285" t="s">
        <v>1366</v>
      </c>
      <c r="C57" s="3286"/>
      <c r="D57" s="1478">
        <v>0</v>
      </c>
      <c r="E57" s="316" t="s">
        <v>1343</v>
      </c>
      <c r="F57" s="294"/>
      <c r="G57" s="2341"/>
      <c r="H57" s="2345"/>
      <c r="I57" s="1670"/>
      <c r="J57" s="3261">
        <f>IF(AND(J55="",J56=""),4,IF(项目基本情况!K6="上海银行",结果表!J56+1,结果表!J55+1))</f>
        <v>5</v>
      </c>
      <c r="K57" s="3261" t="s">
        <v>1367</v>
      </c>
      <c r="L57" s="2317" t="s">
        <v>1368</v>
      </c>
      <c r="M57" s="2318"/>
      <c r="N57" s="2319">
        <f ca="1">SUMIF(M52:M56,"&lt;9e307")</f>
        <v>9464</v>
      </c>
      <c r="O57" s="2320"/>
      <c r="P57" s="2465" t="e">
        <f ca="1">N57/M49</f>
        <v>#VALUE!</v>
      </c>
    </row>
    <row r="58" spans="1:35" ht="24.75">
      <c r="A58" s="2153" t="s">
        <v>1352</v>
      </c>
      <c r="B58" s="3285" t="s">
        <v>1369</v>
      </c>
      <c r="C58" s="3284"/>
      <c r="D58" s="12">
        <f ca="1">IF(H58="转让取得",C81,C97)</f>
        <v>9300</v>
      </c>
      <c r="E58" s="1256" t="s">
        <v>1364</v>
      </c>
      <c r="F58" s="294" t="s">
        <v>28</v>
      </c>
      <c r="G58" s="2341"/>
      <c r="H58" s="2344"/>
      <c r="I58" s="1670"/>
      <c r="J58" s="3261"/>
      <c r="K58" s="3261"/>
      <c r="L58" s="2317" t="s">
        <v>1370</v>
      </c>
      <c r="M58" s="2321"/>
      <c r="N58" s="2322" t="str">
        <f ca="1">NUMBERSTRING(INT(N57*10000),2)&amp;"元整"</f>
        <v>玖仟肆佰陆拾肆万元整</v>
      </c>
      <c r="O58" s="2323"/>
    </row>
    <row r="59" spans="1:35" ht="24.75" thickBot="1">
      <c r="A59" s="3265" t="s">
        <v>1371</v>
      </c>
      <c r="B59" s="3266"/>
      <c r="C59" s="3266"/>
      <c r="D59" s="2346">
        <f ca="1">IF(H59="非个人房产","——",IF(H59="个人住宅（满五唯一有凭证）",0,IF(H59="个人其他（无凭证）",ROUND(D45*F59,0),ROUND(C67*F59,0))))</f>
        <v>156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3">
        <f>J57+1</f>
        <v>6</v>
      </c>
      <c r="K59" s="3261" t="s">
        <v>1372</v>
      </c>
      <c r="L59" s="2310" t="s">
        <v>1368</v>
      </c>
      <c r="M59" s="2324"/>
      <c r="N59" s="2325" t="e">
        <f ca="1">M49-N57</f>
        <v>#VALUE!</v>
      </c>
      <c r="O59" s="2326"/>
    </row>
    <row r="60" spans="1:35" ht="12" customHeight="1">
      <c r="A60" s="1671"/>
      <c r="B60" s="646"/>
      <c r="C60" s="646"/>
      <c r="D60" s="646"/>
      <c r="E60" s="1466"/>
      <c r="F60" s="1670"/>
      <c r="G60" s="1670"/>
      <c r="H60" s="151"/>
      <c r="I60" s="121"/>
      <c r="J60" s="3264"/>
      <c r="K60" s="3261"/>
      <c r="L60" s="2317" t="s">
        <v>1370</v>
      </c>
      <c r="M60" s="2321"/>
      <c r="N60" s="2322" t="e">
        <f ca="1">NUMBERSTRING(INT(N59*10000),2)&amp;"元整"</f>
        <v>#VALUE!</v>
      </c>
      <c r="O60" s="2323"/>
    </row>
    <row r="61" spans="1:35" ht="13.5" thickBot="1">
      <c r="A61" s="3320" t="s">
        <v>1373</v>
      </c>
      <c r="B61" s="3320"/>
      <c r="C61" s="3320"/>
      <c r="D61" s="3320"/>
      <c r="E61" s="3320"/>
      <c r="F61" s="1670"/>
      <c r="G61" s="1670"/>
      <c r="H61" s="151"/>
      <c r="I61" s="121"/>
      <c r="J61" s="2310">
        <f>J59+1</f>
        <v>7</v>
      </c>
      <c r="K61" s="3261" t="s">
        <v>1374</v>
      </c>
      <c r="L61" s="3261"/>
      <c r="M61" s="2327"/>
      <c r="N61" s="2328" t="e">
        <f ca="1">ROUND(N59*10000/'数据-汇总表'!E3,0)</f>
        <v>#VALUE!</v>
      </c>
      <c r="O61" s="2329"/>
    </row>
    <row r="62" spans="1:35" ht="12.75">
      <c r="A62" s="3280" t="s">
        <v>1375</v>
      </c>
      <c r="B62" s="3281"/>
      <c r="C62" s="1865"/>
      <c r="D62" s="1865" t="s">
        <v>1376</v>
      </c>
      <c r="E62" s="158" t="s">
        <v>1377</v>
      </c>
      <c r="F62" s="1670"/>
      <c r="G62" s="1670"/>
      <c r="H62" s="151"/>
      <c r="I62" s="121"/>
    </row>
    <row r="63" spans="1:35" ht="12.75">
      <c r="A63" s="165" t="s">
        <v>330</v>
      </c>
      <c r="B63" s="159" t="s">
        <v>1378</v>
      </c>
      <c r="C63" s="2350">
        <f ca="1">ROUND((C64+C65)/(1+'数据-取费表'!C42),0)</f>
        <v>15624</v>
      </c>
      <c r="D63" s="159"/>
      <c r="E63" s="160"/>
      <c r="F63" s="1670"/>
      <c r="G63" s="1670"/>
      <c r="H63" s="151"/>
      <c r="I63" s="121"/>
      <c r="J63" s="324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16405</v>
      </c>
      <c r="D64" s="162" t="s">
        <v>26</v>
      </c>
      <c r="E64" s="164"/>
      <c r="F64" s="1670"/>
      <c r="G64" s="1670"/>
      <c r="H64" s="151"/>
      <c r="I64" s="121"/>
      <c r="J64" s="324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31" t="s">
        <v>1383</v>
      </c>
      <c r="Z64" s="1623"/>
      <c r="AI64" s="1561"/>
    </row>
    <row r="65" spans="1:35" ht="14.25" customHeight="1">
      <c r="A65" s="161" t="s">
        <v>326</v>
      </c>
      <c r="B65" s="162" t="s">
        <v>1384</v>
      </c>
      <c r="C65" s="2352"/>
      <c r="D65" s="162"/>
      <c r="E65" s="164"/>
      <c r="F65" s="1670"/>
      <c r="G65" s="1670"/>
      <c r="H65" s="151"/>
      <c r="I65" s="121"/>
      <c r="J65" s="3244"/>
      <c r="K65" s="1245" t="s">
        <v>1385</v>
      </c>
      <c r="L65" s="1245" t="e">
        <f>IF(M49&gt;1000,M49*0.1%,IF(AND(M49&gt;500,M49&lt;=1000),M49*0.5%,IF(AND(M49&gt;50,M49&lt;=500),M49*1%,IF(AND(M49&gt;1,M49&lt;=50),M49*1.5%))))</f>
        <v>#VALUE!</v>
      </c>
      <c r="M65" s="294" t="e">
        <f>ROUND(L65,1)</f>
        <v>#VALUE!</v>
      </c>
      <c r="N65" s="2331" t="s">
        <v>1383</v>
      </c>
      <c r="Z65" s="1623"/>
      <c r="AI65" s="1561"/>
    </row>
    <row r="66" spans="1:35" ht="14.25" customHeight="1">
      <c r="A66" s="165" t="s">
        <v>327</v>
      </c>
      <c r="B66" s="166" t="s">
        <v>1386</v>
      </c>
      <c r="C66" s="2353"/>
      <c r="D66" s="166" t="s">
        <v>26</v>
      </c>
      <c r="E66" s="1251" t="s">
        <v>671</v>
      </c>
      <c r="F66" s="1670"/>
      <c r="G66" s="1670"/>
      <c r="H66" s="151"/>
      <c r="I66" s="121"/>
      <c r="J66" s="3244"/>
      <c r="K66" s="1245" t="s">
        <v>1387</v>
      </c>
      <c r="L66" s="1245" t="e">
        <f>M49*0.5%</f>
        <v>#VALUE!</v>
      </c>
      <c r="M66" s="294" t="e">
        <f>IF(L66&gt;0.5,0.5,ROUND(L66,0))</f>
        <v>#VALUE!</v>
      </c>
      <c r="N66" s="2331" t="s">
        <v>1388</v>
      </c>
      <c r="Z66" s="1623"/>
      <c r="AI66" s="1561"/>
    </row>
    <row r="67" spans="1:35" ht="14.25" customHeight="1">
      <c r="A67" s="165" t="s">
        <v>328</v>
      </c>
      <c r="B67" s="166" t="s">
        <v>1389</v>
      </c>
      <c r="C67" s="2354">
        <f ca="1">C63-C66</f>
        <v>15624</v>
      </c>
      <c r="D67" s="162" t="s">
        <v>26</v>
      </c>
      <c r="E67" s="164"/>
      <c r="F67" s="1670"/>
      <c r="G67" s="1670"/>
      <c r="H67" s="151"/>
      <c r="I67" s="121"/>
      <c r="J67" s="324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859</v>
      </c>
      <c r="D68" s="2356">
        <f>'数据-取费表'!B41</f>
        <v>5.5000000000000007E-2</v>
      </c>
      <c r="E68" s="170"/>
      <c r="F68" s="1670"/>
      <c r="G68" s="1670"/>
      <c r="H68" s="151"/>
      <c r="I68" s="121"/>
      <c r="J68" s="324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4"/>
      <c r="K69" s="1245" t="s">
        <v>1393</v>
      </c>
      <c r="L69" s="1245"/>
      <c r="M69" s="294" t="e">
        <f>ROUND(SUM(M63:M68),0)</f>
        <v>#VALUE!</v>
      </c>
      <c r="N69" s="2332" t="e">
        <f>M69/M49</f>
        <v>#VALUE!</v>
      </c>
      <c r="Z69" s="1623"/>
      <c r="AI69" s="1561"/>
    </row>
    <row r="70" spans="1:35" s="642" customFormat="1" ht="15"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15624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78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84"/>
      <c r="G76" s="3284"/>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78</v>
      </c>
      <c r="D78" s="2363">
        <f>'数据-取费表'!B43</f>
        <v>5.000000000000001E-3</v>
      </c>
      <c r="E78" s="3277" t="s">
        <v>1406</v>
      </c>
      <c r="F78" s="3278"/>
      <c r="G78" s="3278"/>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15546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199.30769230769232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9300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15624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78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6" t="s">
        <v>2129</v>
      </c>
      <c r="H90" s="32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78</v>
      </c>
      <c r="D93" s="2363">
        <f>'数据-取费表'!B43</f>
        <v>5.000000000000001E-3</v>
      </c>
      <c r="E93" s="3277" t="s">
        <v>1406</v>
      </c>
      <c r="F93" s="3278"/>
      <c r="G93" s="3278"/>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15546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199.30769230769232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9300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62"/>
      <c r="E100" s="3228" t="s">
        <v>1429</v>
      </c>
      <c r="F100" s="3228"/>
      <c r="G100" s="3228"/>
      <c r="H100" s="3262"/>
      <c r="I100" s="121"/>
    </row>
    <row r="101" spans="1:35" ht="18.75" customHeight="1">
      <c r="A101" s="3270" t="s">
        <v>1430</v>
      </c>
      <c r="B101" s="3271"/>
      <c r="C101" s="2371" t="str">
        <f>C4</f>
        <v>成本法</v>
      </c>
      <c r="D101" s="2372" t="str">
        <f>D4</f>
        <v>收益法-酒店模型</v>
      </c>
      <c r="E101" s="3240" t="s">
        <v>1431</v>
      </c>
      <c r="F101" s="3241"/>
      <c r="G101" s="1687" t="s">
        <v>1432</v>
      </c>
      <c r="H101" s="2381">
        <f ca="1">H118</f>
        <v>16405</v>
      </c>
      <c r="I101" s="121"/>
    </row>
    <row r="102" spans="1:35" ht="18.75" customHeight="1">
      <c r="A102" s="3272" t="s">
        <v>1433</v>
      </c>
      <c r="B102" s="2370" t="s">
        <v>1432</v>
      </c>
      <c r="C102" s="2371">
        <f ca="1">IF(D32="楼面单价",ROUND(C19,0),C19)</f>
        <v>17911</v>
      </c>
      <c r="D102" s="2372">
        <f ca="1">IF(D32="楼面单价",ROUND(D19,0),D19)</f>
        <v>14898</v>
      </c>
      <c r="E102" s="3240"/>
      <c r="F102" s="3241"/>
      <c r="G102" s="1687" t="s">
        <v>1434</v>
      </c>
      <c r="H102" s="2341">
        <f ca="1">I118</f>
        <v>13949</v>
      </c>
      <c r="I102" s="121"/>
    </row>
    <row r="103" spans="1:35" ht="42.75" customHeight="1">
      <c r="A103" s="3272"/>
      <c r="B103" s="2370" t="s">
        <v>1434</v>
      </c>
      <c r="C103" s="2373">
        <f ca="1">C20</f>
        <v>15229</v>
      </c>
      <c r="D103" s="2374">
        <f ca="1">D20</f>
        <v>12667</v>
      </c>
      <c r="E103" s="3233" t="s">
        <v>1435</v>
      </c>
      <c r="F103" s="3234"/>
      <c r="G103" s="1688" t="s">
        <v>1436</v>
      </c>
      <c r="H103" s="2381">
        <f>IF(D36="正常操作",H104+H105+H106,H105+H106)</f>
        <v>0</v>
      </c>
      <c r="I103" s="121"/>
    </row>
    <row r="104" spans="1:35" ht="18.75" customHeight="1">
      <c r="A104" s="3272" t="s">
        <v>1437</v>
      </c>
      <c r="B104" s="2375" t="s">
        <v>1432</v>
      </c>
      <c r="C104" s="2376">
        <f ca="1">H118</f>
        <v>16405</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f ca="1">I118</f>
        <v>13949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3" t="str">
        <f>IF(项目基本情况!E8="已注销","——","3.房地产抵押价值")</f>
        <v>3.房地产抵押价值</v>
      </c>
      <c r="F107" s="3241"/>
      <c r="G107" s="1687" t="s">
        <v>1432</v>
      </c>
      <c r="H107" s="2381">
        <f ca="1">IF(E107="——","——",H101-H103)</f>
        <v>16405</v>
      </c>
      <c r="I107" s="121"/>
    </row>
    <row r="108" spans="1:35" ht="18.75" customHeight="1">
      <c r="A108" s="121"/>
      <c r="B108" s="121"/>
      <c r="C108" s="121"/>
      <c r="D108" s="121"/>
      <c r="E108" s="3273"/>
      <c r="F108" s="3241"/>
      <c r="G108" s="1687" t="s">
        <v>1434</v>
      </c>
      <c r="H108" s="2341">
        <f ca="1">IF(H107=H101,H102,ROUND(H107*10000/'数据-汇总表'!E3,0))</f>
        <v>13949</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41"/>
      <c r="G109" s="1687" t="s">
        <v>1432</v>
      </c>
      <c r="H109" s="2384" t="str">
        <f>IF(E109="——","——",H101-H105-H106)</f>
        <v>——</v>
      </c>
      <c r="I109" s="121"/>
    </row>
    <row r="110" spans="1:35" ht="18.75" customHeight="1">
      <c r="A110" s="121"/>
      <c r="B110" s="121"/>
      <c r="C110" s="121"/>
      <c r="D110" s="121"/>
      <c r="E110" s="3273"/>
      <c r="F110" s="3241"/>
      <c r="G110" s="1687" t="s">
        <v>1434</v>
      </c>
      <c r="H110" s="2341" t="str">
        <f>IF(H109="——","——",ROUND(H109*10000/'数据-汇总表'!E3,0))</f>
        <v>——</v>
      </c>
      <c r="I110" s="121"/>
    </row>
    <row r="111" spans="1:35" ht="18.75" customHeight="1">
      <c r="A111" s="121"/>
      <c r="B111" s="121"/>
      <c r="C111" s="121"/>
      <c r="D111" s="121"/>
      <c r="E111" s="3274" t="str">
        <f>IF(项目基本情况!E9="抵押净值",IF(OR(项目基本情况!E8="已注销",项目基本情况!E8="房地产抵押价值"),"4.抵押净值","5.抵押净值"),"——")</f>
        <v>——</v>
      </c>
      <c r="F111" s="3260"/>
      <c r="G111" s="1687" t="s">
        <v>1432</v>
      </c>
      <c r="H111" s="2381" t="str">
        <f>IF(E111="——","——",N59)</f>
        <v>——</v>
      </c>
      <c r="I111" s="121"/>
    </row>
    <row r="112" spans="1:35" ht="18.75" customHeight="1" thickBot="1">
      <c r="A112" s="121"/>
      <c r="B112" s="121"/>
      <c r="C112" s="121"/>
      <c r="D112" s="121"/>
      <c r="E112" s="3275"/>
      <c r="F112" s="3276"/>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8" t="s">
        <v>1443</v>
      </c>
      <c r="B116" s="3252" t="s">
        <v>1444</v>
      </c>
      <c r="C116" s="3252" t="s">
        <v>1445</v>
      </c>
      <c r="D116" s="3258" t="s">
        <v>1446</v>
      </c>
      <c r="E116" s="3259"/>
      <c r="F116" s="3290" t="s">
        <v>1447</v>
      </c>
      <c r="G116" s="3290"/>
      <c r="H116" s="3248" t="s">
        <v>1448</v>
      </c>
      <c r="I116" s="3248"/>
    </row>
    <row r="117" spans="1:27" ht="18.75" customHeight="1">
      <c r="A117" s="3248"/>
      <c r="B117" s="3253"/>
      <c r="C117" s="325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11761.1</v>
      </c>
      <c r="C118" s="2150">
        <f>M19</f>
        <v>0</v>
      </c>
      <c r="D118" s="2150">
        <f ca="1">ROUND(IF(D32="总价",C34,E118*B118/10000),0)</f>
        <v>4856</v>
      </c>
      <c r="E118" s="2150">
        <f ca="1">ROUND(IF(C33="自定义",IF(D32="楼面单价",C34,D118*10000/B118),I118-G118),0)</f>
        <v>4129</v>
      </c>
      <c r="F118" s="2150">
        <f ca="1">ROUND(IF(D32="总价",C35,G118*B118/10000),0)</f>
        <v>11549</v>
      </c>
      <c r="G118" s="2150">
        <f ca="1">ROUND(IF(D32="楼面单价",C35,F118*10000/B118),0)</f>
        <v>9820</v>
      </c>
      <c r="H118" s="2150">
        <f ca="1">ROUND(IF(D32="总价",C32,I118*B118/10000),0)</f>
        <v>16405</v>
      </c>
      <c r="I118" s="2150">
        <f ca="1">ROUND(IF(D32="楼面单价",C32,H118*10000/B118),0)</f>
        <v>13949</v>
      </c>
    </row>
    <row r="119" spans="1:27" ht="18.75" customHeight="1">
      <c r="A119" s="3248" t="s">
        <v>1452</v>
      </c>
      <c r="B119" s="3248"/>
      <c r="C119" s="3248"/>
      <c r="D119" s="3254" t="str">
        <f ca="1">NUMBERSTRING(INT(D118*10000),2)&amp;"元整"</f>
        <v>肆仟捌佰伍拾陆万元整</v>
      </c>
      <c r="E119" s="3255"/>
      <c r="F119" s="3254" t="str">
        <f ca="1">NUMBERSTRING(INT(F118*10000),2)&amp;"元整"</f>
        <v>壹亿壹仟伍佰肆拾玖万元整</v>
      </c>
      <c r="G119" s="3255"/>
      <c r="H119" s="3254" t="str">
        <f ca="1">NUMBERSTRING(INT(H118*10000),2)&amp;"元整"</f>
        <v>壹亿陆仟肆佰零伍万元整</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4" t="s">
        <v>1452</v>
      </c>
      <c r="B121" s="3256"/>
      <c r="C121" s="3255"/>
      <c r="D121" s="3254" t="str">
        <f>IF(D120=0,"零元整",NUMBERSTRING(INT(D120*10000),2)&amp;"元整")</f>
        <v>零元整</v>
      </c>
      <c r="E121" s="3256"/>
      <c r="F121" s="3256"/>
      <c r="G121" s="3256"/>
      <c r="H121" s="3256"/>
      <c r="I121" s="3255"/>
      <c r="AA121" s="684"/>
    </row>
    <row r="122" spans="1:27" ht="18.75" customHeight="1">
      <c r="A122" s="3260" t="str">
        <f>IF(项目基本情况!B9="房地产市场价值","",MID(E107,3,LEN(E107)-2))</f>
        <v>房地产抵押价值</v>
      </c>
      <c r="B122" s="3260"/>
      <c r="C122" s="3260"/>
      <c r="D122" s="3249">
        <f ca="1">H107</f>
        <v>16405</v>
      </c>
      <c r="E122" s="3250"/>
      <c r="F122" s="3250"/>
      <c r="G122" s="3250"/>
      <c r="H122" s="3250"/>
      <c r="I122" s="3251"/>
      <c r="AA122" s="684"/>
    </row>
    <row r="123" spans="1:27" ht="18.75" customHeight="1">
      <c r="A123" s="3248" t="s">
        <v>1452</v>
      </c>
      <c r="B123" s="3248"/>
      <c r="C123" s="3248"/>
      <c r="D123" s="3254" t="str">
        <f ca="1">NUMBERSTRING(INT(D122*10000),2)&amp;"元整"</f>
        <v>壹亿陆仟肆佰零伍万元整</v>
      </c>
      <c r="E123" s="3256"/>
      <c r="F123" s="3256"/>
      <c r="G123" s="3256"/>
      <c r="H123" s="3256"/>
      <c r="I123" s="3255"/>
      <c r="AA123" s="684"/>
    </row>
    <row r="124" spans="1:27" ht="18.75" customHeight="1">
      <c r="A124" s="3260" t="str">
        <f>IF(项目基本情况!B9="房地产市场价值","",MID(E109,3,LEN(E109)-2))</f>
        <v/>
      </c>
      <c r="B124" s="3260"/>
      <c r="C124" s="3260"/>
      <c r="D124" s="3249" t="str">
        <f>H109</f>
        <v>——</v>
      </c>
      <c r="E124" s="3250"/>
      <c r="F124" s="3250"/>
      <c r="G124" s="3250"/>
      <c r="H124" s="3250"/>
      <c r="I124" s="3251"/>
      <c r="AA124" s="684"/>
    </row>
    <row r="125" spans="1:27" ht="18.75" customHeight="1">
      <c r="A125" s="3248" t="s">
        <v>1452</v>
      </c>
      <c r="B125" s="3248"/>
      <c r="C125" s="3248"/>
      <c r="D125" s="3254" t="e">
        <f>NUMBERSTRING(INT(D124*10000),2)&amp;"元整"</f>
        <v>#VALUE!</v>
      </c>
      <c r="E125" s="3256"/>
      <c r="F125" s="3256"/>
      <c r="G125" s="3256"/>
      <c r="H125" s="3256"/>
      <c r="I125" s="3255"/>
      <c r="AA125" s="684"/>
    </row>
    <row r="126" spans="1:27" ht="18.75" customHeight="1">
      <c r="A126" s="3260" t="str">
        <f>IF(项目基本情况!B9="房地产市场价值","",MID(E111,3,LEN(E111)-2))</f>
        <v/>
      </c>
      <c r="B126" s="3260"/>
      <c r="C126" s="3260"/>
      <c r="D126" s="3249" t="str">
        <f>H111</f>
        <v>——</v>
      </c>
      <c r="E126" s="3250"/>
      <c r="F126" s="3250"/>
      <c r="G126" s="3250"/>
      <c r="H126" s="3250"/>
      <c r="I126" s="3251"/>
      <c r="AA126" s="684"/>
    </row>
    <row r="127" spans="1:27" ht="18.75" customHeight="1">
      <c r="A127" s="3248" t="s">
        <v>1452</v>
      </c>
      <c r="B127" s="3248"/>
      <c r="C127" s="3248"/>
      <c r="D127" s="3254" t="e">
        <f>NUMBERSTRING(INT(D126*10000),2)&amp;"元整"</f>
        <v>#VALUE!</v>
      </c>
      <c r="E127" s="3256"/>
      <c r="F127" s="3256"/>
      <c r="G127" s="3256"/>
      <c r="H127" s="3256"/>
      <c r="I127" s="3255"/>
      <c r="AA127" s="684"/>
    </row>
    <row r="128" spans="1:27" ht="21.75" customHeight="1">
      <c r="A128" s="3257" t="s">
        <v>1453</v>
      </c>
      <c r="B128" s="3257"/>
      <c r="C128" s="3257"/>
      <c r="D128" s="3257"/>
      <c r="E128" s="3257"/>
      <c r="F128" s="3257"/>
      <c r="G128" s="3257"/>
      <c r="H128" s="3257"/>
      <c r="I128" s="325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N1" zoomScale="85" zoomScaleNormal="80" zoomScaleSheetLayoutView="85" workbookViewId="0">
      <selection activeCell="R24" sqref="R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904.7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#VALUE!</v>
      </c>
      <c r="C2" s="1846" t="s">
        <v>1935</v>
      </c>
      <c r="D2" s="162" t="s">
        <v>1936</v>
      </c>
      <c r="E2" s="3121"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Ⅷ-延1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5285</v>
      </c>
      <c r="U2" s="1130">
        <f>'数据-基础表'!I13/13</f>
        <v>904.7</v>
      </c>
      <c r="V2" s="3064">
        <f>ROUND(T2*U2/10000,0)</f>
        <v>478</v>
      </c>
      <c r="W2" s="1133"/>
      <c r="X2" s="1133"/>
      <c r="Y2" s="1133"/>
      <c r="Z2" s="1133"/>
      <c r="AA2" s="1133"/>
      <c r="AB2" s="1133"/>
      <c r="AC2" s="1134"/>
      <c r="AD2" s="1135"/>
      <c r="AE2" s="1135"/>
      <c r="AF2" s="1135"/>
      <c r="AG2" s="1135"/>
      <c r="AH2" s="1135"/>
      <c r="AI2" s="1135"/>
      <c r="AJ2" s="1136"/>
    </row>
    <row r="3" spans="1:36" ht="15.75">
      <c r="A3" s="195" t="s">
        <v>1940</v>
      </c>
      <c r="B3" s="196" t="e">
        <f>ROUND(B2*10000/D1,0)</f>
        <v>#VALUE!</v>
      </c>
      <c r="C3" s="1846" t="s">
        <v>1941</v>
      </c>
      <c r="D3" s="162" t="s">
        <v>1942</v>
      </c>
      <c r="E3" s="3119" t="s">
        <v>3391</v>
      </c>
      <c r="F3" s="1848" t="s">
        <v>3405</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4074</v>
      </c>
      <c r="U3" s="1130">
        <f>U2</f>
        <v>904.7</v>
      </c>
      <c r="V3" s="3064">
        <f t="shared" ref="V3:V16" si="1">ROUND(T3*U3/10000,0)</f>
        <v>369</v>
      </c>
      <c r="W3" s="1133"/>
      <c r="X3" s="1133"/>
      <c r="Y3" s="1133"/>
      <c r="Z3" s="1133"/>
      <c r="AA3" s="1133"/>
      <c r="AB3" s="1133"/>
      <c r="AC3" s="1134"/>
      <c r="AD3" s="1135"/>
      <c r="AE3" s="1135"/>
      <c r="AF3" s="1135"/>
      <c r="AG3" s="1135"/>
      <c r="AH3" s="1135"/>
      <c r="AI3" s="1135"/>
      <c r="AJ3" s="1136"/>
    </row>
    <row r="4" spans="1:36" ht="15.75">
      <c r="A4" s="3334"/>
      <c r="B4" s="3335"/>
      <c r="C4" s="3335"/>
      <c r="D4" s="3336"/>
      <c r="E4" s="3336"/>
      <c r="F4" s="3336"/>
      <c r="G4" s="3336"/>
      <c r="H4" s="3336"/>
      <c r="I4" s="3336"/>
      <c r="J4" s="333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3323</v>
      </c>
      <c r="U4" s="1130">
        <f>U2</f>
        <v>904.7</v>
      </c>
      <c r="V4" s="3064">
        <f t="shared" si="1"/>
        <v>301</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4618</v>
      </c>
      <c r="D5" s="1252">
        <f>ROUND(C6*C17+C20,0)</f>
        <v>4618</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2821</v>
      </c>
      <c r="U5" s="1130">
        <f>U2</f>
        <v>904.7</v>
      </c>
      <c r="V5" s="3064">
        <f t="shared" si="1"/>
        <v>255</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2570</v>
      </c>
      <c r="U6" s="1130">
        <f>U2</f>
        <v>904.7</v>
      </c>
      <c r="V6" s="3064">
        <f t="shared" si="1"/>
        <v>233</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v>0.73529999999999995</v>
      </c>
      <c r="T7" s="3064">
        <f t="shared" si="0"/>
        <v>2521</v>
      </c>
      <c r="U7" s="1130">
        <f>U2</f>
        <v>904.7</v>
      </c>
      <c r="V7" s="3064">
        <f t="shared" si="1"/>
        <v>228</v>
      </c>
      <c r="W7" s="1267" t="s">
        <v>1955</v>
      </c>
      <c r="X7" s="1131" t="str">
        <f>G2</f>
        <v>八级</v>
      </c>
      <c r="Y7" s="1131" t="s">
        <v>1956</v>
      </c>
      <c r="Z7" s="1132">
        <f>G3</f>
        <v>2.5</v>
      </c>
      <c r="AA7" s="1133"/>
      <c r="AB7" s="1133"/>
      <c r="AC7" s="1134"/>
      <c r="AD7" s="1135"/>
      <c r="AE7" s="1135"/>
      <c r="AF7" s="1135"/>
      <c r="AG7" s="1135"/>
      <c r="AH7" s="1135"/>
      <c r="AI7" s="1135"/>
      <c r="AJ7" s="1136"/>
    </row>
    <row r="8" spans="1:36" ht="25.5">
      <c r="A8" s="3010"/>
      <c r="B8" s="162" t="s">
        <v>1957</v>
      </c>
      <c r="C8" s="1870" t="s">
        <v>3392</v>
      </c>
      <c r="D8" s="712" t="s">
        <v>112</v>
      </c>
      <c r="E8" s="713" t="e">
        <f>ROUND(C11/E7,4)</f>
        <v>#DIV/0!</v>
      </c>
      <c r="F8" s="1871" t="s">
        <v>1958</v>
      </c>
      <c r="G8" s="1872"/>
      <c r="H8" s="1872"/>
      <c r="I8" s="1872"/>
      <c r="J8" s="1873"/>
      <c r="K8" s="1056"/>
      <c r="L8" s="1847" t="s">
        <v>1959</v>
      </c>
      <c r="M8" s="811">
        <f>SUMPRODUCT((区片价!B234:B276=I2)*(区片价!C3:G3=E2)*(区片价!C234:G276))</f>
        <v>5860</v>
      </c>
      <c r="N8" s="813">
        <f>SUMPRODUCT((因素修正幅度!B234:B276=I2)*(因素修正幅度!C3:G3=E2)*(因素修正幅度!C234:G276))</f>
        <v>0.1</v>
      </c>
      <c r="O8" s="1056"/>
      <c r="P8" s="1056"/>
      <c r="Q8" s="1056"/>
      <c r="R8" s="1129">
        <v>7</v>
      </c>
      <c r="S8" s="1130">
        <v>0.72760000000000002</v>
      </c>
      <c r="T8" s="3064">
        <f t="shared" si="0"/>
        <v>2494</v>
      </c>
      <c r="U8" s="1130">
        <f>U2</f>
        <v>904.7</v>
      </c>
      <c r="V8" s="3064">
        <f t="shared" si="1"/>
        <v>226</v>
      </c>
      <c r="W8" s="3331" t="s">
        <v>1960</v>
      </c>
      <c r="X8" s="333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v>0.71970000000000001</v>
      </c>
      <c r="T9" s="3064">
        <f t="shared" si="0"/>
        <v>2467</v>
      </c>
      <c r="U9" s="1130">
        <f>U2</f>
        <v>904.7</v>
      </c>
      <c r="V9" s="3064">
        <f t="shared" si="1"/>
        <v>223</v>
      </c>
      <c r="W9" s="3333"/>
      <c r="X9" s="3065" t="s">
        <v>3268</v>
      </c>
      <c r="Y9" s="3066">
        <v>6</v>
      </c>
      <c r="Z9" s="3067">
        <f>$Y$9</f>
        <v>6</v>
      </c>
      <c r="AA9" s="3067">
        <f t="shared" ref="AA9:AJ9" si="2">$Y$9</f>
        <v>6</v>
      </c>
      <c r="AB9" s="3067">
        <f t="shared" si="2"/>
        <v>6</v>
      </c>
      <c r="AC9" s="3067">
        <f t="shared" si="2"/>
        <v>6</v>
      </c>
      <c r="AD9" s="3067">
        <f t="shared" si="2"/>
        <v>6</v>
      </c>
      <c r="AE9" s="3067">
        <f t="shared" si="2"/>
        <v>6</v>
      </c>
      <c r="AF9" s="3067">
        <v>13</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v>0.7117</v>
      </c>
      <c r="T10" s="3064">
        <f t="shared" si="0"/>
        <v>2440</v>
      </c>
      <c r="U10" s="1130">
        <f>U2</f>
        <v>904.7</v>
      </c>
      <c r="V10" s="3064">
        <f t="shared" si="1"/>
        <v>221</v>
      </c>
      <c r="W10" s="333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0.67749999999999999</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v>0.70340000000000003</v>
      </c>
      <c r="T11" s="3064">
        <f t="shared" si="0"/>
        <v>2411</v>
      </c>
      <c r="U11" s="1130">
        <f>U2</f>
        <v>904.7</v>
      </c>
      <c r="V11" s="3064">
        <f t="shared" si="1"/>
        <v>218</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v>0.69499999999999995</v>
      </c>
      <c r="T12" s="3064">
        <f t="shared" si="0"/>
        <v>2382</v>
      </c>
      <c r="U12" s="1130">
        <f>U2</f>
        <v>904.7</v>
      </c>
      <c r="V12" s="3064">
        <f t="shared" si="1"/>
        <v>215</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v>0.68630000000000002</v>
      </c>
      <c r="T13" s="3064">
        <f t="shared" si="0"/>
        <v>2353</v>
      </c>
      <c r="U13" s="1130">
        <f>U2</f>
        <v>904.7</v>
      </c>
      <c r="V13" s="3064">
        <f t="shared" si="1"/>
        <v>213</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v>0.67749999999999999</v>
      </c>
      <c r="T14" s="3064">
        <f t="shared" si="0"/>
        <v>2322</v>
      </c>
      <c r="U14" s="1130">
        <f>U2</f>
        <v>904.7</v>
      </c>
      <c r="V14" s="3064">
        <f t="shared" si="1"/>
        <v>210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0.78800000000000003</v>
      </c>
      <c r="D17" s="3029" t="s">
        <v>3247</v>
      </c>
      <c r="E17" s="3037">
        <f>ROUND(G18/I18,2)</f>
        <v>1.06</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v>50</v>
      </c>
      <c r="F18" s="3031" t="s">
        <v>3251</v>
      </c>
      <c r="G18" s="3035">
        <f>ROUND(1-(1/(POWER(1+G24,E18))),4)</f>
        <v>0.93120000000000003</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f>'数据-基础表'!K13</f>
        <v>0</v>
      </c>
      <c r="F19" s="3045" t="s">
        <v>3252</v>
      </c>
      <c r="G19" s="3044">
        <f>E19</f>
        <v>0</v>
      </c>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38" t="s">
        <v>3254</v>
      </c>
      <c r="B20" s="159" t="s">
        <v>1994</v>
      </c>
      <c r="C20" s="3032">
        <f>ROUND(IF(F21="与级别开发程度一致",0,(G21-E21)/C21),0)</f>
        <v>0</v>
      </c>
      <c r="D20" s="3047" t="s">
        <v>1998</v>
      </c>
      <c r="E20" s="3048"/>
      <c r="F20" s="3344" t="s">
        <v>1995</v>
      </c>
      <c r="G20" s="334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3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3393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6" t="s">
        <v>2002</v>
      </c>
      <c r="E23" s="717">
        <v>44197</v>
      </c>
      <c r="F23" s="1896" t="s">
        <v>2003</v>
      </c>
      <c r="G23" s="718">
        <f>'数据-取费表'!B2</f>
        <v>45553</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0.70709999999999995</v>
      </c>
      <c r="D24" s="1902" t="s">
        <v>2007</v>
      </c>
      <c r="E24" s="1248">
        <f>存贷款利率!E26/100</f>
        <v>4.3499999999999997E-2</v>
      </c>
      <c r="F24" s="1902" t="s">
        <v>1999</v>
      </c>
      <c r="G24" s="724">
        <f>SUMIF(M30:Q30,E2,M33:Q33)</f>
        <v>5.5E-2</v>
      </c>
      <c r="H24" s="1902" t="s">
        <v>2008</v>
      </c>
      <c r="I24" s="725">
        <f>SUMIF('数据-取费表'!C6:C15,E2,'数据-取费表'!F6:F15)/COUNTIF('数据-取费表'!C6:C15,E2)</f>
        <v>18.27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3412</v>
      </c>
      <c r="C25" s="461">
        <f>IF(B25="容积率修正",IF(G3&lt;10,D26,J26),C27)</f>
        <v>1.5418000000000001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0.94620000000000004</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#VALUE!</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#VALUE!</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5285</v>
      </c>
      <c r="D33" s="1940">
        <f>U2</f>
        <v>904.7</v>
      </c>
      <c r="E33" s="727">
        <f>ROUND(C33*D33/10000,0)</f>
        <v>478</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2"/>
      <c r="B37" s="1955" t="s">
        <v>2036</v>
      </c>
      <c r="C37" s="167">
        <f>ROUND(D5*C22*C23*C24*C28*F37,0)</f>
        <v>1714</v>
      </c>
      <c r="D37" s="1940"/>
      <c r="E37" s="163">
        <f t="shared" ref="E37:E42" si="3">ROUND(C37*D37/10000,0)</f>
        <v>0</v>
      </c>
      <c r="F37" s="163">
        <f>SUMIF(修正!A57:A68,G2,修正!B57:B68)</f>
        <v>0.5</v>
      </c>
      <c r="G37" s="163">
        <f>ROUND(IF(E2="工业",C37*$M$42,C37*$M$41),0)</f>
        <v>429</v>
      </c>
      <c r="H37" s="163">
        <f t="shared" ref="H37:H42" si="4">D37</f>
        <v>0</v>
      </c>
      <c r="I37" s="163">
        <f t="shared" ref="I37:I42" si="5">ROUND(G37*H37/10000,0)</f>
        <v>0</v>
      </c>
      <c r="J37" s="2755"/>
      <c r="K37" s="3062" t="s">
        <v>3266</v>
      </c>
      <c r="L37" s="1964">
        <f ca="1">L36+K38</f>
        <v>3.85E-2</v>
      </c>
      <c r="M37" s="2366">
        <f ca="1">ROUND($L$37*(1+M31),3)</f>
        <v>4.8000000000000001E-2</v>
      </c>
      <c r="N37" s="2366">
        <f ca="1">ROUND($L$37*(1+N31),3)</f>
        <v>4.5999999999999999E-2</v>
      </c>
      <c r="O37" s="2366">
        <f ca="1">ROUND($L$37*(1+O31),3)</f>
        <v>4.3999999999999997E-2</v>
      </c>
      <c r="P37" s="2366">
        <f ca="1">ROUND($L$37*(1+P31),3)</f>
        <v>4.2000000000000003E-2</v>
      </c>
      <c r="Q37" s="2366">
        <f ca="1">ROUND($L$37*(1+Q31),3)</f>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3"/>
      <c r="B38" s="1884" t="s">
        <v>2037</v>
      </c>
      <c r="C38" s="167">
        <f>ROUND(D5*C22*C23*C24*C28*F38,0)</f>
        <v>686</v>
      </c>
      <c r="D38" s="1940"/>
      <c r="E38" s="163">
        <f t="shared" si="3"/>
        <v>0</v>
      </c>
      <c r="F38" s="163">
        <f>SUMIF(修正!A57:A68,G2,修正!C57:C68)</f>
        <v>0.2</v>
      </c>
      <c r="G38" s="163">
        <f>ROUND(IF(E2="工业",C38*$M$42,C38*$M$41),0)</f>
        <v>172</v>
      </c>
      <c r="H38" s="163">
        <f t="shared" si="4"/>
        <v>0</v>
      </c>
      <c r="I38" s="163">
        <f t="shared" si="5"/>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3"/>
      <c r="B39" s="1884" t="s">
        <v>3259</v>
      </c>
      <c r="C39" s="167">
        <f>ROUND(D5*C22*C23*C24*C28*F39,0)</f>
        <v>686</v>
      </c>
      <c r="D39" s="1940"/>
      <c r="E39" s="163">
        <f t="shared" si="3"/>
        <v>0</v>
      </c>
      <c r="F39" s="163">
        <f>SUMIF(修正!A57:A68,G2,修正!D57:D68)</f>
        <v>0.2</v>
      </c>
      <c r="G39" s="163">
        <f>ROUND(IF(E2="工业",C39*$M$42,C39*$M$41),0)</f>
        <v>172</v>
      </c>
      <c r="H39" s="163">
        <f t="shared" si="4"/>
        <v>0</v>
      </c>
      <c r="I39" s="163">
        <f t="shared" si="5"/>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686</v>
      </c>
      <c r="D40" s="1940">
        <f>'数据-基础表'!M13</f>
        <v>0</v>
      </c>
      <c r="E40" s="163">
        <f t="shared" si="3"/>
        <v>0</v>
      </c>
      <c r="F40" s="167">
        <f>SUMIF(修正!A57:A68,G2,修正!E57:E68)</f>
        <v>0.2</v>
      </c>
      <c r="G40" s="163">
        <f>ROUND(IF(E2="工业",C40*$M$42,C40*$M$41),0)</f>
        <v>172</v>
      </c>
      <c r="H40" s="163">
        <f t="shared" si="4"/>
        <v>0</v>
      </c>
      <c r="I40" s="163">
        <f t="shared" si="5"/>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c r="E41" s="163" t="e">
        <f t="shared" si="3"/>
        <v>#VALUE!</v>
      </c>
      <c r="F41" s="167">
        <f>SUMIF(修正!A57:A68,G2,修正!F57:F68)</f>
        <v>0.2</v>
      </c>
      <c r="G41" s="163" t="e">
        <f>ROUND(IF(E2="工业",C41*$M$42,C41*$M$41),0)</f>
        <v>#VALUE!</v>
      </c>
      <c r="H41" s="163">
        <f t="shared" si="4"/>
        <v>0</v>
      </c>
      <c r="I41" s="163" t="e">
        <f t="shared" si="5"/>
        <v>#VALUE!</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3"/>
        <v>#VALUE!</v>
      </c>
      <c r="F42" s="723">
        <f>SUMIF(修正!A57:A68,G2,修正!G57:G68)</f>
        <v>0.1</v>
      </c>
      <c r="G42" s="179" t="e">
        <f>ROUND(IF(E2="工业",C42*$M$42,C42*$M$41),0)</f>
        <v>#VALUE!</v>
      </c>
      <c r="H42" s="179">
        <f t="shared" si="4"/>
        <v>0</v>
      </c>
      <c r="I42" s="179" t="e">
        <f t="shared" si="5"/>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项目基本情况!E15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6">SUMIF($J$49:$N$49,C50,J50:N50)</f>
        <v>0</v>
      </c>
      <c r="E50" s="702">
        <f>ROUND(SUM(D50:D58),4)</f>
        <v>0</v>
      </c>
      <c r="F50" s="1675">
        <f>IF(E2="商业",SUMIF(L1:L12,G2,N1:N12),"——")</f>
        <v>0.1</v>
      </c>
      <c r="G50" s="1000"/>
      <c r="H50" s="1003">
        <f t="shared" ref="H50:H58" si="7">IFERROR(ROUNDDOWN($F$50*I50/2,4),"——")</f>
        <v>1.4999999999999999E-2</v>
      </c>
      <c r="I50" s="3069">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估价对象周边道路状况、公共交通通达情况、停车便捷程度，综合评价交通便捷度较好</v>
      </c>
      <c r="C51" s="1887"/>
      <c r="D51" s="1002">
        <f t="shared" si="6"/>
        <v>0</v>
      </c>
      <c r="E51" s="703"/>
      <c r="F51" s="1675"/>
      <c r="G51" s="1000"/>
      <c r="H51" s="1003">
        <f t="shared" si="7"/>
        <v>1.0999999999999999E-2</v>
      </c>
      <c r="I51" s="3069">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6"/>
        <v>0</v>
      </c>
      <c r="E52" s="703"/>
      <c r="F52" s="1675"/>
      <c r="G52" s="1000"/>
      <c r="H52" s="1003">
        <f t="shared" si="7"/>
        <v>6.0000000000000001E-3</v>
      </c>
      <c r="I52" s="3069">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6"/>
        <v>0</v>
      </c>
      <c r="E53" s="703"/>
      <c r="F53" s="1675"/>
      <c r="G53" s="1000"/>
      <c r="H53" s="1003">
        <f t="shared" si="7"/>
        <v>2.5000000000000001E-3</v>
      </c>
      <c r="I53" s="3069">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6"/>
        <v>0</v>
      </c>
      <c r="E54" s="703"/>
      <c r="F54" s="1675"/>
      <c r="G54" s="1000"/>
      <c r="H54" s="1003">
        <f t="shared" si="7"/>
        <v>4.0000000000000001E-3</v>
      </c>
      <c r="I54" s="3069">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6"/>
        <v>0</v>
      </c>
      <c r="E55" s="703"/>
      <c r="F55" s="1675"/>
      <c r="G55" s="1000"/>
      <c r="H55" s="1003">
        <f t="shared" si="7"/>
        <v>2.5000000000000001E-3</v>
      </c>
      <c r="I55" s="3069">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6"/>
        <v>0</v>
      </c>
      <c r="E56" s="703"/>
      <c r="F56" s="1675"/>
      <c r="G56" s="1000"/>
      <c r="H56" s="1003">
        <f t="shared" si="7"/>
        <v>2.5000000000000001E-3</v>
      </c>
      <c r="I56" s="3069">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6"/>
        <v>0</v>
      </c>
      <c r="E57" s="703"/>
      <c r="F57" s="1675"/>
      <c r="G57" s="1000"/>
      <c r="H57" s="1003">
        <f t="shared" si="7"/>
        <v>4.0000000000000001E-3</v>
      </c>
      <c r="I57" s="3069">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6"/>
        <v>0</v>
      </c>
      <c r="E58" s="704"/>
      <c r="F58" s="1675"/>
      <c r="G58" s="1000"/>
      <c r="H58" s="1003">
        <f t="shared" si="7"/>
        <v>2.5000000000000001E-3</v>
      </c>
      <c r="I58" s="3070">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1">SUMIF($J$60:$N$60,C61,J61:N61)</f>
        <v>0</v>
      </c>
      <c r="E61" s="702">
        <f>ROUND(SUM(D61:D69),4)</f>
        <v>0</v>
      </c>
      <c r="F61" s="1675" t="str">
        <f>IF(E2="办公",SUMIF(L1:L12,G2,N1:N12),"——")</f>
        <v>——</v>
      </c>
      <c r="G61" s="1000"/>
      <c r="H61" s="1003" t="str">
        <f t="shared" ref="H61:H69" si="12">IFERROR(ROUNDDOWN($F$61*I61/2,4),"——")</f>
        <v>——</v>
      </c>
      <c r="I61" s="3069">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估价对象周边道路状况、公共交通通达情况、停车便捷程度，综合评价交通便捷度较好</v>
      </c>
      <c r="C62" s="1887"/>
      <c r="D62" s="1002">
        <f t="shared" si="11"/>
        <v>0</v>
      </c>
      <c r="E62" s="703"/>
      <c r="F62" s="1675"/>
      <c r="G62" s="1000"/>
      <c r="H62" s="1003" t="str">
        <f t="shared" si="12"/>
        <v>——</v>
      </c>
      <c r="I62" s="3069">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1"/>
        <v>0</v>
      </c>
      <c r="E63" s="703"/>
      <c r="F63" s="1675"/>
      <c r="G63" s="1000"/>
      <c r="H63" s="1003" t="str">
        <f t="shared" si="12"/>
        <v>——</v>
      </c>
      <c r="I63" s="3069">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1"/>
        <v>0</v>
      </c>
      <c r="E64" s="703"/>
      <c r="F64" s="1675"/>
      <c r="G64" s="1000"/>
      <c r="H64" s="1003" t="str">
        <f t="shared" si="12"/>
        <v>——</v>
      </c>
      <c r="I64" s="3069">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1"/>
        <v>0</v>
      </c>
      <c r="E65" s="703"/>
      <c r="F65" s="1675"/>
      <c r="G65" s="1000"/>
      <c r="H65" s="1003" t="str">
        <f t="shared" si="12"/>
        <v>——</v>
      </c>
      <c r="I65" s="3069">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1"/>
        <v>0</v>
      </c>
      <c r="E66" s="703"/>
      <c r="F66" s="1675"/>
      <c r="G66" s="1000"/>
      <c r="H66" s="1003" t="str">
        <f t="shared" si="12"/>
        <v>——</v>
      </c>
      <c r="I66" s="3069">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1"/>
        <v>0</v>
      </c>
      <c r="E67" s="703"/>
      <c r="F67" s="1675"/>
      <c r="G67" s="1000"/>
      <c r="H67" s="1003" t="str">
        <f t="shared" si="12"/>
        <v>——</v>
      </c>
      <c r="I67" s="3069">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1"/>
        <v>0</v>
      </c>
      <c r="E68" s="703"/>
      <c r="F68" s="1675"/>
      <c r="G68" s="1000"/>
      <c r="H68" s="1003" t="str">
        <f t="shared" si="12"/>
        <v>——</v>
      </c>
      <c r="I68" s="3069">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1"/>
        <v>0</v>
      </c>
      <c r="E69" s="704"/>
      <c r="F69" s="1675"/>
      <c r="G69" s="1000"/>
      <c r="H69" s="1003" t="str">
        <f t="shared" si="12"/>
        <v>——</v>
      </c>
      <c r="I69" s="3070">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6">SUMIF($J$71:$N$71,C72,J72:N72)</f>
        <v>0</v>
      </c>
      <c r="E72" s="702">
        <f>ROUND(SUM(D72:D80),4)</f>
        <v>0</v>
      </c>
      <c r="F72" s="1675" t="str">
        <f>IF(E2="住宅",SUMIF(L1:L12,G2,N1:N12),"——")</f>
        <v>——</v>
      </c>
      <c r="G72" s="1000"/>
      <c r="H72" s="1003" t="str">
        <f t="shared" ref="H72:H80" si="17">IFERROR(ROUNDDOWN($F$72*I72/2,4),"——")</f>
        <v>——</v>
      </c>
      <c r="I72" s="3069">
        <v>0.2</v>
      </c>
      <c r="J72" s="1001">
        <f t="shared" ref="J72:J80" si="18">K72+$G72</f>
        <v>0</v>
      </c>
      <c r="K72" s="1001">
        <f t="shared" ref="K72:K80" si="19">$L72+$G72</f>
        <v>0</v>
      </c>
      <c r="L72" s="1001">
        <v>0</v>
      </c>
      <c r="M72" s="1001">
        <f t="shared" ref="M72:N80" si="20">L72-$G72</f>
        <v>0</v>
      </c>
      <c r="N72" s="1001">
        <f t="shared" si="20"/>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估价对象周边道路状况、公共交通通达情况、停车便捷程度，综合评价交通便捷度较好</v>
      </c>
      <c r="C73" s="1887"/>
      <c r="D73" s="1002">
        <f t="shared" si="16"/>
        <v>0</v>
      </c>
      <c r="E73" s="705"/>
      <c r="F73" s="1675"/>
      <c r="G73" s="1000"/>
      <c r="H73" s="1003" t="str">
        <f t="shared" si="17"/>
        <v>——</v>
      </c>
      <c r="I73" s="3069">
        <v>0.26</v>
      </c>
      <c r="J73" s="1001">
        <f t="shared" si="18"/>
        <v>0</v>
      </c>
      <c r="K73" s="1001">
        <f t="shared" si="19"/>
        <v>0</v>
      </c>
      <c r="L73" s="1001">
        <v>0</v>
      </c>
      <c r="M73" s="1001">
        <f t="shared" si="20"/>
        <v>0</v>
      </c>
      <c r="N73" s="1001">
        <f t="shared" si="20"/>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6"/>
        <v>0</v>
      </c>
      <c r="E74" s="705"/>
      <c r="F74" s="1675"/>
      <c r="G74" s="1000"/>
      <c r="H74" s="1003" t="str">
        <f t="shared" si="17"/>
        <v>——</v>
      </c>
      <c r="I74" s="3069">
        <v>0.1</v>
      </c>
      <c r="J74" s="1001">
        <f t="shared" si="18"/>
        <v>0</v>
      </c>
      <c r="K74" s="1001">
        <f t="shared" si="19"/>
        <v>0</v>
      </c>
      <c r="L74" s="1001">
        <v>0</v>
      </c>
      <c r="M74" s="1001">
        <f t="shared" si="20"/>
        <v>0</v>
      </c>
      <c r="N74" s="1001">
        <f t="shared" si="20"/>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6"/>
        <v>0</v>
      </c>
      <c r="E75" s="705"/>
      <c r="F75" s="1675"/>
      <c r="G75" s="1000"/>
      <c r="H75" s="1003" t="str">
        <f t="shared" si="17"/>
        <v>——</v>
      </c>
      <c r="I75" s="3069">
        <v>0.05</v>
      </c>
      <c r="J75" s="1001">
        <f t="shared" si="18"/>
        <v>0</v>
      </c>
      <c r="K75" s="1001">
        <f t="shared" si="19"/>
        <v>0</v>
      </c>
      <c r="L75" s="1001">
        <v>0</v>
      </c>
      <c r="M75" s="1001">
        <f t="shared" si="20"/>
        <v>0</v>
      </c>
      <c r="N75" s="1001">
        <f t="shared" si="20"/>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6"/>
        <v>0</v>
      </c>
      <c r="E76" s="705"/>
      <c r="F76" s="1675"/>
      <c r="G76" s="1000"/>
      <c r="H76" s="1003" t="str">
        <f t="shared" si="17"/>
        <v>——</v>
      </c>
      <c r="I76" s="3069">
        <v>0.08</v>
      </c>
      <c r="J76" s="1001">
        <f t="shared" si="18"/>
        <v>0</v>
      </c>
      <c r="K76" s="1001">
        <f t="shared" si="19"/>
        <v>0</v>
      </c>
      <c r="L76" s="1001">
        <v>0</v>
      </c>
      <c r="M76" s="1001">
        <f t="shared" si="20"/>
        <v>0</v>
      </c>
      <c r="N76" s="1001">
        <f t="shared" si="20"/>
        <v>0</v>
      </c>
      <c r="O76" s="1056"/>
      <c r="P76" s="1056"/>
      <c r="Z76" s="1845"/>
      <c r="AA76" s="1895"/>
      <c r="AG76" s="1058"/>
      <c r="AK76" s="1895"/>
    </row>
    <row r="77" spans="1:37" ht="25.5">
      <c r="A77" s="1970" t="s">
        <v>2060</v>
      </c>
      <c r="B77" s="1240" t="str">
        <f>估价对象房地状况!C22</f>
        <v>估价对象所在区域基础设施水平</v>
      </c>
      <c r="C77" s="1887"/>
      <c r="D77" s="1002">
        <f t="shared" si="16"/>
        <v>0</v>
      </c>
      <c r="E77" s="705"/>
      <c r="F77" s="1675"/>
      <c r="G77" s="1000"/>
      <c r="H77" s="1003" t="str">
        <f t="shared" si="17"/>
        <v>——</v>
      </c>
      <c r="I77" s="3069">
        <v>0.09</v>
      </c>
      <c r="J77" s="1001">
        <f t="shared" si="18"/>
        <v>0</v>
      </c>
      <c r="K77" s="1001">
        <f t="shared" si="19"/>
        <v>0</v>
      </c>
      <c r="L77" s="1001">
        <v>0</v>
      </c>
      <c r="M77" s="1001">
        <f t="shared" si="20"/>
        <v>0</v>
      </c>
      <c r="N77" s="1001">
        <f t="shared" si="20"/>
        <v>0</v>
      </c>
      <c r="O77" s="1056"/>
      <c r="P77" s="1056"/>
      <c r="Z77" s="1845"/>
      <c r="AA77" s="1895"/>
      <c r="AG77" s="1058"/>
      <c r="AK77" s="1895"/>
    </row>
    <row r="78" spans="1:37" ht="24">
      <c r="A78" s="1970" t="s">
        <v>2057</v>
      </c>
      <c r="B78" s="1975" t="s">
        <v>2058</v>
      </c>
      <c r="C78" s="1887"/>
      <c r="D78" s="1002">
        <f t="shared" si="16"/>
        <v>0</v>
      </c>
      <c r="E78" s="705"/>
      <c r="F78" s="1675"/>
      <c r="G78" s="1000"/>
      <c r="H78" s="1003" t="str">
        <f t="shared" si="17"/>
        <v>——</v>
      </c>
      <c r="I78" s="3069">
        <v>0.05</v>
      </c>
      <c r="J78" s="1001">
        <f t="shared" si="18"/>
        <v>0</v>
      </c>
      <c r="K78" s="1001">
        <f t="shared" si="19"/>
        <v>0</v>
      </c>
      <c r="L78" s="1001">
        <v>0</v>
      </c>
      <c r="M78" s="1001">
        <f t="shared" si="20"/>
        <v>0</v>
      </c>
      <c r="N78" s="1001">
        <f t="shared" si="20"/>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6"/>
        <v>0</v>
      </c>
      <c r="E79" s="705"/>
      <c r="F79" s="1675"/>
      <c r="G79" s="1000"/>
      <c r="H79" s="1003" t="str">
        <f t="shared" si="17"/>
        <v>——</v>
      </c>
      <c r="I79" s="3069">
        <v>0.12</v>
      </c>
      <c r="J79" s="1001">
        <f t="shared" si="18"/>
        <v>0</v>
      </c>
      <c r="K79" s="1001">
        <f t="shared" si="19"/>
        <v>0</v>
      </c>
      <c r="L79" s="1001">
        <v>0</v>
      </c>
      <c r="M79" s="1001">
        <f t="shared" si="20"/>
        <v>0</v>
      </c>
      <c r="N79" s="1001">
        <f t="shared" si="20"/>
        <v>0</v>
      </c>
      <c r="Z79" s="1845"/>
      <c r="AA79" s="1895"/>
      <c r="AG79" s="1058"/>
      <c r="AK79" s="1895"/>
    </row>
    <row r="80" spans="1:37" ht="24.75" thickBot="1">
      <c r="A80" s="1977" t="s">
        <v>2068</v>
      </c>
      <c r="B80" s="1981"/>
      <c r="C80" s="1887"/>
      <c r="D80" s="1002">
        <f t="shared" si="16"/>
        <v>0</v>
      </c>
      <c r="E80" s="706"/>
      <c r="F80" s="1675"/>
      <c r="G80" s="1000"/>
      <c r="H80" s="1003" t="str">
        <f t="shared" si="17"/>
        <v>——</v>
      </c>
      <c r="I80" s="3070">
        <v>0.05</v>
      </c>
      <c r="J80" s="1001">
        <f t="shared" si="18"/>
        <v>0</v>
      </c>
      <c r="K80" s="1001">
        <f t="shared" si="19"/>
        <v>0</v>
      </c>
      <c r="L80" s="1001">
        <v>0</v>
      </c>
      <c r="M80" s="1001">
        <f t="shared" si="20"/>
        <v>0</v>
      </c>
      <c r="N80" s="1001">
        <f t="shared" si="20"/>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1">SUMIF($J$82:$N$82,C83,J83:N83)</f>
        <v>0</v>
      </c>
      <c r="E83" s="702">
        <f>ROUND(SUM(D83:D90),4)</f>
        <v>0</v>
      </c>
      <c r="F83" s="1675" t="str">
        <f>IF(E2="工业",SUMIF(L1:L12,G2,N1:N12),"——")</f>
        <v>——</v>
      </c>
      <c r="G83" s="1000"/>
      <c r="H83" s="1003" t="str">
        <f t="shared" ref="H83:H90" si="22">IFERROR(ROUNDDOWN($F$83*I83/2,4),"——")</f>
        <v>——</v>
      </c>
      <c r="I83" s="3069">
        <v>0.26</v>
      </c>
      <c r="J83" s="1001">
        <f t="shared" ref="J83:J90" si="23">K83+$G83</f>
        <v>0</v>
      </c>
      <c r="K83" s="1001">
        <f t="shared" ref="K83:K90" si="24">$L83+$G83</f>
        <v>0</v>
      </c>
      <c r="L83" s="1001">
        <v>0</v>
      </c>
      <c r="M83" s="1001">
        <f t="shared" ref="M83:N90" si="25">L83-$G83</f>
        <v>0</v>
      </c>
      <c r="N83" s="1001">
        <f t="shared" si="25"/>
        <v>0</v>
      </c>
      <c r="Z83" s="1845"/>
      <c r="AA83" s="1895"/>
      <c r="AG83" s="1058"/>
      <c r="AK83" s="1895"/>
    </row>
    <row r="84" spans="1:37" ht="51">
      <c r="A84" s="1970" t="s">
        <v>2053</v>
      </c>
      <c r="B84" s="1262" t="str">
        <f>估价对象房地状况!G16</f>
        <v>估价对象周边道路状况、公共交通通达情况、停车便捷程度，综合评价交通便捷度较好</v>
      </c>
      <c r="C84" s="1887"/>
      <c r="D84" s="1002">
        <f t="shared" si="21"/>
        <v>0</v>
      </c>
      <c r="E84" s="705"/>
      <c r="F84" s="1675"/>
      <c r="G84" s="1000"/>
      <c r="H84" s="1003" t="str">
        <f t="shared" si="22"/>
        <v>——</v>
      </c>
      <c r="I84" s="3069">
        <v>0.3</v>
      </c>
      <c r="J84" s="1001">
        <f t="shared" si="23"/>
        <v>0</v>
      </c>
      <c r="K84" s="1001">
        <f t="shared" si="24"/>
        <v>0</v>
      </c>
      <c r="L84" s="1001">
        <v>0</v>
      </c>
      <c r="M84" s="1001">
        <f t="shared" si="25"/>
        <v>0</v>
      </c>
      <c r="N84" s="1001">
        <f t="shared" si="25"/>
        <v>0</v>
      </c>
      <c r="Z84" s="1845"/>
      <c r="AA84" s="1895"/>
      <c r="AG84" s="1058"/>
      <c r="AK84" s="1895"/>
    </row>
    <row r="85" spans="1:37" ht="36">
      <c r="A85" s="3071" t="s">
        <v>3270</v>
      </c>
      <c r="B85" s="1262">
        <f>估价对象房地状况!G17</f>
        <v>0</v>
      </c>
      <c r="C85" s="1887"/>
      <c r="D85" s="1002">
        <f t="shared" si="21"/>
        <v>0</v>
      </c>
      <c r="E85" s="705"/>
      <c r="F85" s="1675"/>
      <c r="G85" s="1000"/>
      <c r="H85" s="1003" t="str">
        <f t="shared" si="22"/>
        <v>——</v>
      </c>
      <c r="I85" s="3069">
        <v>0.1</v>
      </c>
      <c r="J85" s="1001">
        <f t="shared" si="23"/>
        <v>0</v>
      </c>
      <c r="K85" s="1001">
        <f t="shared" si="24"/>
        <v>0</v>
      </c>
      <c r="L85" s="1001">
        <v>0</v>
      </c>
      <c r="M85" s="1001">
        <f t="shared" si="25"/>
        <v>0</v>
      </c>
      <c r="N85" s="1001">
        <f t="shared" si="25"/>
        <v>0</v>
      </c>
      <c r="Z85" s="1845"/>
      <c r="AA85" s="1895"/>
      <c r="AG85" s="1058"/>
      <c r="AK85" s="1895"/>
    </row>
    <row r="86" spans="1:37" ht="14.25">
      <c r="A86" s="1970" t="s">
        <v>2067</v>
      </c>
      <c r="B86" s="1262">
        <f>估价对象房地状况!G22</f>
        <v>0</v>
      </c>
      <c r="C86" s="1887"/>
      <c r="D86" s="1002">
        <f t="shared" si="21"/>
        <v>0</v>
      </c>
      <c r="E86" s="705"/>
      <c r="F86" s="1675"/>
      <c r="G86" s="1000"/>
      <c r="H86" s="1003" t="str">
        <f t="shared" si="22"/>
        <v>——</v>
      </c>
      <c r="I86" s="3069">
        <v>0.05</v>
      </c>
      <c r="J86" s="1001">
        <f t="shared" si="23"/>
        <v>0</v>
      </c>
      <c r="K86" s="1001">
        <f t="shared" si="24"/>
        <v>0</v>
      </c>
      <c r="L86" s="1001">
        <v>0</v>
      </c>
      <c r="M86" s="1001">
        <f t="shared" si="25"/>
        <v>0</v>
      </c>
      <c r="N86" s="1001">
        <f t="shared" si="25"/>
        <v>0</v>
      </c>
      <c r="Z86" s="1845"/>
      <c r="AA86" s="1895"/>
      <c r="AG86" s="1058"/>
      <c r="AK86" s="1895"/>
    </row>
    <row r="87" spans="1:37" ht="25.5">
      <c r="A87" s="1970" t="s">
        <v>2059</v>
      </c>
      <c r="B87" s="1240" t="str">
        <f>估价对象房地状况!G19</f>
        <v>估价对象所在区域公共配套设施齐备情况</v>
      </c>
      <c r="C87" s="1887"/>
      <c r="D87" s="1002">
        <f t="shared" si="21"/>
        <v>0</v>
      </c>
      <c r="E87" s="705"/>
      <c r="F87" s="1675"/>
      <c r="G87" s="1000"/>
      <c r="H87" s="1003" t="str">
        <f t="shared" si="22"/>
        <v>——</v>
      </c>
      <c r="I87" s="3069">
        <v>0.06</v>
      </c>
      <c r="J87" s="1001">
        <f t="shared" si="23"/>
        <v>0</v>
      </c>
      <c r="K87" s="1001">
        <f t="shared" si="24"/>
        <v>0</v>
      </c>
      <c r="L87" s="1001">
        <v>0</v>
      </c>
      <c r="M87" s="1001">
        <f t="shared" si="25"/>
        <v>0</v>
      </c>
      <c r="N87" s="1001">
        <f t="shared" si="25"/>
        <v>0</v>
      </c>
    </row>
    <row r="88" spans="1:37" ht="25.5">
      <c r="A88" s="1970" t="s">
        <v>2060</v>
      </c>
      <c r="B88" s="1240" t="str">
        <f>估价对象房地状况!G20</f>
        <v>估价对象所在区域基础设施水平</v>
      </c>
      <c r="C88" s="1887"/>
      <c r="D88" s="1002">
        <f t="shared" si="21"/>
        <v>0</v>
      </c>
      <c r="E88" s="705"/>
      <c r="F88" s="1675"/>
      <c r="G88" s="1000"/>
      <c r="H88" s="1003" t="str">
        <f t="shared" si="22"/>
        <v>——</v>
      </c>
      <c r="I88" s="3069">
        <v>0.12</v>
      </c>
      <c r="J88" s="1001">
        <f t="shared" si="23"/>
        <v>0</v>
      </c>
      <c r="K88" s="1001">
        <f t="shared" si="24"/>
        <v>0</v>
      </c>
      <c r="L88" s="1001">
        <v>0</v>
      </c>
      <c r="M88" s="1001">
        <f t="shared" si="25"/>
        <v>0</v>
      </c>
      <c r="N88" s="1001">
        <f t="shared" si="25"/>
        <v>0</v>
      </c>
    </row>
    <row r="89" spans="1:37" ht="24">
      <c r="A89" s="1970" t="s">
        <v>2057</v>
      </c>
      <c r="B89" s="1975" t="s">
        <v>2071</v>
      </c>
      <c r="C89" s="1887"/>
      <c r="D89" s="1002">
        <f t="shared" si="21"/>
        <v>0</v>
      </c>
      <c r="E89" s="705"/>
      <c r="F89" s="1675"/>
      <c r="G89" s="1000"/>
      <c r="H89" s="1003" t="str">
        <f t="shared" si="22"/>
        <v>——</v>
      </c>
      <c r="I89" s="3069">
        <v>0.06</v>
      </c>
      <c r="J89" s="1001">
        <f t="shared" si="23"/>
        <v>0</v>
      </c>
      <c r="K89" s="1001">
        <f t="shared" si="24"/>
        <v>0</v>
      </c>
      <c r="L89" s="1001">
        <v>0</v>
      </c>
      <c r="M89" s="1001">
        <f t="shared" si="25"/>
        <v>0</v>
      </c>
      <c r="N89" s="1001">
        <f t="shared" si="25"/>
        <v>0</v>
      </c>
    </row>
    <row r="90" spans="1:37" ht="39" thickBot="1">
      <c r="A90" s="1977" t="s">
        <v>2072</v>
      </c>
      <c r="B90" s="1982" t="str">
        <f>估价对象房地状况!G18</f>
        <v>该园区内是否有污染型企业，绿化情况，卫生条件，整体环境状况判断</v>
      </c>
      <c r="C90" s="1887"/>
      <c r="D90" s="1002">
        <f t="shared" si="21"/>
        <v>0</v>
      </c>
      <c r="E90" s="706"/>
      <c r="F90" s="1675"/>
      <c r="G90" s="1000"/>
      <c r="H90" s="1003" t="str">
        <f t="shared" si="22"/>
        <v>——</v>
      </c>
      <c r="I90" s="3070">
        <v>0.05</v>
      </c>
      <c r="J90" s="1001">
        <f t="shared" si="23"/>
        <v>0</v>
      </c>
      <c r="K90" s="1001">
        <f t="shared" si="24"/>
        <v>0</v>
      </c>
      <c r="L90" s="1001">
        <v>0</v>
      </c>
      <c r="M90" s="1001">
        <f t="shared" si="25"/>
        <v>0</v>
      </c>
      <c r="N90" s="1001">
        <f t="shared" si="25"/>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6">K93+$G93</f>
        <v>0</v>
      </c>
      <c r="K93" s="1912">
        <f t="shared" ref="K93:K101" si="27">$L93+$G93</f>
        <v>0</v>
      </c>
      <c r="L93" s="1912">
        <v>0</v>
      </c>
      <c r="M93" s="1912">
        <f t="shared" ref="M93:N101" si="28">L93-$G93</f>
        <v>0</v>
      </c>
      <c r="N93" s="1912">
        <f t="shared" si="28"/>
        <v>0</v>
      </c>
    </row>
    <row r="94" spans="1:37" ht="51">
      <c r="A94" s="3081" t="s">
        <v>3273</v>
      </c>
      <c r="B94" s="3072" t="str">
        <f>估价对象房地状况!C18</f>
        <v>估价对象周边道路状况、公共交通通达情况、停车便捷程度，综合评价交通便捷度较好</v>
      </c>
      <c r="C94" s="1887"/>
      <c r="D94" s="2310">
        <f t="shared" ref="D94:D101" si="29">SUMIF($J$60:$N$60,C94,J94:N94)</f>
        <v>0</v>
      </c>
      <c r="E94" s="3085"/>
      <c r="F94" s="1675"/>
      <c r="G94" s="3075"/>
      <c r="H94" s="3120" t="str">
        <f>IFERROR(ROUNDDOWN($F$93*I94/2,4),"——")</f>
        <v>——</v>
      </c>
      <c r="I94" s="3069">
        <v>0.26</v>
      </c>
      <c r="J94" s="1912">
        <f t="shared" si="26"/>
        <v>0</v>
      </c>
      <c r="K94" s="1912">
        <f t="shared" si="27"/>
        <v>0</v>
      </c>
      <c r="L94" s="1912">
        <v>0</v>
      </c>
      <c r="M94" s="1912">
        <f t="shared" si="28"/>
        <v>0</v>
      </c>
      <c r="N94" s="1912">
        <f t="shared" si="28"/>
        <v>0</v>
      </c>
    </row>
    <row r="95" spans="1:37" ht="36">
      <c r="A95" s="3071" t="s">
        <v>3269</v>
      </c>
      <c r="B95" s="3072">
        <f>估价对象房地状况!C19</f>
        <v>0</v>
      </c>
      <c r="C95" s="1887"/>
      <c r="D95" s="2310">
        <f t="shared" si="29"/>
        <v>0</v>
      </c>
      <c r="E95" s="3085"/>
      <c r="F95" s="1675"/>
      <c r="G95" s="3075"/>
      <c r="H95" s="3120" t="str">
        <f t="shared" ref="H95:H101" si="30">IFERROR(ROUNDDOWN($F$93*I95/2,4),"——")</f>
        <v>——</v>
      </c>
      <c r="I95" s="3069">
        <v>0.11</v>
      </c>
      <c r="J95" s="1912">
        <f t="shared" si="26"/>
        <v>0</v>
      </c>
      <c r="K95" s="1912">
        <f t="shared" si="27"/>
        <v>0</v>
      </c>
      <c r="L95" s="1912">
        <v>0</v>
      </c>
      <c r="M95" s="1912">
        <f t="shared" si="28"/>
        <v>0</v>
      </c>
      <c r="N95" s="1912">
        <f t="shared" si="28"/>
        <v>0</v>
      </c>
    </row>
    <row r="96" spans="1:37" ht="36.75">
      <c r="A96" s="3081" t="s">
        <v>3274</v>
      </c>
      <c r="B96" s="3087" t="s">
        <v>3285</v>
      </c>
      <c r="C96" s="1887"/>
      <c r="D96" s="2310">
        <f t="shared" si="29"/>
        <v>0</v>
      </c>
      <c r="E96" s="3085"/>
      <c r="F96" s="1675"/>
      <c r="G96" s="3075"/>
      <c r="H96" s="3120" t="str">
        <f t="shared" si="30"/>
        <v>——</v>
      </c>
      <c r="I96" s="3069">
        <v>0.05</v>
      </c>
      <c r="J96" s="1912">
        <f t="shared" si="26"/>
        <v>0</v>
      </c>
      <c r="K96" s="1912">
        <f t="shared" si="27"/>
        <v>0</v>
      </c>
      <c r="L96" s="1912">
        <v>0</v>
      </c>
      <c r="M96" s="1912">
        <f t="shared" si="28"/>
        <v>0</v>
      </c>
      <c r="N96" s="1912">
        <f t="shared" si="28"/>
        <v>0</v>
      </c>
    </row>
    <row r="97" spans="1:14" ht="24">
      <c r="A97" s="3081" t="s">
        <v>3275</v>
      </c>
      <c r="B97" s="3072">
        <f>估价对象房地状况!C24</f>
        <v>0</v>
      </c>
      <c r="C97" s="1887"/>
      <c r="D97" s="2310">
        <f t="shared" si="29"/>
        <v>0</v>
      </c>
      <c r="E97" s="3085"/>
      <c r="F97" s="1675"/>
      <c r="G97" s="3075"/>
      <c r="H97" s="3120" t="str">
        <f t="shared" si="30"/>
        <v>——</v>
      </c>
      <c r="I97" s="3069">
        <v>0.05</v>
      </c>
      <c r="J97" s="1912">
        <f t="shared" si="26"/>
        <v>0</v>
      </c>
      <c r="K97" s="1912">
        <f t="shared" si="27"/>
        <v>0</v>
      </c>
      <c r="L97" s="1912">
        <v>0</v>
      </c>
      <c r="M97" s="1912">
        <f t="shared" si="28"/>
        <v>0</v>
      </c>
      <c r="N97" s="1912">
        <f t="shared" si="28"/>
        <v>0</v>
      </c>
    </row>
    <row r="98" spans="1:14" ht="24">
      <c r="A98" s="3081" t="s">
        <v>3276</v>
      </c>
      <c r="B98" s="3088" t="s">
        <v>3286</v>
      </c>
      <c r="C98" s="1887"/>
      <c r="D98" s="2310">
        <f t="shared" si="29"/>
        <v>0</v>
      </c>
      <c r="E98" s="3085"/>
      <c r="F98" s="1675"/>
      <c r="G98" s="3075"/>
      <c r="H98" s="3120" t="str">
        <f t="shared" si="30"/>
        <v>——</v>
      </c>
      <c r="I98" s="3069">
        <v>0.06</v>
      </c>
      <c r="J98" s="1912">
        <f t="shared" si="26"/>
        <v>0</v>
      </c>
      <c r="K98" s="1912">
        <f t="shared" si="27"/>
        <v>0</v>
      </c>
      <c r="L98" s="1912">
        <v>0</v>
      </c>
      <c r="M98" s="1912">
        <f t="shared" si="28"/>
        <v>0</v>
      </c>
      <c r="N98" s="1912">
        <f t="shared" si="28"/>
        <v>0</v>
      </c>
    </row>
    <row r="99" spans="1:14" ht="25.5">
      <c r="A99" s="3081" t="s">
        <v>3277</v>
      </c>
      <c r="B99" s="3072" t="str">
        <f>估价对象房地状况!C21</f>
        <v>估价对象所在区域公共配套设施齐备情况</v>
      </c>
      <c r="C99" s="1887"/>
      <c r="D99" s="2310">
        <f t="shared" si="29"/>
        <v>0</v>
      </c>
      <c r="E99" s="3085"/>
      <c r="F99" s="1675"/>
      <c r="G99" s="3075"/>
      <c r="H99" s="3120" t="str">
        <f t="shared" si="30"/>
        <v>——</v>
      </c>
      <c r="I99" s="3069">
        <v>0.06</v>
      </c>
      <c r="J99" s="1912">
        <f t="shared" si="26"/>
        <v>0</v>
      </c>
      <c r="K99" s="1912">
        <f t="shared" si="27"/>
        <v>0</v>
      </c>
      <c r="L99" s="1912">
        <v>0</v>
      </c>
      <c r="M99" s="1912">
        <f t="shared" si="28"/>
        <v>0</v>
      </c>
      <c r="N99" s="1912">
        <f t="shared" si="28"/>
        <v>0</v>
      </c>
    </row>
    <row r="100" spans="1:14" ht="25.5">
      <c r="A100" s="3081" t="s">
        <v>3278</v>
      </c>
      <c r="B100" s="3072" t="str">
        <f>估价对象房地状况!C22</f>
        <v>估价对象所在区域基础设施水平</v>
      </c>
      <c r="C100" s="1887"/>
      <c r="D100" s="2310">
        <f t="shared" si="29"/>
        <v>0</v>
      </c>
      <c r="E100" s="3085"/>
      <c r="F100" s="1675"/>
      <c r="G100" s="3075"/>
      <c r="H100" s="3120" t="str">
        <f t="shared" si="30"/>
        <v>——</v>
      </c>
      <c r="I100" s="3069">
        <v>0.09</v>
      </c>
      <c r="J100" s="1912">
        <f t="shared" si="26"/>
        <v>0</v>
      </c>
      <c r="K100" s="1912">
        <f t="shared" si="27"/>
        <v>0</v>
      </c>
      <c r="L100" s="1912">
        <v>0</v>
      </c>
      <c r="M100" s="1912">
        <f t="shared" si="28"/>
        <v>0</v>
      </c>
      <c r="N100" s="1912">
        <f t="shared" si="28"/>
        <v>0</v>
      </c>
    </row>
    <row r="101" spans="1:14" ht="26.25" thickBot="1">
      <c r="A101" s="3082" t="s">
        <v>3279</v>
      </c>
      <c r="B101" s="3089" t="str">
        <f>估价对象房地状况!C20</f>
        <v>区域自然环境：；人文环境；综合评价环境状况一般</v>
      </c>
      <c r="C101" s="1887"/>
      <c r="D101" s="2310">
        <f t="shared" si="29"/>
        <v>0</v>
      </c>
      <c r="E101" s="3086"/>
      <c r="F101" s="1675"/>
      <c r="G101" s="3075"/>
      <c r="H101" s="3120" t="str">
        <f t="shared" si="30"/>
        <v>——</v>
      </c>
      <c r="I101" s="3070">
        <v>7.0000000000000007E-2</v>
      </c>
      <c r="J101" s="1912">
        <f t="shared" si="26"/>
        <v>0</v>
      </c>
      <c r="K101" s="1912">
        <f t="shared" si="27"/>
        <v>0</v>
      </c>
      <c r="L101" s="1912">
        <v>0</v>
      </c>
      <c r="M101" s="1912">
        <f t="shared" si="28"/>
        <v>0</v>
      </c>
      <c r="N101" s="1912">
        <f t="shared" si="28"/>
        <v>0</v>
      </c>
    </row>
    <row r="103" spans="1:14">
      <c r="A103" s="3340" t="s">
        <v>3294</v>
      </c>
      <c r="B103" s="3340"/>
      <c r="C103" s="3340"/>
      <c r="D103" s="3340"/>
      <c r="E103" s="3340"/>
      <c r="F103" s="3340"/>
      <c r="G103" s="3340"/>
      <c r="H103" s="3340"/>
      <c r="I103" s="3340"/>
      <c r="J103" s="3340"/>
      <c r="K103" s="1667"/>
      <c r="L103" s="1667"/>
      <c r="M103" s="1667"/>
      <c r="N103" s="1667"/>
    </row>
    <row r="104" spans="1:14">
      <c r="A104" s="3341" t="s">
        <v>3295</v>
      </c>
      <c r="B104" s="3341" t="s">
        <v>3296</v>
      </c>
      <c r="C104" s="3091" t="s">
        <v>3297</v>
      </c>
      <c r="D104" s="3092"/>
      <c r="E104" s="3092"/>
      <c r="F104" s="3092"/>
      <c r="G104" s="3092"/>
      <c r="H104" s="3092"/>
      <c r="I104" s="3092"/>
      <c r="J104" s="3093"/>
      <c r="K104" s="3094"/>
      <c r="L104" s="3094"/>
      <c r="M104" s="3094"/>
      <c r="N104" s="3094"/>
    </row>
    <row r="105" spans="1:14">
      <c r="A105" s="3341"/>
      <c r="B105" s="3341"/>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27"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2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2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2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2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28"/>
      <c r="B111" s="3095" t="s">
        <v>3268</v>
      </c>
      <c r="C111" s="3096">
        <f>$I$3</f>
        <v>1</v>
      </c>
      <c r="D111" s="3096">
        <f t="shared" ref="D111:M111" si="31">$I$3</f>
        <v>1</v>
      </c>
      <c r="E111" s="3096">
        <f t="shared" si="31"/>
        <v>1</v>
      </c>
      <c r="F111" s="3096">
        <f t="shared" si="31"/>
        <v>1</v>
      </c>
      <c r="G111" s="3096">
        <f t="shared" si="31"/>
        <v>1</v>
      </c>
      <c r="H111" s="3096">
        <f t="shared" si="31"/>
        <v>1</v>
      </c>
      <c r="I111" s="3096">
        <f t="shared" si="31"/>
        <v>1</v>
      </c>
      <c r="J111" s="3096">
        <f t="shared" si="31"/>
        <v>1</v>
      </c>
      <c r="K111" s="3096">
        <f t="shared" si="31"/>
        <v>1</v>
      </c>
      <c r="L111" s="3096">
        <f t="shared" si="31"/>
        <v>1</v>
      </c>
      <c r="M111" s="3096">
        <f t="shared" si="31"/>
        <v>1</v>
      </c>
      <c r="N111" s="3096">
        <f>$I$3</f>
        <v>1</v>
      </c>
    </row>
    <row r="112" spans="1:14">
      <c r="A112" s="3329"/>
      <c r="B112" s="3095">
        <v>6</v>
      </c>
      <c r="C112" s="3090">
        <f>(-0.5556*(C111^2)-0.2719*C111+8944)*(10^(-4))</f>
        <v>0.89431725000000006</v>
      </c>
      <c r="D112" s="3090">
        <f>(-0.5556*(D111^2)-0.2719*D111+8944)*(10^(-4))</f>
        <v>0.89431725000000006</v>
      </c>
      <c r="E112" s="3090">
        <f>(-0.7912*(E111^2)-11.3794*E111+8482)*(10^(-4))</f>
        <v>0.84698294000000007</v>
      </c>
      <c r="F112" s="3090">
        <f>(-0.7912*(F111^2)-11.3794*F111+8482)*(10^(-4))</f>
        <v>0.84698294000000007</v>
      </c>
      <c r="G112" s="3090">
        <f>(-0.7912*(G111^2)-11.3794*G111+8482)*(10^(-4))</f>
        <v>0.84698294000000007</v>
      </c>
      <c r="H112" s="3090">
        <f>(-0.7912*(H111^2)-11.3794*H111+8482)*(10^(-4))</f>
        <v>0.84698294000000007</v>
      </c>
      <c r="I112" s="3090">
        <f>(-0.7912*(I111^2)-11.3794*I111+8482)*(10^(-4))</f>
        <v>0.84698294000000007</v>
      </c>
      <c r="J112" s="3090">
        <f>(-0.989*(J111^2)-63.78*J111+7771)*(10^(-4))</f>
        <v>0.77062310000000001</v>
      </c>
      <c r="K112" s="3090">
        <f>(-0.989*(K111^2)-63.78*K111+7771)*(10^(-4))</f>
        <v>0.77062310000000001</v>
      </c>
      <c r="L112" s="3090">
        <f>(-0.989*(L111^2)-63.78*L111+7771)*(10^(-4))</f>
        <v>0.77062310000000001</v>
      </c>
      <c r="M112" s="3090">
        <f>(-0.989*(M111^2)-63.78*M111+7771)*(10^(-4))</f>
        <v>0.77062310000000001</v>
      </c>
      <c r="N112" s="3090">
        <f>(-0.989*(N111^2)-63.78*N111+7771)*(10^(-4))</f>
        <v>0.77062310000000001</v>
      </c>
    </row>
    <row r="113" spans="1:14">
      <c r="A113" s="3330" t="s">
        <v>3311</v>
      </c>
      <c r="B113" s="3330"/>
      <c r="C113" s="3330"/>
      <c r="D113" s="3330"/>
      <c r="E113" s="3330"/>
      <c r="F113" s="3330"/>
      <c r="G113" s="3330"/>
      <c r="H113" s="3330"/>
      <c r="I113" s="3330"/>
      <c r="J113" s="333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0.80359999999999998</v>
      </c>
      <c r="E116" s="162" t="s">
        <v>3314</v>
      </c>
      <c r="F116" s="3102" t="str">
        <f>E2</f>
        <v>商业</v>
      </c>
      <c r="G116" s="162" t="s">
        <v>3315</v>
      </c>
      <c r="H116" s="3102" t="str">
        <f>G2</f>
        <v>八级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2">I118</f>
        <v>0.80359999999999998</v>
      </c>
      <c r="K118" s="3090">
        <f t="shared" si="32"/>
        <v>0.80359999999999998</v>
      </c>
      <c r="L118" s="3090">
        <f t="shared" si="32"/>
        <v>0.80359999999999998</v>
      </c>
      <c r="M118" s="3110">
        <f t="shared" si="32"/>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3">D119</f>
        <v>0.90600000000000003</v>
      </c>
      <c r="F119" s="3090">
        <f t="shared" si="33"/>
        <v>0.90600000000000003</v>
      </c>
      <c r="G119" s="3090">
        <f t="shared" si="33"/>
        <v>0.90600000000000003</v>
      </c>
      <c r="H119" s="3090">
        <f t="shared" si="33"/>
        <v>0.90600000000000003</v>
      </c>
      <c r="I119" s="3090">
        <f>ROUND(0.838-0.0182*B116,4)</f>
        <v>0.79249999999999998</v>
      </c>
      <c r="J119" s="3090">
        <f t="shared" si="32"/>
        <v>0.79249999999999998</v>
      </c>
      <c r="K119" s="3090">
        <f t="shared" si="32"/>
        <v>0.79249999999999998</v>
      </c>
      <c r="L119" s="3090">
        <f t="shared" si="32"/>
        <v>0.79249999999999998</v>
      </c>
      <c r="M119" s="3110">
        <f t="shared" si="32"/>
        <v>0.79249999999999998</v>
      </c>
      <c r="N119" s="3098"/>
    </row>
    <row r="120" spans="1:14">
      <c r="A120" s="3058" t="s">
        <v>3330</v>
      </c>
      <c r="B120" s="3090">
        <f>ROUND(0.9448-0.0115*B116,4)</f>
        <v>0.91610000000000003</v>
      </c>
      <c r="C120" s="3090">
        <f>B120</f>
        <v>0.91610000000000003</v>
      </c>
      <c r="D120" s="3090">
        <f>ROUND(0.937-0.0145*B116,4)</f>
        <v>0.90080000000000005</v>
      </c>
      <c r="E120" s="3090">
        <f t="shared" si="33"/>
        <v>0.90080000000000005</v>
      </c>
      <c r="F120" s="3090">
        <f t="shared" si="33"/>
        <v>0.90080000000000005</v>
      </c>
      <c r="G120" s="3090">
        <f t="shared" si="33"/>
        <v>0.90080000000000005</v>
      </c>
      <c r="H120" s="3090">
        <f t="shared" si="33"/>
        <v>0.90080000000000005</v>
      </c>
      <c r="I120" s="3090">
        <f>ROUND(0.7965-0.0185*B116,4)</f>
        <v>0.75029999999999997</v>
      </c>
      <c r="J120" s="3090">
        <f t="shared" si="32"/>
        <v>0.75029999999999997</v>
      </c>
      <c r="K120" s="3090">
        <f t="shared" si="32"/>
        <v>0.75029999999999997</v>
      </c>
      <c r="L120" s="3090">
        <f t="shared" si="32"/>
        <v>0.75029999999999997</v>
      </c>
      <c r="M120" s="3110">
        <f t="shared" si="32"/>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2"/>
        <v>0.54300000000000004</v>
      </c>
      <c r="K121" s="3112">
        <f t="shared" si="32"/>
        <v>0.54300000000000004</v>
      </c>
      <c r="L121" s="3112">
        <f t="shared" si="32"/>
        <v>0.54300000000000004</v>
      </c>
      <c r="M121" s="3113">
        <f t="shared" si="32"/>
        <v>0.54300000000000004</v>
      </c>
      <c r="N121" s="3098"/>
    </row>
    <row r="122" spans="1:14">
      <c r="A122" s="3114" t="s">
        <v>2612</v>
      </c>
      <c r="B122" s="3090">
        <f>ROUND(0.9404-0.0106*B116,4)</f>
        <v>0.91390000000000005</v>
      </c>
      <c r="C122" s="3090">
        <f>B122</f>
        <v>0.91390000000000005</v>
      </c>
      <c r="D122" s="3090">
        <f>ROUND(0.8955-0.0135*B116,4)</f>
        <v>0.86180000000000001</v>
      </c>
      <c r="E122" s="3090">
        <f>D122</f>
        <v>0.86180000000000001</v>
      </c>
      <c r="F122" s="3090">
        <f>E122</f>
        <v>0.86180000000000001</v>
      </c>
      <c r="G122" s="3090">
        <f>F122</f>
        <v>0.86180000000000001</v>
      </c>
      <c r="H122" s="3090">
        <f>G122</f>
        <v>0.86180000000000001</v>
      </c>
      <c r="I122" s="3090">
        <f>ROUND(0.7632-0.0166*B116,4)</f>
        <v>0.72170000000000001</v>
      </c>
      <c r="J122" s="3090">
        <f t="shared" si="32"/>
        <v>0.72170000000000001</v>
      </c>
      <c r="K122" s="3090">
        <f t="shared" si="32"/>
        <v>0.72170000000000001</v>
      </c>
      <c r="L122" s="3090">
        <f t="shared" si="32"/>
        <v>0.72170000000000001</v>
      </c>
      <c r="M122" s="3110">
        <f t="shared" si="32"/>
        <v>0.72170000000000001</v>
      </c>
      <c r="N122" s="3098"/>
    </row>
  </sheetData>
  <sheetProtection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17911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15229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3728</v>
      </c>
      <c r="D5" s="203" t="s">
        <v>1469</v>
      </c>
      <c r="E5" s="204" t="s">
        <v>1470</v>
      </c>
      <c r="F5" s="204" t="s">
        <v>1471</v>
      </c>
      <c r="G5" s="205"/>
    </row>
    <row r="6" spans="1:9" s="206" customFormat="1" ht="13.5" customHeight="1">
      <c r="A6" s="732" t="s">
        <v>1472</v>
      </c>
      <c r="B6" s="207" t="s">
        <v>1473</v>
      </c>
      <c r="C6" s="208">
        <f>SUM(基准地价修正!V2:V14)</f>
        <v>3390</v>
      </c>
      <c r="D6" s="209"/>
      <c r="E6" s="210"/>
      <c r="F6" s="210"/>
      <c r="G6" s="211"/>
    </row>
    <row r="7" spans="1:9" s="206" customFormat="1" ht="13.5" customHeight="1">
      <c r="A7" s="732" t="s">
        <v>1474</v>
      </c>
      <c r="B7" s="207" t="s">
        <v>1475</v>
      </c>
      <c r="C7" s="212">
        <f>ROUND(C6*F7,0)</f>
        <v>103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235</v>
      </c>
      <c r="D8" s="214"/>
      <c r="E8" s="212"/>
      <c r="F8" s="213"/>
      <c r="G8" s="1714" t="s">
        <v>3406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3407</v>
      </c>
      <c r="H9" s="1070"/>
      <c r="I9" s="1716" t="s">
        <v>1479</v>
      </c>
    </row>
    <row r="10" spans="1:9" s="206" customFormat="1" ht="13.5" customHeight="1">
      <c r="A10" s="733" t="s">
        <v>356</v>
      </c>
      <c r="B10" s="216" t="s">
        <v>1480</v>
      </c>
      <c r="C10" s="217">
        <f ca="1">ROUND(D10*E10/10000,0)</f>
        <v>235</v>
      </c>
      <c r="D10" s="795">
        <f ca="1">IF(B1="",'数据-汇总表'!E6,IF(INDIRECT("'数据-取费表'!c"&amp;$G$1)="住宅",INDIRECT("'数据-取费表'!s"&amp;$G$1),INDIRECT("'数据-取费表'!k"&amp;$G$1)+INDIRECT("'数据-取费表'!s"&amp;$G$1)))</f>
        <v>11761.1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11761.1</v>
      </c>
      <c r="E19" s="203">
        <f>'数据-取费表'!B31</f>
        <v>200</v>
      </c>
      <c r="F19" s="223"/>
      <c r="G19" s="1714" t="s">
        <v>3408</v>
      </c>
    </row>
    <row r="20" spans="1:7" s="206" customFormat="1" ht="13.5" customHeight="1">
      <c r="A20" s="247" t="s">
        <v>1493</v>
      </c>
      <c r="B20" s="202" t="s">
        <v>1494</v>
      </c>
      <c r="C20" s="224">
        <f ca="1">ROUND((C5+C19)*F20,0)</f>
        <v>75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323</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761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761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5296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9673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8821</v>
      </c>
      <c r="D34" s="209"/>
      <c r="E34" s="212"/>
      <c r="F34" s="249">
        <f ca="1">IF('数据-取费表'!B24=0,1,IF(B1="",'数据-取费表'!N16,INDIRECT("'数据-取费表'!n"&amp;$G$1)))</f>
        <v>1</v>
      </c>
      <c r="G34" s="211" t="s">
        <v>1526</v>
      </c>
    </row>
    <row r="35" spans="1:7" ht="13.5" customHeight="1">
      <c r="A35" s="734" t="s">
        <v>351</v>
      </c>
      <c r="B35" s="207" t="s">
        <v>1527</v>
      </c>
      <c r="C35" s="212">
        <f ca="1">ROUND(C34*F35,0)</f>
        <v>441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235</v>
      </c>
      <c r="D37" s="209">
        <f ca="1">D19</f>
        <v>11761.1</v>
      </c>
      <c r="E37" s="241">
        <f>'数据-取费表'!B35</f>
        <v>200</v>
      </c>
      <c r="F37" s="251"/>
      <c r="G37" s="253" t="s">
        <v>1532</v>
      </c>
    </row>
    <row r="38" spans="1:7" ht="13.5" customHeight="1">
      <c r="A38" s="734" t="s">
        <v>354</v>
      </c>
      <c r="B38" s="207" t="s">
        <v>1533</v>
      </c>
      <c r="C38" s="212">
        <f ca="1">ROUND(C34*F38,0)</f>
        <v>176</v>
      </c>
      <c r="D38" s="212"/>
      <c r="E38" s="212"/>
      <c r="F38" s="251">
        <f>'数据-取费表'!B36</f>
        <v>0.02</v>
      </c>
      <c r="G38" s="211" t="s">
        <v>1528</v>
      </c>
    </row>
    <row r="39" spans="1:7" s="206" customFormat="1" ht="13.5" customHeight="1">
      <c r="A39" s="247" t="s">
        <v>1534</v>
      </c>
      <c r="B39" s="202" t="s">
        <v>1535</v>
      </c>
      <c r="C39" s="224">
        <f ca="1">ROUND(C33*F20,0)</f>
        <v>193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415</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407</v>
      </c>
      <c r="D42" s="230"/>
      <c r="E42" s="230"/>
      <c r="F42" s="231"/>
      <c r="G42" s="3346" t="s">
        <v>1544</v>
      </c>
    </row>
    <row r="43" spans="1:7" ht="13.5" customHeight="1">
      <c r="A43" s="734" t="s">
        <v>347</v>
      </c>
      <c r="B43" s="207" t="s">
        <v>1545</v>
      </c>
      <c r="C43" s="230">
        <f ca="1">ROUND(IF('数据-取费表'!B22&lt;=1,C39*F22*'数据-取费表'!B21/2,C39*(POWER((1+F22),'数据-取费表'!B21/2)-1)),0)</f>
        <v>8</v>
      </c>
      <c r="D43" s="230"/>
      <c r="E43" s="230"/>
      <c r="F43" s="231"/>
      <c r="G43" s="3347"/>
    </row>
    <row r="44" spans="1:7" ht="13.5" customHeight="1">
      <c r="A44" s="734" t="s">
        <v>348</v>
      </c>
      <c r="B44" s="207" t="s">
        <v>1546</v>
      </c>
      <c r="C44" s="230">
        <f ca="1">ROUND(IF('数据-取费表'!B22&lt;=1,C40*F22*'数据-取费表'!B21/2,C40*(POWER((1+F22),'数据-取费表'!B21/2)-1)),4)</f>
        <v>8.0000000000000004E-4</v>
      </c>
      <c r="D44" s="230"/>
      <c r="E44" s="230"/>
      <c r="F44" s="231"/>
      <c r="G44" s="3348"/>
    </row>
    <row r="45" spans="1:7" s="206" customFormat="1" ht="13.5" customHeight="1">
      <c r="A45" s="247" t="s">
        <v>1547</v>
      </c>
      <c r="B45" s="236" t="s">
        <v>1513</v>
      </c>
      <c r="C45" s="237">
        <f ca="1">C46</f>
        <v>1973</v>
      </c>
      <c r="D45" s="227">
        <f ca="1">C47</f>
        <v>4.0000000000000001E-3</v>
      </c>
      <c r="E45" s="228" t="s">
        <v>1539</v>
      </c>
      <c r="F45" s="238">
        <f ca="1">F27</f>
        <v>0.2</v>
      </c>
      <c r="G45" s="239" t="s">
        <v>1548</v>
      </c>
    </row>
    <row r="46" spans="1:7" s="206" customFormat="1" ht="13.5" customHeight="1">
      <c r="A46" s="734" t="s">
        <v>346</v>
      </c>
      <c r="B46" s="240" t="s">
        <v>1549</v>
      </c>
      <c r="C46" s="241">
        <f ca="1">ROUND((C33+C39)*F27,0)</f>
        <v>1973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13279</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12615</v>
      </c>
      <c r="D51" s="224"/>
      <c r="E51" s="224"/>
      <c r="F51" s="256"/>
      <c r="G51" s="226" t="s">
        <v>1560</v>
      </c>
    </row>
    <row r="52" spans="1:7" s="200" customFormat="1" ht="16.5" thickBot="1">
      <c r="A52" s="257" t="s">
        <v>1561</v>
      </c>
      <c r="B52" s="258"/>
      <c r="C52" s="259">
        <f ca="1">C31+C51</f>
        <v>17911</v>
      </c>
      <c r="D52" s="258"/>
      <c r="E52" s="258"/>
      <c r="F52" s="258"/>
      <c r="G52" s="260"/>
    </row>
    <row r="55" spans="1:7" ht="15">
      <c r="B55" s="262" t="s">
        <v>1562</v>
      </c>
      <c r="C55" s="263"/>
    </row>
    <row r="56" spans="1:7">
      <c r="B56" s="265" t="s">
        <v>802</v>
      </c>
      <c r="C56" s="267">
        <f ca="1">1-C57</f>
        <v>0.29600000000000004</v>
      </c>
    </row>
    <row r="57" spans="1:7">
      <c r="B57" s="265" t="s">
        <v>803</v>
      </c>
      <c r="C57" s="266">
        <f ca="1">ROUND(C51/C52,3)</f>
        <v>0.70399999999999996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13284.6949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11295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2352220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2352220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2352220</v>
      </c>
      <c r="D10" s="795">
        <f ca="1">IF(B1="",'数据-汇总表'!E6,IF(INDIRECT("'数据-取费表'!c"&amp;$G$1)="住宅",INDIRECT("'数据-取费表'!s"&amp;$G$1),INDIRECT("'数据-取费表'!k"&amp;$G$1)+INDIRECT("'数据-取费表'!s"&amp;$G$1)))</f>
        <v>11761.1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2352220</v>
      </c>
      <c r="D19" s="204">
        <f ca="1">D9+D10</f>
        <v>11761.1</v>
      </c>
      <c r="E19" s="203">
        <f>'数据-取费表'!B31</f>
        <v>200</v>
      </c>
      <c r="F19" s="223"/>
      <c r="G19" s="1714"/>
    </row>
    <row r="20" spans="1:7" s="206" customFormat="1" ht="13.5" customHeight="1">
      <c r="A20" s="247" t="s">
        <v>1574</v>
      </c>
      <c r="B20" s="202" t="s">
        <v>1575</v>
      </c>
      <c r="C20" s="224">
        <f ca="1">ROUND((C5+C19)*F20,0)</f>
        <v>94089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407908</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201976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201976</v>
      </c>
      <c r="D24" s="230"/>
      <c r="E24" s="230"/>
      <c r="F24" s="231"/>
      <c r="G24" s="232" t="s">
        <v>1586</v>
      </c>
    </row>
    <row r="25" spans="1:7" s="206" customFormat="1" ht="24">
      <c r="A25" s="734" t="s">
        <v>1476</v>
      </c>
      <c r="B25" s="207" t="s">
        <v>1587</v>
      </c>
      <c r="C25" s="230">
        <f ca="1">ROUND(IF('数据-取费表'!B22&lt;=1,C20*F22*'数据-取费表'!B22/2,C20*(POWER((1+F22),'数据-取费表'!B22/2)-1)),0)</f>
        <v>3956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959706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959706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6681993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96735048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88208250</v>
      </c>
      <c r="D34" s="209"/>
      <c r="E34" s="212"/>
      <c r="F34" s="249"/>
      <c r="G34" s="211"/>
    </row>
    <row r="35" spans="1:7" ht="13.5" customHeight="1">
      <c r="A35" s="734" t="s">
        <v>351</v>
      </c>
      <c r="B35" s="207" t="s">
        <v>1527</v>
      </c>
      <c r="C35" s="212">
        <f ca="1">ROUND(C34*F35,0)</f>
        <v>4410413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2352220</v>
      </c>
      <c r="D37" s="209">
        <f ca="1">D19</f>
        <v>11761.1</v>
      </c>
      <c r="E37" s="241">
        <f>'数据-取费表'!B35</f>
        <v>200</v>
      </c>
      <c r="F37" s="251"/>
      <c r="G37" s="253"/>
    </row>
    <row r="38" spans="1:7" ht="13.5" customHeight="1">
      <c r="A38" s="734" t="s">
        <v>354</v>
      </c>
      <c r="B38" s="207" t="s">
        <v>1533</v>
      </c>
      <c r="C38" s="212">
        <f ca="1">ROUND(C34*F38,0)</f>
        <v>1764165</v>
      </c>
      <c r="D38" s="212"/>
      <c r="E38" s="212"/>
      <c r="F38" s="251">
        <f>'数据-取费表'!B36</f>
        <v>0.02</v>
      </c>
      <c r="G38" s="211" t="s">
        <v>1528</v>
      </c>
    </row>
    <row r="39" spans="1:7" s="206" customFormat="1" ht="13.5" customHeight="1">
      <c r="A39" s="247" t="s">
        <v>1534</v>
      </c>
      <c r="B39" s="202" t="s">
        <v>1535</v>
      </c>
      <c r="C39" s="224">
        <f ca="1">ROUND(C33*F20,0)</f>
        <v>1934701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4148955</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4067603</v>
      </c>
      <c r="D42" s="230"/>
      <c r="E42" s="230"/>
      <c r="F42" s="231"/>
      <c r="G42" s="3346" t="s">
        <v>1591</v>
      </c>
    </row>
    <row r="43" spans="1:7" ht="13.5" customHeight="1">
      <c r="A43" s="734" t="s">
        <v>347</v>
      </c>
      <c r="B43" s="207" t="s">
        <v>1545</v>
      </c>
      <c r="C43" s="230">
        <f ca="1">ROUND(IF('数据-取费表'!B22&lt;=1,C39*F22*'数据-取费表'!B20/2,C39*(POWER((1+F22),'数据-取费表'!B20/2)-1)),0)</f>
        <v>81352</v>
      </c>
      <c r="D43" s="230"/>
      <c r="E43" s="230"/>
      <c r="F43" s="231"/>
      <c r="G43" s="3347"/>
    </row>
    <row r="44" spans="1:7" ht="13.5" customHeight="1">
      <c r="A44" s="734" t="s">
        <v>348</v>
      </c>
      <c r="B44" s="207" t="s">
        <v>1546</v>
      </c>
      <c r="C44" s="230">
        <f ca="1">ROUND(IF('数据-取费表'!B22&lt;=1,C40*F22*'数据-取费表'!B20/2,C40*(POWER((1+F22),'数据-取费表'!B20/2)-1)),4)</f>
        <v>8.0000000000000004E-4</v>
      </c>
      <c r="D44" s="230"/>
      <c r="E44" s="230"/>
      <c r="F44" s="231"/>
      <c r="G44" s="3348"/>
    </row>
    <row r="45" spans="1:7" s="206" customFormat="1" ht="13.5" customHeight="1">
      <c r="A45" s="247" t="s">
        <v>1547</v>
      </c>
      <c r="B45" s="236" t="s">
        <v>1513</v>
      </c>
      <c r="C45" s="237">
        <f ca="1">C46</f>
        <v>19733950</v>
      </c>
      <c r="D45" s="227">
        <f ca="1">C47</f>
        <v>4.0000000000000001E-3</v>
      </c>
      <c r="E45" s="228" t="s">
        <v>1539</v>
      </c>
      <c r="F45" s="238">
        <f ca="1">F27</f>
        <v>0.2</v>
      </c>
      <c r="G45" s="239" t="s">
        <v>1548</v>
      </c>
    </row>
    <row r="46" spans="1:7" s="206" customFormat="1" ht="13.5" customHeight="1">
      <c r="A46" s="734" t="s">
        <v>346</v>
      </c>
      <c r="B46" s="240" t="s">
        <v>1549</v>
      </c>
      <c r="C46" s="241">
        <f ca="1">ROUND((C33+C39)*F27,0)</f>
        <v>19733950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132805217</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126164956</v>
      </c>
      <c r="D51" s="224"/>
      <c r="E51" s="224"/>
      <c r="F51" s="256"/>
      <c r="G51" s="226" t="s">
        <v>1560</v>
      </c>
    </row>
    <row r="52" spans="1:7" s="200" customFormat="1" ht="16.5" thickBot="1">
      <c r="A52" s="257" t="s">
        <v>1561</v>
      </c>
      <c r="B52" s="258"/>
      <c r="C52" s="259">
        <f ca="1">C31+C51</f>
        <v>132846949</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11761.1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11761.1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235</v>
      </c>
      <c r="D20" s="796">
        <f ca="1">IF(C1="",'数据-汇总表'!E6,IF(INDIRECT("'数据-取费表'!c"&amp;$K$1)="住宅",INDIRECT("'数据-取费表'!s"&amp;$K$1),INDIRECT("'数据-取费表'!k"&amp;$K$1)+INDIRECT("'数据-取费表'!s"&amp;$K$1)))</f>
        <v>11761.1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18.27</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31270</v>
      </c>
      <c r="C2" s="1289" t="s">
        <v>805</v>
      </c>
      <c r="D2" s="1289"/>
      <c r="E2" s="1295"/>
      <c r="F2" s="1296"/>
      <c r="G2" s="2479"/>
      <c r="H2" s="2469"/>
      <c r="I2" s="2469"/>
      <c r="J2" s="2469"/>
      <c r="K2" s="2470"/>
      <c r="L2" s="2469"/>
      <c r="M2" s="2469"/>
    </row>
    <row r="3" spans="1:37" ht="18" customHeight="1" thickBot="1">
      <c r="A3" s="1297" t="s">
        <v>806</v>
      </c>
      <c r="B3" s="1298">
        <f ca="1">IF(ISERROR(B2*10000/F43),0,ROUND(B2*10000/F43,0))</f>
        <v>26588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2902</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2898</v>
      </c>
      <c r="D6" s="147" t="s">
        <v>2109</v>
      </c>
      <c r="E6" s="294" t="s">
        <v>696</v>
      </c>
      <c r="F6" s="295">
        <f ca="1">INDIRECT("'数据-取费表'!u"&amp;$G$1)</f>
        <v>7.5</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11761.1</v>
      </c>
      <c r="G7" s="1292"/>
      <c r="H7" s="296"/>
      <c r="I7" s="3352"/>
      <c r="J7" s="298"/>
      <c r="K7" s="299"/>
      <c r="L7" s="294" t="s">
        <v>697</v>
      </c>
      <c r="M7" s="295">
        <f ca="1">F7</f>
        <v>11761.1</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4</v>
      </c>
      <c r="D10" s="150" t="s">
        <v>2117</v>
      </c>
      <c r="E10" s="305" t="s">
        <v>701</v>
      </c>
      <c r="F10" s="1053" t="s">
        <v>3394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12615</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8821</v>
      </c>
      <c r="D14" s="1257" t="s">
        <v>708</v>
      </c>
      <c r="E14" s="1255"/>
      <c r="F14" s="311"/>
      <c r="G14" s="1292"/>
      <c r="H14" s="928" t="s">
        <v>398</v>
      </c>
      <c r="I14" s="294" t="s">
        <v>709</v>
      </c>
      <c r="J14" s="21">
        <f ca="1">C29</f>
        <v>13279</v>
      </c>
      <c r="K14" s="12"/>
      <c r="L14" s="759"/>
      <c r="M14" s="760"/>
    </row>
    <row r="15" spans="1:37" s="1304" customFormat="1" ht="18" customHeight="1" thickBot="1">
      <c r="A15" s="928" t="s">
        <v>399</v>
      </c>
      <c r="B15" s="294" t="s">
        <v>710</v>
      </c>
      <c r="C15" s="21">
        <f ca="1">ROUND(C14*F15,0)</f>
        <v>441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133</v>
      </c>
      <c r="K16" s="1024" t="s">
        <v>715</v>
      </c>
      <c r="L16" s="1025"/>
      <c r="M16" s="1009"/>
    </row>
    <row r="17" spans="1:37" s="1304" customFormat="1" ht="18" customHeight="1">
      <c r="A17" s="928" t="s">
        <v>681</v>
      </c>
      <c r="B17" s="294" t="s">
        <v>716</v>
      </c>
      <c r="C17" s="21">
        <f ca="1">ROUND(F17*(F43+INDIRECT("'数据-取费表'!S"&amp;$G$1))/10000,0)</f>
        <v>235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9673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193</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132.79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415</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-133</v>
      </c>
      <c r="K25" s="1032" t="s">
        <v>753</v>
      </c>
      <c r="L25" s="1033"/>
      <c r="M25" s="1034"/>
    </row>
    <row r="26" spans="1:37">
      <c r="A26" s="928" t="s">
        <v>397</v>
      </c>
      <c r="B26" s="294" t="s">
        <v>754</v>
      </c>
      <c r="C26" s="21">
        <f ca="1">ROUND((C19+C20)*F26,0)</f>
        <v>1973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13279</v>
      </c>
      <c r="D29" s="1029"/>
      <c r="E29" s="1027"/>
      <c r="F29" s="1030"/>
      <c r="G29" s="1303"/>
      <c r="H29" s="325" t="s">
        <v>396</v>
      </c>
      <c r="I29" s="326" t="s">
        <v>768</v>
      </c>
      <c r="J29" s="327">
        <f ca="1">ROUND(J26/(1+F40)^F41,0)</f>
        <v>0</v>
      </c>
      <c r="K29" s="328" t="s">
        <v>769</v>
      </c>
      <c r="L29" s="329"/>
      <c r="M29" s="330">
        <f ca="1">INDIRECT("'数据-取费表'!k"&amp;$G$1)</f>
        <v>11761.1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657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483</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151.80000000000001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331.2</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132.79</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12.62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29.02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2245</v>
      </c>
      <c r="D39" s="1032" t="s">
        <v>773</v>
      </c>
      <c r="E39" s="1033"/>
      <c r="F39" s="1034"/>
      <c r="G39" s="1292"/>
      <c r="H39" s="2474"/>
      <c r="I39" s="1305">
        <f ca="1">C39/C5</f>
        <v>0.77360441075120612</v>
      </c>
      <c r="J39" s="1306"/>
      <c r="K39" s="2472"/>
      <c r="L39" s="2474"/>
      <c r="M39" s="2474"/>
    </row>
    <row r="40" spans="1:18" ht="18" customHeight="1">
      <c r="A40" s="291" t="s">
        <v>395</v>
      </c>
      <c r="B40" s="292" t="s">
        <v>774</v>
      </c>
      <c r="C40" s="293">
        <f ca="1">ROUND(C39*(1-((1+F42)/(1+F40))^F41)/(F40-F42),0)</f>
        <v>29513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18.27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25094</v>
      </c>
      <c r="D43" s="328" t="s">
        <v>777</v>
      </c>
      <c r="E43" s="329" t="s">
        <v>778</v>
      </c>
      <c r="F43" s="330">
        <f ca="1">INDIRECT("'数据-取费表'!k"&amp;$G$1)</f>
        <v>11761.1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-31158</v>
      </c>
      <c r="D46" s="1313" t="str">
        <f>C2</f>
        <v>万元</v>
      </c>
      <c r="E46" s="1307"/>
      <c r="F46" s="1307"/>
      <c r="I46" s="1314" t="s">
        <v>810</v>
      </c>
      <c r="J46" s="1315"/>
      <c r="K46" s="1316"/>
      <c r="L46" s="1317">
        <f ca="1">IF(M47="住宅",0,IF(L48&gt;J51,L60,J60))</f>
        <v>1757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40</v>
      </c>
      <c r="M47" s="1288" t="str">
        <f>IF(ISNUMBER(FIND("住宅",C1)),"住宅","非住宅")</f>
        <v>非住宅</v>
      </c>
      <c r="O47" s="1325" t="s">
        <v>403</v>
      </c>
      <c r="P47" s="1326" t="s">
        <v>817</v>
      </c>
      <c r="Q47" s="1327">
        <f ca="1">C40+J29</f>
        <v>29513</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18.27</v>
      </c>
      <c r="O48" s="1325" t="s">
        <v>404</v>
      </c>
      <c r="P48" s="1326" t="s">
        <v>821</v>
      </c>
      <c r="Q48" s="1327">
        <f ca="1">J60</f>
        <v>1757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13279</v>
      </c>
      <c r="R49" s="1327" t="s">
        <v>818</v>
      </c>
    </row>
    <row r="50" spans="1:18" s="1292" customFormat="1" ht="13.5" thickBot="1">
      <c r="A50" s="922"/>
      <c r="B50" s="925"/>
      <c r="C50" s="1055"/>
      <c r="D50" s="899"/>
      <c r="E50" s="993" t="s">
        <v>697</v>
      </c>
      <c r="F50" s="994">
        <f ca="1">F7</f>
        <v>11761.1</v>
      </c>
      <c r="H50" s="682"/>
      <c r="I50" s="1328" t="s">
        <v>826</v>
      </c>
      <c r="J50" s="1335">
        <f>SUMPRODUCT((I63:I65=J47)*(J62:L62=J48)*(J63:L65))</f>
        <v>60</v>
      </c>
      <c r="K50" s="1330" t="s">
        <v>827</v>
      </c>
      <c r="L50" s="1333"/>
      <c r="M50" s="1336"/>
      <c r="O50" s="1334" t="s">
        <v>406</v>
      </c>
      <c r="P50" s="1326" t="s">
        <v>828</v>
      </c>
      <c r="Q50" s="1337">
        <f ca="1">J58</f>
        <v>0.496</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24620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18.27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18.27</v>
      </c>
      <c r="K53" s="3349" t="s">
        <v>837</v>
      </c>
      <c r="L53" s="3350"/>
      <c r="O53" s="1325" t="s">
        <v>409</v>
      </c>
      <c r="P53" s="1326" t="s">
        <v>838</v>
      </c>
      <c r="Q53" s="1327">
        <f ca="1">Q47+Q48</f>
        <v>31270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0.496</v>
      </c>
      <c r="K55" s="1350" t="s">
        <v>841</v>
      </c>
      <c r="L55" s="1351"/>
      <c r="O55" s="1318" t="s">
        <v>811</v>
      </c>
      <c r="P55" s="1319" t="s">
        <v>812</v>
      </c>
      <c r="Q55" s="1320" t="s">
        <v>813</v>
      </c>
      <c r="R55" s="1320" t="s">
        <v>814</v>
      </c>
    </row>
    <row r="56" spans="1:18" s="1292" customFormat="1" ht="25.5" thickTop="1" thickBot="1">
      <c r="A56" s="903">
        <v>2</v>
      </c>
      <c r="B56" s="904" t="s">
        <v>704</v>
      </c>
      <c r="C56" s="224">
        <f ca="1">C13</f>
        <v>12615</v>
      </c>
      <c r="D56" s="1352"/>
      <c r="E56" s="1353"/>
      <c r="F56" s="1345"/>
      <c r="I56" s="1354" t="s">
        <v>842</v>
      </c>
      <c r="J56" s="1355" t="s">
        <v>3397</v>
      </c>
      <c r="K56" s="1328" t="s">
        <v>843</v>
      </c>
      <c r="L56" s="1331" t="str">
        <f ca="1">IF(L48&lt;J51,"——",L48-J53)</f>
        <v>——</v>
      </c>
      <c r="O56" s="1325" t="s">
        <v>403</v>
      </c>
      <c r="P56" s="1326" t="s">
        <v>817</v>
      </c>
      <c r="Q56" s="1327">
        <f ca="1">C40+J29</f>
        <v>29513</v>
      </c>
      <c r="R56" s="1327" t="s">
        <v>818</v>
      </c>
    </row>
    <row r="57" spans="1:18" s="1292" customFormat="1" ht="24.75" thickBot="1">
      <c r="A57" s="1356"/>
      <c r="B57" s="896" t="s">
        <v>767</v>
      </c>
      <c r="C57" s="230">
        <f ca="1">C29</f>
        <v>13279</v>
      </c>
      <c r="D57" s="1357"/>
      <c r="E57" s="1358"/>
      <c r="F57" s="1359"/>
      <c r="I57" s="1360" t="s">
        <v>844</v>
      </c>
      <c r="J57" s="1361">
        <f ca="1">IF(OR(M47="住宅",J51&lt;L48,J56="是"),"——",J51-L48)</f>
        <v>29.73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145</v>
      </c>
      <c r="D58" s="906" t="s">
        <v>715</v>
      </c>
      <c r="E58" s="907"/>
      <c r="F58" s="908"/>
      <c r="I58" s="1360" t="s">
        <v>848</v>
      </c>
      <c r="J58" s="1362">
        <f ca="1">IF(J55&lt;0.4,0.4,J55)</f>
        <v>0.496</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6586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1757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29513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132.79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12.62</v>
      </c>
      <c r="D65" s="910" t="s">
        <v>743</v>
      </c>
      <c r="E65" s="896" t="s">
        <v>744</v>
      </c>
      <c r="F65" s="321">
        <f t="shared" ca="1" si="0"/>
        <v>1E-3</v>
      </c>
      <c r="I65" s="1367" t="s">
        <v>867</v>
      </c>
      <c r="J65" s="610">
        <v>40</v>
      </c>
      <c r="K65" s="610">
        <v>30</v>
      </c>
      <c r="L65" s="610">
        <v>50</v>
      </c>
      <c r="M65" s="1369">
        <v>0.02</v>
      </c>
      <c r="O65" s="1325" t="s">
        <v>403</v>
      </c>
      <c r="P65" s="1326" t="s">
        <v>868</v>
      </c>
      <c r="Q65" s="1327">
        <f ca="1">C40+J29</f>
        <v>29513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-145</v>
      </c>
      <c r="D67" s="909" t="s">
        <v>753</v>
      </c>
      <c r="E67" s="914"/>
      <c r="F67" s="915"/>
      <c r="O67" s="1334" t="s">
        <v>405</v>
      </c>
      <c r="P67" s="1326" t="s">
        <v>850</v>
      </c>
      <c r="Q67" s="1370">
        <f ca="1">L51</f>
        <v>24620</v>
      </c>
      <c r="R67" s="1327" t="s">
        <v>870</v>
      </c>
    </row>
    <row r="68" spans="1:18" s="1292" customFormat="1" ht="16.5" thickBot="1">
      <c r="A68" s="893" t="s">
        <v>395</v>
      </c>
      <c r="B68" s="894" t="s">
        <v>774</v>
      </c>
      <c r="C68" s="293">
        <f ca="1">ROUND(C67*(1-((1+F70)/(1+F68))^F69)/(F68-F70),0)</f>
        <v>-1645</v>
      </c>
      <c r="D68" s="911" t="s">
        <v>758</v>
      </c>
      <c r="E68" s="896" t="s">
        <v>759</v>
      </c>
      <c r="F68" s="304">
        <f ca="1">F40</f>
        <v>5.5E-2</v>
      </c>
      <c r="O68" s="1334" t="s">
        <v>406</v>
      </c>
      <c r="P68" s="1371" t="s">
        <v>871</v>
      </c>
      <c r="Q68" s="1327">
        <f ca="1">ROUND(Q69-Q70*Q71,0)</f>
        <v>1362</v>
      </c>
      <c r="R68" s="1327" t="s">
        <v>414</v>
      </c>
    </row>
    <row r="69" spans="1:18" s="1292" customFormat="1" ht="13.5" thickBot="1">
      <c r="A69" s="897"/>
      <c r="B69" s="898"/>
      <c r="C69" s="298"/>
      <c r="D69" s="916" t="s">
        <v>762</v>
      </c>
      <c r="E69" s="896" t="s">
        <v>763</v>
      </c>
      <c r="F69" s="324">
        <f ca="1">F41</f>
        <v>18.27</v>
      </c>
      <c r="O69" s="1334" t="s">
        <v>411</v>
      </c>
      <c r="P69" s="1371" t="s">
        <v>872</v>
      </c>
      <c r="Q69" s="1327">
        <f ca="1">C39</f>
        <v>2245</v>
      </c>
      <c r="R69" s="1327" t="s">
        <v>818</v>
      </c>
    </row>
    <row r="70" spans="1:18" s="1292" customFormat="1" ht="13.5" thickBot="1">
      <c r="A70" s="900"/>
      <c r="B70" s="901"/>
      <c r="C70" s="302"/>
      <c r="D70" s="912"/>
      <c r="E70" s="896" t="s">
        <v>766</v>
      </c>
      <c r="F70" s="991"/>
      <c r="O70" s="1334" t="s">
        <v>412</v>
      </c>
      <c r="P70" s="1371" t="s">
        <v>873</v>
      </c>
      <c r="Q70" s="1327">
        <f ca="1">C13</f>
        <v>12615</v>
      </c>
      <c r="R70" s="1327" t="s">
        <v>818</v>
      </c>
    </row>
    <row r="71" spans="1:18" s="1292" customFormat="1" ht="13.5" thickBot="1">
      <c r="A71" s="917" t="s">
        <v>396</v>
      </c>
      <c r="B71" s="918" t="s">
        <v>776</v>
      </c>
      <c r="C71" s="327">
        <f ca="1">ROUND(C68*10000/F71,0)</f>
        <v>-1399</v>
      </c>
      <c r="D71" s="919" t="s">
        <v>777</v>
      </c>
      <c r="E71" s="920" t="s">
        <v>778</v>
      </c>
      <c r="F71" s="330">
        <f ca="1">F43</f>
        <v>11761.1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883</v>
      </c>
      <c r="D75" s="1292"/>
      <c r="E75" s="1292"/>
      <c r="F75" s="1292"/>
      <c r="K75" s="1309"/>
      <c r="L75" s="1292"/>
      <c r="O75" s="1325" t="s">
        <v>409</v>
      </c>
      <c r="P75" s="1326" t="s">
        <v>838</v>
      </c>
      <c r="Q75" s="1327">
        <f ca="1">Q65+Q66</f>
        <v>29513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0.60699999999999998</v>
      </c>
    </row>
    <row r="80" spans="1:18">
      <c r="B80" s="331" t="s">
        <v>800</v>
      </c>
      <c r="C80" s="266">
        <f ca="1">ROUND(C75/C39,3)</f>
        <v>0.39300000000000002</v>
      </c>
    </row>
    <row r="81" spans="2:3">
      <c r="B81" s="262" t="s">
        <v>801</v>
      </c>
      <c r="C81" s="230"/>
    </row>
    <row r="82" spans="2:3">
      <c r="B82" s="265" t="s">
        <v>802</v>
      </c>
      <c r="C82" s="267">
        <f ca="1">1-C83</f>
        <v>0.57299999999999995</v>
      </c>
    </row>
    <row r="83" spans="2:3">
      <c r="B83" s="265" t="s">
        <v>803</v>
      </c>
      <c r="C83" s="266">
        <f ca="1">ROUND(C13/C40,3)</f>
        <v>0.42699999999999999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1" sqref="E11"/>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f ca="1">IF(D2="——",C40,C40+E2)</f>
        <v>14898</v>
      </c>
      <c r="C2" s="2596" t="s">
        <v>2318</v>
      </c>
      <c r="D2" s="3139" t="s">
        <v>3358</v>
      </c>
      <c r="E2" s="3140"/>
      <c r="F2" s="2598"/>
      <c r="G2" s="2599"/>
      <c r="H2" s="2600"/>
      <c r="I2" s="2601"/>
      <c r="J2" s="3354" t="s">
        <v>2319</v>
      </c>
      <c r="K2" s="3355"/>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f ca="1">ROUND(B2*10000/B4,0)</f>
        <v>12667</v>
      </c>
      <c r="C3" s="2596" t="s">
        <v>2328</v>
      </c>
      <c r="D3" s="2596"/>
      <c r="E3" s="2597"/>
      <c r="F3" s="2598"/>
      <c r="G3" s="2599"/>
      <c r="H3" s="2600"/>
      <c r="I3" s="2601"/>
      <c r="J3" s="3356" t="s">
        <v>2329</v>
      </c>
      <c r="K3" s="3357"/>
      <c r="L3" s="2608"/>
      <c r="M3" s="2608"/>
      <c r="N3" s="2608"/>
      <c r="O3" s="2608"/>
      <c r="P3" s="2608"/>
      <c r="Q3" s="2609"/>
      <c r="R3" s="2610">
        <f>SUM(L3:Q3)</f>
        <v>0</v>
      </c>
      <c r="S3" s="2593"/>
      <c r="T3" s="2593"/>
      <c r="U3" s="2593"/>
      <c r="V3" s="2601"/>
    </row>
    <row r="4" spans="1:22" s="2605" customFormat="1" ht="13.15" customHeight="1">
      <c r="A4" s="2611" t="s">
        <v>2330</v>
      </c>
      <c r="B4" s="2612">
        <f>'数据-基础表'!B3</f>
        <v>11761.1</v>
      </c>
      <c r="C4" s="2596"/>
      <c r="D4" s="2596"/>
      <c r="E4" s="2597"/>
      <c r="F4" s="2598"/>
      <c r="G4" s="2599"/>
      <c r="H4" s="2600"/>
      <c r="I4" s="2601"/>
      <c r="J4" s="3356" t="s">
        <v>2331</v>
      </c>
      <c r="K4" s="3357"/>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2515</v>
      </c>
      <c r="S5" s="2593"/>
      <c r="T5" s="2593" t="s">
        <v>2334</v>
      </c>
      <c r="U5" s="2593" t="e">
        <f>ROUND(R5*10000/365/R3,1)</f>
        <v>#DIV/0!</v>
      </c>
      <c r="V5" s="2601"/>
    </row>
    <row r="6" spans="1:22" s="2605" customFormat="1" ht="13.15" customHeight="1" thickBot="1">
      <c r="A6" s="3358" t="s">
        <v>2335</v>
      </c>
      <c r="B6" s="3359"/>
      <c r="C6" s="3360"/>
      <c r="D6" s="2622">
        <f>R5</f>
        <v>2515</v>
      </c>
      <c r="E6" s="2623"/>
      <c r="F6" s="2624"/>
      <c r="G6" s="2625"/>
      <c r="H6" s="2600"/>
      <c r="I6" s="2601"/>
      <c r="J6" s="3361">
        <v>1</v>
      </c>
      <c r="K6" s="3362"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 ca="1">SUM(D9,D10,D11,D17,0)</f>
        <v>1256</v>
      </c>
      <c r="E7" s="2632">
        <f ca="1">E9+E10+E11+E17</f>
        <v>0.499403578528827</v>
      </c>
      <c r="F7" s="2633"/>
      <c r="G7" s="2634"/>
      <c r="H7" s="2600"/>
      <c r="I7" s="2601"/>
      <c r="J7" s="3361"/>
      <c r="K7" s="3363"/>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65" t="s">
        <v>2349</v>
      </c>
      <c r="C8" s="3366"/>
      <c r="D8" s="2641" t="s">
        <v>2350</v>
      </c>
      <c r="E8" s="2642" t="s">
        <v>2351</v>
      </c>
      <c r="F8" s="2643" t="s">
        <v>2352</v>
      </c>
      <c r="G8" s="2644"/>
      <c r="H8" s="2600"/>
      <c r="I8" s="2601"/>
      <c r="J8" s="3361"/>
      <c r="K8" s="3363"/>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65" t="s">
        <v>2355</v>
      </c>
      <c r="C9" s="3366"/>
      <c r="D9" s="2641">
        <f>ROUND(D6*E9,0)</f>
        <v>377</v>
      </c>
      <c r="E9" s="2645">
        <v>0.15</v>
      </c>
      <c r="F9" s="2646" t="s">
        <v>2356</v>
      </c>
      <c r="G9" s="2625"/>
      <c r="H9" s="2600"/>
      <c r="I9" s="2601"/>
      <c r="J9" s="3361"/>
      <c r="K9" s="3363"/>
      <c r="L9" s="2635" t="s">
        <v>2357</v>
      </c>
      <c r="M9" s="2636"/>
      <c r="N9" s="2612"/>
      <c r="O9" s="2637"/>
      <c r="P9" s="2637"/>
      <c r="Q9" s="2638">
        <v>365</v>
      </c>
      <c r="R9" s="2639">
        <f t="shared" si="0"/>
        <v>0</v>
      </c>
      <c r="S9" s="2593"/>
      <c r="T9" s="2593"/>
      <c r="U9" s="2593"/>
      <c r="V9" s="2601"/>
    </row>
    <row r="10" spans="1:22" s="2605" customFormat="1" ht="13.15" customHeight="1">
      <c r="A10" s="2640">
        <v>2</v>
      </c>
      <c r="B10" s="3365" t="s">
        <v>2358</v>
      </c>
      <c r="C10" s="3366"/>
      <c r="D10" s="2641">
        <f>ROUND(D6*E10,0)</f>
        <v>377</v>
      </c>
      <c r="E10" s="2645">
        <v>0.15</v>
      </c>
      <c r="F10" s="2646" t="s">
        <v>2359</v>
      </c>
      <c r="G10" s="2625"/>
      <c r="H10" s="2600"/>
      <c r="I10" s="2601"/>
      <c r="J10" s="3361"/>
      <c r="K10" s="3363"/>
      <c r="L10" s="2635" t="s">
        <v>2360</v>
      </c>
      <c r="M10" s="2636">
        <v>179</v>
      </c>
      <c r="N10" s="2612">
        <v>500</v>
      </c>
      <c r="O10" s="2637">
        <v>1</v>
      </c>
      <c r="P10" s="2637">
        <v>0.7</v>
      </c>
      <c r="Q10" s="2638">
        <v>365</v>
      </c>
      <c r="R10" s="2639">
        <f t="shared" si="0"/>
        <v>2287</v>
      </c>
      <c r="S10" s="2593"/>
      <c r="T10" s="2593"/>
      <c r="U10" s="2593"/>
      <c r="V10" s="2601"/>
    </row>
    <row r="11" spans="1:22" s="2605" customFormat="1" ht="13.15" customHeight="1">
      <c r="A11" s="2640">
        <v>3</v>
      </c>
      <c r="B11" s="3365" t="s">
        <v>2361</v>
      </c>
      <c r="C11" s="3366"/>
      <c r="D11" s="2641">
        <f ca="1">D12+D14+D15+D16</f>
        <v>250</v>
      </c>
      <c r="E11" s="2647">
        <f ca="1">D11/D6</f>
        <v>9.9403578528827044E-2</v>
      </c>
      <c r="F11" s="2643"/>
      <c r="G11" s="2644"/>
      <c r="H11" s="2600"/>
      <c r="I11" s="2601"/>
      <c r="J11" s="3361"/>
      <c r="K11" s="3363"/>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7" t="s">
        <v>2364</v>
      </c>
      <c r="C12" s="3368"/>
      <c r="D12" s="2649">
        <f ca="1">ROUND(D13*1.2%*(1-30%),0)</f>
        <v>112</v>
      </c>
      <c r="E12" s="2650">
        <v>1.2E-2</v>
      </c>
      <c r="F12" s="2643" t="s">
        <v>2365</v>
      </c>
      <c r="G12" s="2644"/>
      <c r="H12" s="2600"/>
      <c r="I12" s="2601"/>
      <c r="J12" s="3361"/>
      <c r="K12" s="3363"/>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f ca="1">成本法!C49</f>
        <v>13279</v>
      </c>
      <c r="E13" s="2654"/>
      <c r="F13" s="2643"/>
      <c r="G13" s="2644"/>
      <c r="H13" s="2600"/>
      <c r="I13" s="2601"/>
      <c r="J13" s="3361"/>
      <c r="K13" s="3363"/>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7" t="s">
        <v>2370</v>
      </c>
      <c r="C14" s="3368"/>
      <c r="D14" s="2649">
        <f>ROUND(E14*B5/10000,0)</f>
        <v>0</v>
      </c>
      <c r="E14" s="2638"/>
      <c r="F14" s="2643" t="s">
        <v>2371</v>
      </c>
      <c r="G14" s="2644"/>
      <c r="H14" s="2600"/>
      <c r="I14" s="2601"/>
      <c r="J14" s="3361"/>
      <c r="K14" s="3364"/>
      <c r="L14" s="2655" t="s">
        <v>2372</v>
      </c>
      <c r="M14" s="2656">
        <f>SUM(M7:M13)</f>
        <v>179</v>
      </c>
      <c r="N14" s="2656">
        <f>ROUND((N7*M7+N8*M8+N9*M9+N10*M10+N11*M11+N12*M12+N13*M13)/M14,0)</f>
        <v>500</v>
      </c>
      <c r="O14" s="2657"/>
      <c r="P14" s="2657"/>
      <c r="Q14" s="2658"/>
      <c r="R14" s="2604">
        <f>SUM(R7:R13)</f>
        <v>2287</v>
      </c>
      <c r="S14" s="2593"/>
      <c r="T14" s="2593"/>
      <c r="U14" s="2593"/>
      <c r="V14" s="2601"/>
    </row>
    <row r="15" spans="1:22" s="2605" customFormat="1" ht="13.15" customHeight="1">
      <c r="A15" s="2648" t="s">
        <v>2373</v>
      </c>
      <c r="B15" s="3367" t="s">
        <v>2374</v>
      </c>
      <c r="C15" s="3368"/>
      <c r="D15" s="2649">
        <f>ROUND(D6*E15,0)</f>
        <v>138</v>
      </c>
      <c r="E15" s="2650">
        <v>5.5E-2</v>
      </c>
      <c r="F15" s="2643" t="s">
        <v>2375</v>
      </c>
      <c r="G15" s="2625"/>
      <c r="H15" s="2600"/>
      <c r="I15" s="2601"/>
      <c r="J15" s="3361">
        <v>2</v>
      </c>
      <c r="K15" s="3362"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7" t="s">
        <v>2383</v>
      </c>
      <c r="C16" s="3368"/>
      <c r="D16" s="2660">
        <f>D6*E16</f>
        <v>0</v>
      </c>
      <c r="E16" s="2661"/>
      <c r="F16" s="2646" t="s">
        <v>2384</v>
      </c>
      <c r="G16" s="2625"/>
      <c r="H16" s="2600"/>
      <c r="I16" s="2601"/>
      <c r="J16" s="3361"/>
      <c r="K16" s="3363"/>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9" t="s">
        <v>2386</v>
      </c>
      <c r="C17" s="3370"/>
      <c r="D17" s="2663">
        <f>ROUND(D6*E17,0)</f>
        <v>252</v>
      </c>
      <c r="E17" s="2664">
        <v>0.1</v>
      </c>
      <c r="F17" s="2665" t="s">
        <v>2387</v>
      </c>
      <c r="G17" s="2625"/>
      <c r="H17" s="2600"/>
      <c r="I17" s="2601"/>
      <c r="J17" s="3361"/>
      <c r="K17" s="3363"/>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126</v>
      </c>
      <c r="E18" s="2667">
        <v>0.05</v>
      </c>
      <c r="F18" s="2668" t="s">
        <v>2390</v>
      </c>
      <c r="G18" s="2625"/>
      <c r="H18" s="2600"/>
      <c r="I18" s="2601"/>
      <c r="J18" s="3361"/>
      <c r="K18" s="3363"/>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61"/>
      <c r="K19" s="3364"/>
      <c r="L19" s="2655" t="s">
        <v>2372</v>
      </c>
      <c r="M19" s="2656"/>
      <c r="N19" s="2656">
        <f>SUM(N16:N18)</f>
        <v>0</v>
      </c>
      <c r="O19" s="2657"/>
      <c r="P19" s="2670" t="s">
        <v>3413</v>
      </c>
      <c r="Q19" s="2637">
        <v>0.05</v>
      </c>
      <c r="R19" s="2671">
        <f>ROUND(IF(P19="按比例",R14*Q19,SUM(R16:R18)),0)</f>
        <v>114</v>
      </c>
      <c r="S19" s="2593"/>
      <c r="T19" s="2593"/>
      <c r="U19" s="2593"/>
      <c r="V19" s="2601"/>
    </row>
    <row r="20" spans="1:22" s="2605" customFormat="1" ht="13.15" customHeight="1">
      <c r="A20" s="2628"/>
      <c r="B20" s="2629"/>
      <c r="C20" s="2629"/>
      <c r="D20" s="2629"/>
      <c r="E20" s="2629"/>
      <c r="F20" s="2672"/>
      <c r="G20" s="2644"/>
      <c r="H20" s="2600"/>
      <c r="I20" s="2601"/>
      <c r="J20" s="3361">
        <v>3</v>
      </c>
      <c r="K20" s="3362"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61"/>
      <c r="K21" s="3363"/>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61"/>
      <c r="K22" s="3363"/>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2515</v>
      </c>
      <c r="D23" s="2684"/>
      <c r="E23" s="2685"/>
      <c r="F23" s="2686"/>
      <c r="G23" s="2687"/>
      <c r="H23" s="2600"/>
      <c r="I23" s="2601"/>
      <c r="J23" s="3361"/>
      <c r="K23" s="3363"/>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61"/>
      <c r="K24" s="3364"/>
      <c r="L24" s="2655" t="s">
        <v>2372</v>
      </c>
      <c r="M24" s="2656">
        <f>SUM(M21:M23)</f>
        <v>0</v>
      </c>
      <c r="N24" s="2656"/>
      <c r="O24" s="2657"/>
      <c r="P24" s="2670" t="s">
        <v>3413</v>
      </c>
      <c r="Q24" s="2637">
        <v>0.05</v>
      </c>
      <c r="R24" s="2671">
        <f>ROUND(IF(P24="按比例",R14*Q24,SUM(R21:R23)),0)</f>
        <v>114</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 ca="1">D7</f>
        <v>1256</v>
      </c>
      <c r="D26" s="2684"/>
      <c r="E26" s="2685"/>
      <c r="F26" s="2686"/>
      <c r="G26" s="2687"/>
      <c r="H26" s="2600"/>
      <c r="I26" s="2601"/>
      <c r="J26" s="3371">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f ca="1">E7</f>
        <v>0.499403578528827</v>
      </c>
      <c r="D27" s="2691"/>
      <c r="E27" s="2692"/>
      <c r="F27" s="2693"/>
      <c r="G27" s="2687"/>
      <c r="H27" s="2707"/>
      <c r="I27" s="2699"/>
      <c r="J27" s="337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15" customHeight="1">
      <c r="A29" s="2681">
        <v>3</v>
      </c>
      <c r="B29" s="2682" t="s">
        <v>2424</v>
      </c>
      <c r="C29" s="2683">
        <f>C23*C30</f>
        <v>125.75</v>
      </c>
      <c r="D29" s="2684"/>
      <c r="E29" s="2685"/>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15" customHeight="1">
      <c r="A32" s="2681">
        <v>4</v>
      </c>
      <c r="B32" s="2682" t="s">
        <v>2426</v>
      </c>
      <c r="C32" s="2683">
        <f ca="1">C23-C26-C29</f>
        <v>1133.25</v>
      </c>
      <c r="D32" s="2684"/>
      <c r="E32" s="2685"/>
      <c r="F32" s="2686"/>
      <c r="G32" s="2593"/>
      <c r="H32" s="2600"/>
      <c r="I32" s="2601"/>
      <c r="J32" s="3354" t="s">
        <v>2319</v>
      </c>
      <c r="K32" s="3355"/>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6" t="s">
        <v>2329</v>
      </c>
      <c r="K33" s="3357"/>
      <c r="L33" s="2608"/>
      <c r="M33" s="2608"/>
      <c r="N33" s="2608"/>
      <c r="O33" s="2608"/>
      <c r="P33" s="2608"/>
      <c r="Q33" s="2609"/>
      <c r="R33" s="2725">
        <f>SUM(L33:Q33)</f>
        <v>0</v>
      </c>
      <c r="S33" s="2593"/>
      <c r="T33" s="2593"/>
      <c r="U33" s="2593"/>
      <c r="V33" s="2601"/>
    </row>
    <row r="34" spans="1:23" s="2605" customFormat="1" ht="13.15" customHeight="1">
      <c r="A34" s="2681">
        <v>5</v>
      </c>
      <c r="B34" s="2682" t="s">
        <v>2427</v>
      </c>
      <c r="C34" s="2726">
        <v>5.5E-2</v>
      </c>
      <c r="D34" s="2727"/>
      <c r="E34" s="2728"/>
      <c r="F34" s="2686"/>
      <c r="G34" s="2593"/>
      <c r="H34" s="2707"/>
      <c r="I34" s="2699"/>
      <c r="J34" s="3356" t="s">
        <v>2331</v>
      </c>
      <c r="K34" s="335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2428</v>
      </c>
      <c r="C35" s="2730">
        <v>0.02</v>
      </c>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2429</v>
      </c>
      <c r="C36" s="2736">
        <f>项目基本情况!D15</f>
        <v>18.27</v>
      </c>
      <c r="D36" s="2737"/>
      <c r="E36" s="2738"/>
      <c r="F36" s="2739">
        <f>C36+D36+E36</f>
        <v>18.27</v>
      </c>
      <c r="G36" s="2593"/>
      <c r="H36" s="2600"/>
      <c r="I36" s="2601"/>
      <c r="J36" s="3361">
        <v>1</v>
      </c>
      <c r="K36" s="3362" t="s">
        <v>2430</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61"/>
      <c r="K37" s="3363"/>
      <c r="L37" s="2635"/>
      <c r="M37" s="2636"/>
      <c r="N37" s="2612"/>
      <c r="O37" s="2637"/>
      <c r="P37" s="2637"/>
      <c r="Q37" s="2638"/>
      <c r="R37" s="2639"/>
      <c r="S37" s="2593"/>
      <c r="T37" s="2593" t="s">
        <v>2347</v>
      </c>
      <c r="U37" s="2593"/>
      <c r="V37" s="2601"/>
    </row>
    <row r="38" spans="1:23" s="2605" customFormat="1" ht="13.15" customHeight="1">
      <c r="A38" s="2681">
        <v>8</v>
      </c>
      <c r="B38" s="2682"/>
      <c r="C38" s="2641">
        <f ca="1">ROUND(C32*(1-((1+C35)/(1+C34))^C36)/(C34-C35),0)</f>
        <v>14898</v>
      </c>
      <c r="D38" s="2641"/>
      <c r="E38" s="2641"/>
      <c r="F38" s="2686"/>
      <c r="G38" s="2593"/>
      <c r="H38" s="2600"/>
      <c r="I38" s="2601"/>
      <c r="J38" s="3361"/>
      <c r="K38" s="3363"/>
      <c r="L38" s="2635"/>
      <c r="M38" s="2636"/>
      <c r="N38" s="2612"/>
      <c r="O38" s="2637"/>
      <c r="P38" s="2637"/>
      <c r="Q38" s="2638"/>
      <c r="R38" s="2639"/>
      <c r="S38" s="2593"/>
      <c r="T38" s="2593" t="s">
        <v>2354</v>
      </c>
      <c r="U38" s="2593"/>
      <c r="V38" s="2601"/>
    </row>
    <row r="39" spans="1:23" s="2605" customFormat="1" ht="13.15" customHeight="1">
      <c r="A39" s="2681">
        <v>9</v>
      </c>
      <c r="B39" s="2682" t="s">
        <v>2431</v>
      </c>
      <c r="C39" s="2649">
        <f ca="1">C38</f>
        <v>14898</v>
      </c>
      <c r="D39" s="2682"/>
      <c r="E39" s="2682"/>
      <c r="F39" s="2686"/>
      <c r="G39" s="2601"/>
      <c r="H39" s="2600"/>
      <c r="I39" s="2601"/>
      <c r="J39" s="3361"/>
      <c r="K39" s="3363"/>
      <c r="L39" s="2635"/>
      <c r="M39" s="2636"/>
      <c r="N39" s="2612"/>
      <c r="O39" s="2637"/>
      <c r="P39" s="2637"/>
      <c r="Q39" s="2638"/>
      <c r="R39" s="2639"/>
      <c r="S39" s="2593"/>
      <c r="T39" s="2593"/>
      <c r="U39" s="2593"/>
      <c r="V39" s="2601"/>
    </row>
    <row r="40" spans="1:23" s="2605" customFormat="1" ht="13.15" customHeight="1">
      <c r="A40" s="2740">
        <v>10</v>
      </c>
      <c r="B40" s="2682" t="s">
        <v>2432</v>
      </c>
      <c r="C40" s="2741">
        <f ca="1">C39+D39+E39</f>
        <v>14898</v>
      </c>
      <c r="D40" s="2742"/>
      <c r="E40" s="2742"/>
      <c r="F40" s="2743"/>
      <c r="G40" s="2593"/>
      <c r="H40" s="2600"/>
      <c r="I40" s="2601"/>
      <c r="J40" s="3361"/>
      <c r="K40" s="3364"/>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2433</v>
      </c>
      <c r="C41" s="2745">
        <f ca="1">ROUND(C40*10000/B4,0)</f>
        <v>12667</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1">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7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2420</v>
      </c>
      <c r="L44" s="2750" t="s">
        <v>2421</v>
      </c>
      <c r="M44" s="2716"/>
      <c r="N44" s="2750" t="s">
        <v>2422</v>
      </c>
      <c r="O44" s="2716"/>
      <c r="P44" s="2750" t="s">
        <v>2423</v>
      </c>
      <c r="Q44" s="2718">
        <v>1.4999999999999999E-2</v>
      </c>
      <c r="R44" s="271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AA95-493E-4A15-865B-2DA2162CDA37}">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5</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3394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0</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0</v>
      </c>
      <c r="D39" s="1032" t="s">
        <v>753</v>
      </c>
      <c r="E39" s="1033"/>
      <c r="F39" s="1034"/>
      <c r="G39" s="1292"/>
      <c r="H39" s="2474"/>
      <c r="I39" s="1305" t="e">
        <f ca="1">C39/C5</f>
        <v>#DIV/0!</v>
      </c>
      <c r="J39" s="1306"/>
      <c r="K39" s="2472"/>
      <c r="L39" s="2474"/>
      <c r="M39" s="2474"/>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0</v>
      </c>
      <c r="O48" s="1325" t="s">
        <v>404</v>
      </c>
      <c r="P48" s="1326" t="s">
        <v>821</v>
      </c>
      <c r="Q48" s="1327">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2012</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f ca="1">J58</f>
        <v>0.8</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f ca="1">Q47+Q48</f>
        <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0.8</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3397</v>
      </c>
      <c r="K56" s="1328" t="s">
        <v>843</v>
      </c>
      <c r="L56" s="1331" t="str">
        <f ca="1">IF(L48&lt;J51,"——",L48-J53)</f>
        <v>——</v>
      </c>
      <c r="O56" s="1325" t="s">
        <v>403</v>
      </c>
      <c r="P56" s="1326" t="s">
        <v>817</v>
      </c>
      <c r="Q56" s="1327">
        <f ca="1">C40+J29</f>
        <v>0</v>
      </c>
      <c r="R56" s="1327" t="s">
        <v>818</v>
      </c>
    </row>
    <row r="57" spans="1:18" s="1292" customFormat="1" ht="24.75" thickBot="1">
      <c r="A57" s="1356"/>
      <c r="B57" s="896" t="s">
        <v>767</v>
      </c>
      <c r="C57" s="230">
        <f ca="1">C29</f>
        <v>0</v>
      </c>
      <c r="D57" s="1357"/>
      <c r="E57" s="1358"/>
      <c r="F57" s="1359"/>
      <c r="I57" s="1360" t="s">
        <v>844</v>
      </c>
      <c r="J57" s="1361">
        <f ca="1">IF(OR(M47="住宅",J51&lt;L48,J56="是"),"——",J51-L48)</f>
        <v>48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0.8</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18</v>
      </c>
      <c r="I62" s="1367" t="s">
        <v>858</v>
      </c>
      <c r="J62" s="610" t="s">
        <v>859</v>
      </c>
      <c r="K62" s="610" t="s">
        <v>860</v>
      </c>
      <c r="L62" s="610" t="s">
        <v>861</v>
      </c>
      <c r="M62" s="1368" t="s">
        <v>862</v>
      </c>
      <c r="O62" s="1325" t="s">
        <v>409</v>
      </c>
      <c r="P62" s="1326" t="s">
        <v>838</v>
      </c>
      <c r="Q62" s="1327">
        <f ca="1">Q56+Q57</f>
        <v>0</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0</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0</v>
      </c>
      <c r="D68" s="911" t="s">
        <v>758</v>
      </c>
      <c r="E68" s="896" t="s">
        <v>759</v>
      </c>
      <c r="F68" s="304">
        <f ca="1">F40</f>
        <v>5.5E-2</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9C992CD-7682-4147-BA72-E54FD06DE8C6}">
      <formula1>"在建（套用方法）,土地（套用方法）,——"</formula1>
    </dataValidation>
    <dataValidation type="list" allowBlank="1" showInputMessage="1" showErrorMessage="1" sqref="M10 F10 F53" xr:uid="{5C13AC42-069F-4F90-A86E-45A5C29F40F6}">
      <formula1>"押一,押二,押三,自定义"</formula1>
    </dataValidation>
    <dataValidation type="list" allowBlank="1" showInputMessage="1" showErrorMessage="1" sqref="L55" xr:uid="{16A5FB38-1243-4096-BE51-9D22DA0CDEE4}">
      <formula1>"比较法,基准地价,收益还原"</formula1>
    </dataValidation>
    <dataValidation type="list" allowBlank="1" showInputMessage="1" showErrorMessage="1" sqref="J56" xr:uid="{0D2E8CEA-D6EF-44D7-B851-A535B9A29543}">
      <formula1>估价范围判定</formula1>
    </dataValidation>
    <dataValidation type="list" allowBlank="1" showInputMessage="1" showErrorMessage="1" sqref="J48" xr:uid="{83ABD2C5-DAB4-47FF-9421-972DB9C2EA86}">
      <formula1>"非生产用房,生产用房,受腐蚀的生产用房"</formula1>
    </dataValidation>
    <dataValidation type="list" allowBlank="1" showInputMessage="1" showErrorMessage="1" sqref="J47" xr:uid="{4170648A-3DBC-4329-BF59-7302CFBEFC63}">
      <formula1>"钢,钢混,砖混"</formula1>
    </dataValidation>
    <dataValidation type="list" allowBlank="1" showInputMessage="1" showErrorMessage="1" sqref="C1" xr:uid="{4B00C3BB-B4F4-4C48-A1DE-41F8428A4B85}">
      <formula1>项目类型</formula1>
    </dataValidation>
    <dataValidation type="list" allowBlank="1" showInputMessage="1" showErrorMessage="1" sqref="D33 D61" xr:uid="{EEEEA5FC-9991-4740-AF22-4AF5494EC11F}">
      <formula1>"按租金收入计税,按房产原值计税,按票据"</formula1>
    </dataValidation>
    <dataValidation type="list" allowBlank="1" showInputMessage="1" showErrorMessage="1" sqref="K19" xr:uid="{0C1B25F4-FA95-4FCD-A0A7-224E9DAC474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31270</v>
      </c>
      <c r="C2" s="1729" t="s">
        <v>1651</v>
      </c>
      <c r="D2" s="1730" t="s">
        <v>1652</v>
      </c>
      <c r="E2" s="2393">
        <f>SUM(E6:E13)</f>
        <v>11761.1</v>
      </c>
      <c r="F2" s="2480"/>
      <c r="G2" s="459"/>
      <c r="H2" s="459"/>
      <c r="I2" s="459"/>
      <c r="J2" s="459"/>
      <c r="K2" s="459"/>
      <c r="L2" s="459"/>
      <c r="M2" s="459"/>
      <c r="N2" s="459"/>
      <c r="O2" s="459"/>
      <c r="P2" s="459"/>
      <c r="Q2" s="459"/>
      <c r="R2" s="459"/>
      <c r="S2" s="459"/>
    </row>
    <row r="3" spans="1:22" ht="15.75">
      <c r="A3" s="1728" t="s">
        <v>686</v>
      </c>
      <c r="B3" s="2387">
        <f ca="1">ROUND(B2*10000/E2,0)</f>
        <v>26588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收益法办公</v>
      </c>
      <c r="B6" s="2388">
        <f ca="1">IF(F6="是",'数据-取费表'!AO6,0)</f>
        <v>0</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t="str">
        <f>'数据-取费表'!AN7</f>
        <v>收益法</v>
      </c>
      <c r="B7" s="2388">
        <f ca="1">IF(F7="是",'数据-取费表'!AO7,0)</f>
        <v>31270</v>
      </c>
      <c r="C7" s="1729" t="s">
        <v>1651</v>
      </c>
      <c r="D7" s="2480"/>
      <c r="E7" s="2392">
        <f>IF(OR(A7=0,F7="否"),0,'数据-取费表'!K7+'数据-取费表'!S7)</f>
        <v>11761.1</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11761.1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ht="15">
      <c r="A5" s="348"/>
      <c r="B5" s="349"/>
      <c r="C5" s="3386" t="s">
        <v>1673</v>
      </c>
      <c r="D5" s="3387"/>
      <c r="E5" s="3384" t="s">
        <v>1674</v>
      </c>
      <c r="F5" s="3385"/>
      <c r="G5" s="3386" t="s">
        <v>1675</v>
      </c>
      <c r="H5" s="3387"/>
      <c r="I5" s="3386" t="s">
        <v>1676</v>
      </c>
      <c r="J5" s="3387"/>
      <c r="K5" s="1745"/>
      <c r="L5" s="2487"/>
      <c r="M5" s="2488"/>
      <c r="N5" s="2488"/>
      <c r="O5" s="2488"/>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1745" t="s">
        <v>1678</v>
      </c>
      <c r="L6" s="2487"/>
      <c r="M6" s="2488"/>
      <c r="N6" s="2488"/>
      <c r="O6" s="2488"/>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2"/>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2"/>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2"/>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2"/>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99.7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9"/>
      <c r="Q16" s="1263"/>
      <c r="R16" s="667"/>
      <c r="S16" s="668"/>
      <c r="T16" s="667"/>
      <c r="U16" s="668"/>
      <c r="V16" s="667"/>
      <c r="W16" s="668"/>
      <c r="X16" s="1265"/>
      <c r="Y16" s="341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9"/>
      <c r="Q18" s="1263"/>
      <c r="R18" s="667"/>
      <c r="S18" s="668"/>
      <c r="T18" s="667"/>
      <c r="U18" s="668"/>
      <c r="V18" s="667"/>
      <c r="W18" s="668"/>
      <c r="X18" s="1265"/>
      <c r="Y18" s="341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9"/>
      <c r="Q20" s="1263"/>
      <c r="R20" s="667"/>
      <c r="S20" s="668"/>
      <c r="T20" s="667"/>
      <c r="U20" s="668"/>
      <c r="V20" s="667"/>
      <c r="W20" s="668"/>
      <c r="X20" s="1265"/>
      <c r="Y20" s="341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D21/F21</f>
        <v>1</v>
      </c>
      <c r="AB21" s="1264">
        <f>D21/H21</f>
        <v>1</v>
      </c>
      <c r="AC21" s="1264">
        <f>D21/J21</f>
        <v>1</v>
      </c>
    </row>
    <row r="22" spans="1:29" ht="15">
      <c r="A22" s="367"/>
      <c r="B22" s="586"/>
      <c r="C22" s="1755"/>
      <c r="D22" s="387"/>
      <c r="E22" s="386"/>
      <c r="F22" s="387"/>
      <c r="G22" s="1758"/>
      <c r="H22" s="387"/>
      <c r="I22" s="386"/>
      <c r="J22" s="387"/>
      <c r="K22" s="1759"/>
      <c r="L22" s="2493"/>
      <c r="M22" s="2488"/>
      <c r="N22" s="2488"/>
      <c r="O22" s="2488"/>
      <c r="P22" s="3419"/>
      <c r="Q22" s="1263"/>
      <c r="R22" s="667"/>
      <c r="S22" s="668"/>
      <c r="T22" s="667"/>
      <c r="U22" s="668"/>
      <c r="V22" s="667"/>
      <c r="W22" s="668"/>
      <c r="X22" s="1265"/>
      <c r="Y22" s="3412"/>
      <c r="Z22" s="1264"/>
      <c r="AA22" s="1264">
        <v>1</v>
      </c>
      <c r="AB22" s="1264">
        <v>1</v>
      </c>
      <c r="AC22" s="1264">
        <v>1</v>
      </c>
    </row>
    <row r="23" spans="1:29" ht="57">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9"/>
      <c r="Q25" s="1263" t="str">
        <f t="shared" ref="Q25:Q46" si="8">B25</f>
        <v>楼层-1</v>
      </c>
      <c r="R25" s="667" t="s">
        <v>18</v>
      </c>
      <c r="S25" s="668">
        <f t="shared" ref="S25:S46" si="9">F25</f>
        <v>100</v>
      </c>
      <c r="T25" s="667" t="s">
        <v>18</v>
      </c>
      <c r="U25" s="668">
        <f t="shared" ref="U25:U46" si="10">H25</f>
        <v>100</v>
      </c>
      <c r="V25" s="667" t="s">
        <v>18</v>
      </c>
      <c r="W25" s="668">
        <f t="shared" ref="W25:W46" si="11">J25</f>
        <v>100</v>
      </c>
      <c r="X25" s="1265"/>
      <c r="Y25" s="3412"/>
      <c r="Z25" s="1264" t="str">
        <f>Q25</f>
        <v>楼层-1</v>
      </c>
      <c r="AA25" s="1264">
        <f t="shared" ref="AA25:AA46" si="12">D25/F25</f>
        <v>1</v>
      </c>
      <c r="AB25" s="1264">
        <f t="shared" ref="AB25:AB46" si="13">D25/H25</f>
        <v>1</v>
      </c>
      <c r="AC25" s="1264">
        <f t="shared" ref="AC25:AC46" si="14">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9"/>
      <c r="Q26" s="1263" t="str">
        <f t="shared" si="8"/>
        <v>朝向</v>
      </c>
      <c r="R26" s="667" t="s">
        <v>18</v>
      </c>
      <c r="S26" s="668">
        <f t="shared" si="9"/>
        <v>100</v>
      </c>
      <c r="T26" s="667" t="s">
        <v>18</v>
      </c>
      <c r="U26" s="668">
        <f t="shared" si="10"/>
        <v>100</v>
      </c>
      <c r="V26" s="667" t="s">
        <v>18</v>
      </c>
      <c r="W26" s="668">
        <f t="shared" si="11"/>
        <v>100</v>
      </c>
      <c r="X26" s="1265"/>
      <c r="Y26" s="3412"/>
      <c r="Z26" s="1264" t="str">
        <f>Q26</f>
        <v>朝向</v>
      </c>
      <c r="AA26" s="1264">
        <f t="shared" si="12"/>
        <v>1</v>
      </c>
      <c r="AB26" s="1264">
        <f t="shared" si="13"/>
        <v>1</v>
      </c>
      <c r="AC26" s="1264">
        <f t="shared" si="14"/>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9"/>
      <c r="Q27" s="530">
        <f t="shared" si="8"/>
        <v>111</v>
      </c>
      <c r="R27" s="664" t="s">
        <v>18</v>
      </c>
      <c r="S27" s="665">
        <f t="shared" si="9"/>
        <v>100</v>
      </c>
      <c r="T27" s="664" t="s">
        <v>18</v>
      </c>
      <c r="U27" s="665">
        <f t="shared" si="10"/>
        <v>100</v>
      </c>
      <c r="V27" s="664" t="s">
        <v>18</v>
      </c>
      <c r="W27" s="665">
        <f t="shared" si="11"/>
        <v>100</v>
      </c>
      <c r="X27" s="666"/>
      <c r="Y27" s="3412"/>
      <c r="Z27" s="50">
        <f>Q27</f>
        <v>111</v>
      </c>
      <c r="AA27" s="1264">
        <f t="shared" si="12"/>
        <v>1</v>
      </c>
      <c r="AB27" s="1264">
        <f t="shared" si="13"/>
        <v>1</v>
      </c>
      <c r="AC27" s="1264">
        <f t="shared" si="14"/>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9"/>
      <c r="Q28" s="1263">
        <f t="shared" si="8"/>
        <v>111</v>
      </c>
      <c r="R28" s="667" t="s">
        <v>18</v>
      </c>
      <c r="S28" s="668">
        <f t="shared" si="9"/>
        <v>100</v>
      </c>
      <c r="T28" s="667" t="s">
        <v>18</v>
      </c>
      <c r="U28" s="668">
        <f t="shared" si="10"/>
        <v>100</v>
      </c>
      <c r="V28" s="667" t="s">
        <v>18</v>
      </c>
      <c r="W28" s="668">
        <f t="shared" si="11"/>
        <v>100</v>
      </c>
      <c r="X28" s="1265"/>
      <c r="Y28" s="3412"/>
      <c r="Z28" s="1264">
        <f t="shared" ref="Z28:Z46" si="15">Q28</f>
        <v>111</v>
      </c>
      <c r="AA28" s="1264">
        <f t="shared" si="12"/>
        <v>1</v>
      </c>
      <c r="AB28" s="1264">
        <f t="shared" si="13"/>
        <v>1</v>
      </c>
      <c r="AC28" s="1264">
        <f t="shared" si="14"/>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9"/>
      <c r="Q29" s="1263">
        <f t="shared" si="8"/>
        <v>111</v>
      </c>
      <c r="R29" s="667" t="s">
        <v>18</v>
      </c>
      <c r="S29" s="668">
        <f t="shared" si="9"/>
        <v>100</v>
      </c>
      <c r="T29" s="667" t="s">
        <v>18</v>
      </c>
      <c r="U29" s="668">
        <f t="shared" si="10"/>
        <v>100</v>
      </c>
      <c r="V29" s="667" t="s">
        <v>18</v>
      </c>
      <c r="W29" s="668">
        <f t="shared" si="11"/>
        <v>100</v>
      </c>
      <c r="X29" s="1265"/>
      <c r="Y29" s="3412"/>
      <c r="Z29" s="1264">
        <f t="shared" si="15"/>
        <v>111</v>
      </c>
      <c r="AA29" s="1264">
        <f t="shared" si="12"/>
        <v>1</v>
      </c>
      <c r="AB29" s="1264">
        <f t="shared" si="13"/>
        <v>1</v>
      </c>
      <c r="AC29" s="1264">
        <f t="shared" si="14"/>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9"/>
      <c r="Q30" s="1263">
        <f t="shared" si="8"/>
        <v>111</v>
      </c>
      <c r="R30" s="667" t="s">
        <v>18</v>
      </c>
      <c r="S30" s="668">
        <f t="shared" si="9"/>
        <v>100</v>
      </c>
      <c r="T30" s="667" t="s">
        <v>18</v>
      </c>
      <c r="U30" s="668">
        <f t="shared" si="10"/>
        <v>100</v>
      </c>
      <c r="V30" s="667" t="s">
        <v>18</v>
      </c>
      <c r="W30" s="668">
        <f t="shared" si="11"/>
        <v>100</v>
      </c>
      <c r="X30" s="1265"/>
      <c r="Y30" s="3412"/>
      <c r="Z30" s="1264">
        <f t="shared" si="15"/>
        <v>111</v>
      </c>
      <c r="AA30" s="1264">
        <f t="shared" si="12"/>
        <v>1</v>
      </c>
      <c r="AB30" s="1264">
        <f t="shared" si="13"/>
        <v>1</v>
      </c>
      <c r="AC30" s="1264">
        <f t="shared" si="14"/>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9"/>
      <c r="Q31" s="1263">
        <f t="shared" si="8"/>
        <v>111</v>
      </c>
      <c r="R31" s="667" t="s">
        <v>18</v>
      </c>
      <c r="S31" s="668">
        <f t="shared" si="9"/>
        <v>100</v>
      </c>
      <c r="T31" s="667" t="s">
        <v>18</v>
      </c>
      <c r="U31" s="668">
        <f t="shared" si="10"/>
        <v>100</v>
      </c>
      <c r="V31" s="667" t="s">
        <v>18</v>
      </c>
      <c r="W31" s="668">
        <f t="shared" si="11"/>
        <v>100</v>
      </c>
      <c r="X31" s="1265"/>
      <c r="Y31" s="3412"/>
      <c r="Z31" s="1264">
        <f t="shared" si="15"/>
        <v>111</v>
      </c>
      <c r="AA31" s="1264">
        <f t="shared" si="12"/>
        <v>1</v>
      </c>
      <c r="AB31" s="1264">
        <f t="shared" si="13"/>
        <v>1</v>
      </c>
      <c r="AC31" s="1264">
        <f t="shared" si="14"/>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3" t="s">
        <v>1696</v>
      </c>
      <c r="Q32" s="1263" t="str">
        <f t="shared" si="8"/>
        <v>建筑类型</v>
      </c>
      <c r="R32" s="667" t="s">
        <v>18</v>
      </c>
      <c r="S32" s="668">
        <f t="shared" si="9"/>
        <v>100</v>
      </c>
      <c r="T32" s="667" t="s">
        <v>18</v>
      </c>
      <c r="U32" s="668">
        <f t="shared" si="10"/>
        <v>100</v>
      </c>
      <c r="V32" s="667" t="s">
        <v>18</v>
      </c>
      <c r="W32" s="668">
        <f t="shared" si="11"/>
        <v>100</v>
      </c>
      <c r="X32" s="1265"/>
      <c r="Y32" s="3416" t="s">
        <v>1696</v>
      </c>
      <c r="Z32" s="1264" t="str">
        <f t="shared" si="15"/>
        <v>建筑类型</v>
      </c>
      <c r="AA32" s="1264">
        <f t="shared" si="12"/>
        <v>1</v>
      </c>
      <c r="AB32" s="1264">
        <f t="shared" si="13"/>
        <v>1</v>
      </c>
      <c r="AC32" s="1264">
        <f t="shared" si="14"/>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4"/>
      <c r="Q33" s="531" t="str">
        <f t="shared" si="8"/>
        <v>项目建筑规模</v>
      </c>
      <c r="R33" s="669" t="s">
        <v>18</v>
      </c>
      <c r="S33" s="670" t="e">
        <f t="shared" si="9"/>
        <v>#N/A</v>
      </c>
      <c r="T33" s="669" t="s">
        <v>18</v>
      </c>
      <c r="U33" s="670" t="e">
        <f t="shared" si="10"/>
        <v>#N/A</v>
      </c>
      <c r="V33" s="669" t="s">
        <v>18</v>
      </c>
      <c r="W33" s="670" t="e">
        <f t="shared" si="11"/>
        <v>#N/A</v>
      </c>
      <c r="X33" s="671"/>
      <c r="Y33" s="3416"/>
      <c r="Z33" s="672" t="str">
        <f t="shared" si="15"/>
        <v>项目建筑规模</v>
      </c>
      <c r="AA33" s="1264" t="e">
        <f t="shared" si="12"/>
        <v>#N/A</v>
      </c>
      <c r="AB33" s="1264" t="e">
        <f t="shared" si="13"/>
        <v>#N/A</v>
      </c>
      <c r="AC33" s="1264" t="e">
        <f t="shared" si="14"/>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4"/>
      <c r="Q34" s="1263" t="str">
        <f t="shared" si="8"/>
        <v>建筑结构</v>
      </c>
      <c r="R34" s="667" t="s">
        <v>18</v>
      </c>
      <c r="S34" s="668">
        <f t="shared" si="9"/>
        <v>100</v>
      </c>
      <c r="T34" s="667" t="s">
        <v>18</v>
      </c>
      <c r="U34" s="668">
        <f t="shared" si="10"/>
        <v>100</v>
      </c>
      <c r="V34" s="667" t="s">
        <v>18</v>
      </c>
      <c r="W34" s="668">
        <f t="shared" si="11"/>
        <v>100</v>
      </c>
      <c r="X34" s="1265"/>
      <c r="Y34" s="3416"/>
      <c r="Z34" s="1264" t="str">
        <f t="shared" si="15"/>
        <v>建筑结构</v>
      </c>
      <c r="AA34" s="1264">
        <f t="shared" si="12"/>
        <v>1</v>
      </c>
      <c r="AB34" s="1264">
        <f t="shared" si="13"/>
        <v>1</v>
      </c>
      <c r="AC34" s="1264">
        <f t="shared" si="14"/>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4"/>
      <c r="Q35" s="1263" t="str">
        <f t="shared" si="8"/>
        <v>建筑品质</v>
      </c>
      <c r="R35" s="667" t="s">
        <v>18</v>
      </c>
      <c r="S35" s="668">
        <f t="shared" si="9"/>
        <v>100</v>
      </c>
      <c r="T35" s="667" t="s">
        <v>18</v>
      </c>
      <c r="U35" s="668">
        <f t="shared" si="10"/>
        <v>100</v>
      </c>
      <c r="V35" s="667" t="s">
        <v>18</v>
      </c>
      <c r="W35" s="668">
        <f t="shared" si="11"/>
        <v>100</v>
      </c>
      <c r="X35" s="1265"/>
      <c r="Y35" s="3416"/>
      <c r="Z35" s="1264" t="str">
        <f t="shared" si="15"/>
        <v>建筑品质</v>
      </c>
      <c r="AA35" s="1264">
        <f t="shared" si="12"/>
        <v>1</v>
      </c>
      <c r="AB35" s="1264">
        <f t="shared" si="13"/>
        <v>1</v>
      </c>
      <c r="AC35" s="1264">
        <f t="shared" si="14"/>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4"/>
      <c r="Q36" s="1263" t="str">
        <f t="shared" si="8"/>
        <v>公共部分装修</v>
      </c>
      <c r="R36" s="667" t="s">
        <v>18</v>
      </c>
      <c r="S36" s="668">
        <f t="shared" si="9"/>
        <v>100</v>
      </c>
      <c r="T36" s="667" t="s">
        <v>18</v>
      </c>
      <c r="U36" s="668">
        <f t="shared" si="10"/>
        <v>100</v>
      </c>
      <c r="V36" s="667" t="s">
        <v>18</v>
      </c>
      <c r="W36" s="668">
        <f t="shared" si="11"/>
        <v>100</v>
      </c>
      <c r="X36" s="1265"/>
      <c r="Y36" s="3416"/>
      <c r="Z36" s="1264" t="str">
        <f t="shared" si="15"/>
        <v>公共部分装修</v>
      </c>
      <c r="AA36" s="1264">
        <f t="shared" si="12"/>
        <v>1</v>
      </c>
      <c r="AB36" s="1264">
        <f t="shared" si="13"/>
        <v>1</v>
      </c>
      <c r="AC36" s="1264">
        <f t="shared" si="14"/>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4"/>
      <c r="Q37" s="530" t="str">
        <f t="shared" si="8"/>
        <v>成新度</v>
      </c>
      <c r="R37" s="664" t="s">
        <v>18</v>
      </c>
      <c r="S37" s="665" t="e">
        <f t="shared" si="9"/>
        <v>#N/A</v>
      </c>
      <c r="T37" s="664" t="s">
        <v>18</v>
      </c>
      <c r="U37" s="665" t="e">
        <f t="shared" si="10"/>
        <v>#N/A</v>
      </c>
      <c r="V37" s="664" t="s">
        <v>18</v>
      </c>
      <c r="W37" s="665" t="e">
        <f t="shared" si="11"/>
        <v>#N/A</v>
      </c>
      <c r="X37" s="666"/>
      <c r="Y37" s="3416"/>
      <c r="Z37" s="50" t="str">
        <f t="shared" si="15"/>
        <v>成新度</v>
      </c>
      <c r="AA37" s="50" t="e">
        <f t="shared" si="12"/>
        <v>#N/A</v>
      </c>
      <c r="AB37" s="50" t="e">
        <f t="shared" si="13"/>
        <v>#N/A</v>
      </c>
      <c r="AC37" s="50" t="e">
        <f t="shared" si="14"/>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4" t="s">
        <v>1696</v>
      </c>
      <c r="Q38" s="1263" t="str">
        <f t="shared" si="8"/>
        <v>物业管理</v>
      </c>
      <c r="R38" s="667" t="s">
        <v>18</v>
      </c>
      <c r="S38" s="668">
        <f t="shared" si="9"/>
        <v>100</v>
      </c>
      <c r="T38" s="667" t="s">
        <v>18</v>
      </c>
      <c r="U38" s="668">
        <f t="shared" si="10"/>
        <v>100</v>
      </c>
      <c r="V38" s="667" t="s">
        <v>18</v>
      </c>
      <c r="W38" s="668">
        <f t="shared" si="11"/>
        <v>100</v>
      </c>
      <c r="X38" s="1265"/>
      <c r="Y38" s="3416" t="s">
        <v>1696</v>
      </c>
      <c r="Z38" s="1264" t="str">
        <f t="shared" si="15"/>
        <v>物业管理</v>
      </c>
      <c r="AA38" s="1264">
        <f t="shared" si="12"/>
        <v>1</v>
      </c>
      <c r="AB38" s="1264">
        <f t="shared" si="13"/>
        <v>1</v>
      </c>
      <c r="AC38" s="1264">
        <f t="shared" si="14"/>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4"/>
      <c r="Q39" s="1263" t="str">
        <f t="shared" si="8"/>
        <v>市政基础设施</v>
      </c>
      <c r="R39" s="667" t="s">
        <v>18</v>
      </c>
      <c r="S39" s="668">
        <f t="shared" si="9"/>
        <v>100</v>
      </c>
      <c r="T39" s="667" t="s">
        <v>18</v>
      </c>
      <c r="U39" s="668">
        <f t="shared" si="10"/>
        <v>100</v>
      </c>
      <c r="V39" s="667" t="s">
        <v>18</v>
      </c>
      <c r="W39" s="668">
        <f t="shared" si="11"/>
        <v>100</v>
      </c>
      <c r="X39" s="1265"/>
      <c r="Y39" s="3416"/>
      <c r="Z39" s="1264" t="str">
        <f t="shared" si="15"/>
        <v>市政基础设施</v>
      </c>
      <c r="AA39" s="1264">
        <f t="shared" si="12"/>
        <v>1</v>
      </c>
      <c r="AB39" s="1264">
        <f t="shared" si="13"/>
        <v>1</v>
      </c>
      <c r="AC39" s="1264">
        <f t="shared" si="14"/>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4"/>
      <c r="Q40" s="1263" t="str">
        <f t="shared" si="8"/>
        <v>房型</v>
      </c>
      <c r="R40" s="667" t="s">
        <v>18</v>
      </c>
      <c r="S40" s="668">
        <f t="shared" si="9"/>
        <v>100</v>
      </c>
      <c r="T40" s="667" t="s">
        <v>18</v>
      </c>
      <c r="U40" s="668">
        <f t="shared" si="10"/>
        <v>100</v>
      </c>
      <c r="V40" s="667" t="s">
        <v>18</v>
      </c>
      <c r="W40" s="668">
        <f t="shared" si="11"/>
        <v>100</v>
      </c>
      <c r="X40" s="1265"/>
      <c r="Y40" s="3416"/>
      <c r="Z40" s="1264" t="str">
        <f t="shared" si="15"/>
        <v>房型</v>
      </c>
      <c r="AA40" s="1264">
        <f t="shared" si="12"/>
        <v>1</v>
      </c>
      <c r="AB40" s="1264">
        <f t="shared" si="13"/>
        <v>1</v>
      </c>
      <c r="AC40" s="1264">
        <f t="shared" si="14"/>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4"/>
      <c r="Q41" s="531" t="str">
        <f t="shared" si="8"/>
        <v>单套/主力户型建筑面积</v>
      </c>
      <c r="R41" s="669" t="s">
        <v>18</v>
      </c>
      <c r="S41" s="670">
        <f t="shared" si="9"/>
        <v>100</v>
      </c>
      <c r="T41" s="669" t="s">
        <v>18</v>
      </c>
      <c r="U41" s="670">
        <f t="shared" si="10"/>
        <v>100</v>
      </c>
      <c r="V41" s="669" t="s">
        <v>18</v>
      </c>
      <c r="W41" s="670">
        <f t="shared" si="11"/>
        <v>100</v>
      </c>
      <c r="X41" s="671"/>
      <c r="Y41" s="3416"/>
      <c r="Z41" s="672" t="str">
        <f t="shared" si="15"/>
        <v>单套/主力户型建筑面积</v>
      </c>
      <c r="AA41" s="1264">
        <f t="shared" si="12"/>
        <v>1</v>
      </c>
      <c r="AB41" s="1264">
        <f t="shared" si="13"/>
        <v>1</v>
      </c>
      <c r="AC41" s="1264">
        <f t="shared" si="14"/>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4"/>
      <c r="Q42" s="1263" t="str">
        <f t="shared" si="8"/>
        <v>内部装修</v>
      </c>
      <c r="R42" s="667" t="s">
        <v>18</v>
      </c>
      <c r="S42" s="668">
        <f t="shared" si="9"/>
        <v>100</v>
      </c>
      <c r="T42" s="667" t="s">
        <v>18</v>
      </c>
      <c r="U42" s="668">
        <f t="shared" si="10"/>
        <v>100</v>
      </c>
      <c r="V42" s="667" t="s">
        <v>18</v>
      </c>
      <c r="W42" s="668">
        <f t="shared" si="11"/>
        <v>100</v>
      </c>
      <c r="X42" s="1265"/>
      <c r="Y42" s="3416"/>
      <c r="Z42" s="1264" t="str">
        <f t="shared" si="15"/>
        <v>内部装修</v>
      </c>
      <c r="AA42" s="1264">
        <f t="shared" si="12"/>
        <v>1</v>
      </c>
      <c r="AB42" s="1264">
        <f t="shared" si="13"/>
        <v>1</v>
      </c>
      <c r="AC42" s="1264">
        <f t="shared" si="14"/>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4"/>
      <c r="Q43" s="1263" t="str">
        <f t="shared" si="8"/>
        <v>内部装修维护情况</v>
      </c>
      <c r="R43" s="667" t="s">
        <v>18</v>
      </c>
      <c r="S43" s="668">
        <f t="shared" si="9"/>
        <v>100</v>
      </c>
      <c r="T43" s="667" t="s">
        <v>18</v>
      </c>
      <c r="U43" s="668">
        <f t="shared" si="10"/>
        <v>100</v>
      </c>
      <c r="V43" s="667" t="s">
        <v>18</v>
      </c>
      <c r="W43" s="668">
        <f t="shared" si="11"/>
        <v>100</v>
      </c>
      <c r="X43" s="1265"/>
      <c r="Y43" s="3416"/>
      <c r="Z43" s="1264" t="str">
        <f t="shared" si="15"/>
        <v>内部装修维护情况</v>
      </c>
      <c r="AA43" s="1264">
        <f t="shared" si="12"/>
        <v>1</v>
      </c>
      <c r="AB43" s="1264">
        <f t="shared" si="13"/>
        <v>1</v>
      </c>
      <c r="AC43" s="1264">
        <f t="shared" si="14"/>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4"/>
      <c r="Q44" s="530">
        <f t="shared" si="8"/>
        <v>111</v>
      </c>
      <c r="R44" s="664" t="s">
        <v>18</v>
      </c>
      <c r="S44" s="665">
        <f t="shared" si="9"/>
        <v>100</v>
      </c>
      <c r="T44" s="664" t="s">
        <v>18</v>
      </c>
      <c r="U44" s="665">
        <f t="shared" si="10"/>
        <v>100</v>
      </c>
      <c r="V44" s="664" t="s">
        <v>18</v>
      </c>
      <c r="W44" s="665">
        <f t="shared" si="11"/>
        <v>100</v>
      </c>
      <c r="X44" s="666"/>
      <c r="Y44" s="3416"/>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4"/>
      <c r="Q45" s="1263">
        <f t="shared" si="8"/>
        <v>111</v>
      </c>
      <c r="R45" s="667" t="s">
        <v>18</v>
      </c>
      <c r="S45" s="668">
        <f t="shared" si="9"/>
        <v>100</v>
      </c>
      <c r="T45" s="667" t="s">
        <v>18</v>
      </c>
      <c r="U45" s="668">
        <f t="shared" si="10"/>
        <v>100</v>
      </c>
      <c r="V45" s="667" t="s">
        <v>18</v>
      </c>
      <c r="W45" s="668">
        <f t="shared" si="11"/>
        <v>100</v>
      </c>
      <c r="X45" s="1265"/>
      <c r="Y45" s="3416"/>
      <c r="Z45" s="1264">
        <f t="shared" si="15"/>
        <v>111</v>
      </c>
      <c r="AA45" s="1264">
        <f t="shared" si="12"/>
        <v>1</v>
      </c>
      <c r="AB45" s="1264">
        <f t="shared" si="13"/>
        <v>1</v>
      </c>
      <c r="AC45" s="1264">
        <f t="shared" si="14"/>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5"/>
      <c r="Q46" s="1263">
        <f t="shared" si="8"/>
        <v>111</v>
      </c>
      <c r="R46" s="667" t="s">
        <v>17</v>
      </c>
      <c r="S46" s="668">
        <f t="shared" si="9"/>
        <v>100</v>
      </c>
      <c r="T46" s="667" t="s">
        <v>17</v>
      </c>
      <c r="U46" s="668">
        <f t="shared" si="10"/>
        <v>100</v>
      </c>
      <c r="V46" s="667" t="s">
        <v>17</v>
      </c>
      <c r="W46" s="668">
        <f t="shared" si="11"/>
        <v>100</v>
      </c>
      <c r="X46" s="1265"/>
      <c r="Y46" s="3417"/>
      <c r="Z46" s="1264">
        <f t="shared" si="15"/>
        <v>111</v>
      </c>
      <c r="AA46" s="1264">
        <f t="shared" si="12"/>
        <v>1</v>
      </c>
      <c r="AB46" s="1264">
        <f t="shared" si="13"/>
        <v>1</v>
      </c>
      <c r="AC46" s="1264">
        <f t="shared" si="14"/>
        <v>1</v>
      </c>
    </row>
    <row r="47" spans="1:29" ht="15">
      <c r="A47" s="416" t="s">
        <v>1708</v>
      </c>
      <c r="B47" s="417"/>
      <c r="C47" s="1081" t="s">
        <v>16</v>
      </c>
      <c r="D47" s="418"/>
      <c r="E47" s="419"/>
      <c r="F47" s="420"/>
      <c r="G47" s="421"/>
      <c r="H47" s="422"/>
      <c r="I47" s="419"/>
      <c r="J47" s="422"/>
      <c r="K47" s="1767"/>
      <c r="L47" s="2495"/>
      <c r="M47" s="2488"/>
      <c r="N47" s="2488"/>
      <c r="O47" s="2488"/>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6">EDATE(E58,-1)</f>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 t="shared" si="16"/>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0"/>
      <c r="O101" s="880"/>
      <c r="P101" s="1775"/>
      <c r="Q101" s="439"/>
    </row>
    <row r="102" spans="1:17" ht="15.75" thickTop="1">
      <c r="A102" s="367"/>
      <c r="B102" s="469" t="s">
        <v>1737</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估价对象为北京市房地产，为所有。根据《国有土地使用证》[]，估价对象（分摊）出让国有建设用地使用权面积为0平方米，建筑面积为11761.1平方米。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估价对象为北京市房地产,属开发建设的，该项目尚在开发建设中。根据《国有土地使用证》[]，估价对象（分摊）出让国有建设用地使用权面积为0平方米，规划建筑面积为11761.1平方米。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11761.1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ht="15">
      <c r="A5" s="348"/>
      <c r="B5" s="349"/>
      <c r="C5" s="3386" t="s">
        <v>1673</v>
      </c>
      <c r="D5" s="3387"/>
      <c r="E5" s="3384" t="s">
        <v>1674</v>
      </c>
      <c r="F5" s="3385"/>
      <c r="G5" s="3386" t="s">
        <v>1675</v>
      </c>
      <c r="H5" s="3387"/>
      <c r="I5" s="3386" t="s">
        <v>1676</v>
      </c>
      <c r="J5" s="3387"/>
      <c r="K5" s="537"/>
      <c r="L5" s="2487"/>
      <c r="M5" s="2488"/>
      <c r="N5" s="2488"/>
      <c r="O5" s="2488"/>
      <c r="P5" s="3399"/>
      <c r="Q5" s="3400"/>
      <c r="R5" s="3382"/>
      <c r="S5" s="3383"/>
      <c r="T5" s="3382"/>
      <c r="U5" s="3383"/>
      <c r="V5" s="3405"/>
      <c r="W5" s="3405"/>
      <c r="X5" s="1265"/>
      <c r="Y5" s="3382"/>
      <c r="Z5" s="3383"/>
      <c r="AA5" s="3376"/>
      <c r="AB5" s="3405"/>
      <c r="AC5" s="3376"/>
    </row>
    <row r="6" spans="1:29" ht="15.75" thickBot="1">
      <c r="A6" s="350"/>
      <c r="B6" s="351"/>
      <c r="C6" s="3388" t="s">
        <v>1677</v>
      </c>
      <c r="D6" s="3389"/>
      <c r="E6" s="3390" t="s">
        <v>1677</v>
      </c>
      <c r="F6" s="3391"/>
      <c r="G6" s="3388" t="s">
        <v>1677</v>
      </c>
      <c r="H6" s="3389"/>
      <c r="I6" s="3388" t="s">
        <v>1677</v>
      </c>
      <c r="J6" s="3389"/>
      <c r="K6" s="537" t="s">
        <v>1678</v>
      </c>
      <c r="L6" s="2487"/>
      <c r="M6" s="2488"/>
      <c r="N6" s="2488"/>
      <c r="O6" s="2488"/>
      <c r="P6" s="3401"/>
      <c r="Q6" s="3402"/>
      <c r="R6" s="3382"/>
      <c r="S6" s="3383"/>
      <c r="T6" s="3403"/>
      <c r="U6" s="3404"/>
      <c r="V6" s="3405"/>
      <c r="W6" s="3405"/>
      <c r="X6" s="1265"/>
      <c r="Y6" s="3403"/>
      <c r="Z6" s="3404"/>
      <c r="AA6" s="3377"/>
      <c r="AB6" s="3405"/>
      <c r="AC6" s="3377"/>
    </row>
    <row r="7" spans="1:29" s="102" customFormat="1" ht="15.75" thickBot="1">
      <c r="A7" s="352" t="s">
        <v>1679</v>
      </c>
      <c r="B7" s="353"/>
      <c r="C7" s="354">
        <f>'数据-取费表'!B2</f>
        <v>45553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2"/>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2"/>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9"/>
      <c r="Q16" s="1263"/>
      <c r="R16" s="667"/>
      <c r="S16" s="668"/>
      <c r="T16" s="667"/>
      <c r="U16" s="668"/>
      <c r="V16" s="667"/>
      <c r="W16" s="668"/>
      <c r="X16" s="1265"/>
      <c r="Y16" s="341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9"/>
      <c r="Q18" s="1263"/>
      <c r="R18" s="667"/>
      <c r="S18" s="668"/>
      <c r="T18" s="667"/>
      <c r="U18" s="668"/>
      <c r="V18" s="667"/>
      <c r="W18" s="668"/>
      <c r="X18" s="1265"/>
      <c r="Y18" s="341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9"/>
      <c r="Q20" s="1263"/>
      <c r="R20" s="667"/>
      <c r="S20" s="668"/>
      <c r="T20" s="667"/>
      <c r="U20" s="668"/>
      <c r="V20" s="667"/>
      <c r="W20" s="668"/>
      <c r="X20" s="1265"/>
      <c r="Y20" s="341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D21/F21</f>
        <v>1</v>
      </c>
      <c r="AB21" s="1264">
        <f>D21/H21</f>
        <v>1</v>
      </c>
      <c r="AC21" s="1264">
        <f>D21/J21</f>
        <v>1</v>
      </c>
    </row>
    <row r="22" spans="1:29" ht="15">
      <c r="A22" s="367"/>
      <c r="B22" s="586"/>
      <c r="C22" s="1755"/>
      <c r="D22" s="387"/>
      <c r="E22" s="386"/>
      <c r="F22" s="388"/>
      <c r="G22" s="386"/>
      <c r="H22" s="387"/>
      <c r="I22" s="386"/>
      <c r="J22" s="387"/>
      <c r="K22" s="1064"/>
      <c r="L22" s="2493"/>
      <c r="M22" s="2488"/>
      <c r="N22" s="2488"/>
      <c r="O22" s="2488"/>
      <c r="P22" s="3419"/>
      <c r="Q22" s="1263"/>
      <c r="R22" s="667"/>
      <c r="S22" s="668"/>
      <c r="T22" s="667"/>
      <c r="U22" s="668"/>
      <c r="V22" s="667"/>
      <c r="W22" s="668"/>
      <c r="X22" s="1265"/>
      <c r="Y22" s="341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9"/>
      <c r="Q25" s="1263" t="str">
        <f t="shared" ref="Q25:Q46" si="8">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9"/>
      <c r="Q26" s="1263" t="str">
        <f t="shared" si="8"/>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9"/>
      <c r="Q27" s="530" t="str">
        <f t="shared" si="8"/>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9"/>
      <c r="Q28" s="1263" t="str">
        <f t="shared" si="8"/>
        <v>楼层</v>
      </c>
      <c r="R28" s="667" t="s">
        <v>14</v>
      </c>
      <c r="S28" s="668">
        <f t="shared" ref="S28:S46" si="9">F28</f>
        <v>100</v>
      </c>
      <c r="T28" s="667" t="s">
        <v>14</v>
      </c>
      <c r="U28" s="668">
        <f t="shared" ref="U28:U46" si="10">H28</f>
        <v>100</v>
      </c>
      <c r="V28" s="667" t="s">
        <v>14</v>
      </c>
      <c r="W28" s="668">
        <f t="shared" ref="W28:W46" si="11">J28</f>
        <v>100</v>
      </c>
      <c r="X28" s="1265"/>
      <c r="Y28" s="3412"/>
      <c r="Z28" s="1264" t="str">
        <f t="shared" ref="Z28:Z46" si="12">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9"/>
      <c r="Q29" s="1263">
        <f t="shared" si="8"/>
        <v>111</v>
      </c>
      <c r="R29" s="667" t="s">
        <v>14</v>
      </c>
      <c r="S29" s="668">
        <f t="shared" si="9"/>
        <v>100</v>
      </c>
      <c r="T29" s="667" t="s">
        <v>14</v>
      </c>
      <c r="U29" s="668">
        <f t="shared" si="10"/>
        <v>100</v>
      </c>
      <c r="V29" s="667" t="s">
        <v>14</v>
      </c>
      <c r="W29" s="668">
        <f t="shared" si="11"/>
        <v>100</v>
      </c>
      <c r="X29" s="1265"/>
      <c r="Y29" s="3412"/>
      <c r="Z29" s="1264">
        <f t="shared" si="12"/>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9"/>
      <c r="Q30" s="1263">
        <f t="shared" si="8"/>
        <v>111</v>
      </c>
      <c r="R30" s="667" t="s">
        <v>14</v>
      </c>
      <c r="S30" s="668">
        <f t="shared" si="9"/>
        <v>100</v>
      </c>
      <c r="T30" s="667" t="s">
        <v>14</v>
      </c>
      <c r="U30" s="668">
        <f t="shared" si="10"/>
        <v>100</v>
      </c>
      <c r="V30" s="667" t="s">
        <v>14</v>
      </c>
      <c r="W30" s="668">
        <f t="shared" si="11"/>
        <v>100</v>
      </c>
      <c r="X30" s="1265"/>
      <c r="Y30" s="3412"/>
      <c r="Z30" s="1264">
        <f t="shared" si="12"/>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9"/>
      <c r="Q31" s="1263">
        <f t="shared" si="8"/>
        <v>111</v>
      </c>
      <c r="R31" s="667" t="s">
        <v>14</v>
      </c>
      <c r="S31" s="668">
        <f t="shared" si="9"/>
        <v>100</v>
      </c>
      <c r="T31" s="667" t="s">
        <v>14</v>
      </c>
      <c r="U31" s="668">
        <f t="shared" si="10"/>
        <v>100</v>
      </c>
      <c r="V31" s="667" t="s">
        <v>14</v>
      </c>
      <c r="W31" s="668">
        <f t="shared" si="11"/>
        <v>100</v>
      </c>
      <c r="X31" s="1265"/>
      <c r="Y31" s="3412"/>
      <c r="Z31" s="1264">
        <f t="shared" si="12"/>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3" t="s">
        <v>1696</v>
      </c>
      <c r="Q32" s="1263" t="str">
        <f t="shared" si="8"/>
        <v>商业类型</v>
      </c>
      <c r="R32" s="667" t="s">
        <v>14</v>
      </c>
      <c r="S32" s="668">
        <f t="shared" si="9"/>
        <v>100</v>
      </c>
      <c r="T32" s="667" t="s">
        <v>14</v>
      </c>
      <c r="U32" s="668">
        <f t="shared" si="10"/>
        <v>100</v>
      </c>
      <c r="V32" s="667" t="s">
        <v>14</v>
      </c>
      <c r="W32" s="668">
        <f t="shared" si="11"/>
        <v>100</v>
      </c>
      <c r="X32" s="1265"/>
      <c r="Y32" s="3416" t="s">
        <v>1696</v>
      </c>
      <c r="Z32" s="1264" t="str">
        <f t="shared" si="12"/>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4"/>
      <c r="Q33" s="531" t="str">
        <f t="shared" si="8"/>
        <v>项目建筑规模</v>
      </c>
      <c r="R33" s="669" t="s">
        <v>14</v>
      </c>
      <c r="S33" s="670" t="e">
        <f t="shared" si="9"/>
        <v>#N/A</v>
      </c>
      <c r="T33" s="669" t="s">
        <v>14</v>
      </c>
      <c r="U33" s="670" t="e">
        <f t="shared" si="10"/>
        <v>#N/A</v>
      </c>
      <c r="V33" s="669" t="s">
        <v>14</v>
      </c>
      <c r="W33" s="670" t="e">
        <f t="shared" si="11"/>
        <v>#N/A</v>
      </c>
      <c r="X33" s="671"/>
      <c r="Y33" s="3416"/>
      <c r="Z33" s="672" t="str">
        <f t="shared" si="12"/>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4"/>
      <c r="Q34" s="1263" t="str">
        <f t="shared" si="8"/>
        <v>建筑结构</v>
      </c>
      <c r="R34" s="667" t="s">
        <v>14</v>
      </c>
      <c r="S34" s="668">
        <f t="shared" si="9"/>
        <v>100</v>
      </c>
      <c r="T34" s="667" t="s">
        <v>14</v>
      </c>
      <c r="U34" s="668">
        <f t="shared" si="10"/>
        <v>100</v>
      </c>
      <c r="V34" s="667" t="s">
        <v>14</v>
      </c>
      <c r="W34" s="668">
        <f t="shared" si="11"/>
        <v>100</v>
      </c>
      <c r="X34" s="1265"/>
      <c r="Y34" s="3416"/>
      <c r="Z34" s="1264" t="str">
        <f t="shared" si="12"/>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4"/>
      <c r="Q35" s="1263" t="str">
        <f t="shared" si="8"/>
        <v>公共部分装修</v>
      </c>
      <c r="R35" s="667" t="s">
        <v>14</v>
      </c>
      <c r="S35" s="668">
        <f t="shared" si="9"/>
        <v>100</v>
      </c>
      <c r="T35" s="667" t="s">
        <v>14</v>
      </c>
      <c r="U35" s="668">
        <f t="shared" si="10"/>
        <v>100</v>
      </c>
      <c r="V35" s="667" t="s">
        <v>14</v>
      </c>
      <c r="W35" s="668">
        <f t="shared" si="11"/>
        <v>100</v>
      </c>
      <c r="X35" s="1265"/>
      <c r="Y35" s="3416"/>
      <c r="Z35" s="1264" t="str">
        <f t="shared" si="12"/>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4"/>
      <c r="Q36" s="1263" t="str">
        <f t="shared" si="8"/>
        <v>成新度</v>
      </c>
      <c r="R36" s="667" t="s">
        <v>14</v>
      </c>
      <c r="S36" s="668" t="e">
        <f t="shared" si="9"/>
        <v>#N/A</v>
      </c>
      <c r="T36" s="667" t="s">
        <v>14</v>
      </c>
      <c r="U36" s="668" t="e">
        <f t="shared" si="10"/>
        <v>#N/A</v>
      </c>
      <c r="V36" s="667" t="s">
        <v>14</v>
      </c>
      <c r="W36" s="668" t="e">
        <f t="shared" si="11"/>
        <v>#N/A</v>
      </c>
      <c r="X36" s="1265"/>
      <c r="Y36" s="3416"/>
      <c r="Z36" s="1264" t="str">
        <f t="shared" si="12"/>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4"/>
      <c r="Q37" s="530" t="str">
        <f t="shared" si="8"/>
        <v>市政基础设施</v>
      </c>
      <c r="R37" s="664" t="s">
        <v>14</v>
      </c>
      <c r="S37" s="665">
        <f t="shared" si="9"/>
        <v>100</v>
      </c>
      <c r="T37" s="664" t="s">
        <v>14</v>
      </c>
      <c r="U37" s="665">
        <f t="shared" si="10"/>
        <v>100</v>
      </c>
      <c r="V37" s="664" t="s">
        <v>14</v>
      </c>
      <c r="W37" s="665">
        <f t="shared" si="11"/>
        <v>100</v>
      </c>
      <c r="X37" s="666"/>
      <c r="Y37" s="3416"/>
      <c r="Z37" s="50" t="str">
        <f t="shared" si="12"/>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4" t="s">
        <v>1696</v>
      </c>
      <c r="Q38" s="1263" t="str">
        <f t="shared" si="8"/>
        <v>业态</v>
      </c>
      <c r="R38" s="667" t="s">
        <v>14</v>
      </c>
      <c r="S38" s="668">
        <f t="shared" si="9"/>
        <v>100</v>
      </c>
      <c r="T38" s="667" t="s">
        <v>14</v>
      </c>
      <c r="U38" s="668">
        <f t="shared" si="10"/>
        <v>100</v>
      </c>
      <c r="V38" s="667" t="s">
        <v>14</v>
      </c>
      <c r="W38" s="668">
        <f t="shared" si="11"/>
        <v>100</v>
      </c>
      <c r="X38" s="1265"/>
      <c r="Y38" s="3416" t="s">
        <v>1696</v>
      </c>
      <c r="Z38" s="1264" t="str">
        <f t="shared" si="12"/>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4"/>
      <c r="Q39" s="1263" t="str">
        <f t="shared" si="8"/>
        <v>层高</v>
      </c>
      <c r="R39" s="667" t="s">
        <v>14</v>
      </c>
      <c r="S39" s="668">
        <f t="shared" si="9"/>
        <v>100</v>
      </c>
      <c r="T39" s="667" t="s">
        <v>14</v>
      </c>
      <c r="U39" s="668">
        <f t="shared" si="10"/>
        <v>100</v>
      </c>
      <c r="V39" s="667" t="s">
        <v>14</v>
      </c>
      <c r="W39" s="668">
        <f t="shared" si="11"/>
        <v>100</v>
      </c>
      <c r="X39" s="1265"/>
      <c r="Y39" s="3416"/>
      <c r="Z39" s="1264" t="str">
        <f t="shared" si="12"/>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4"/>
      <c r="Q40" s="1263" t="str">
        <f t="shared" si="8"/>
        <v>单套建筑面积</v>
      </c>
      <c r="R40" s="667" t="s">
        <v>14</v>
      </c>
      <c r="S40" s="668">
        <f t="shared" si="9"/>
        <v>100</v>
      </c>
      <c r="T40" s="667" t="s">
        <v>14</v>
      </c>
      <c r="U40" s="668">
        <f t="shared" si="10"/>
        <v>100</v>
      </c>
      <c r="V40" s="667" t="s">
        <v>14</v>
      </c>
      <c r="W40" s="668">
        <f t="shared" si="11"/>
        <v>100</v>
      </c>
      <c r="X40" s="1265"/>
      <c r="Y40" s="3416"/>
      <c r="Z40" s="1264" t="str">
        <f t="shared" si="12"/>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4"/>
      <c r="Q41" s="531" t="str">
        <f t="shared" si="8"/>
        <v>进深比</v>
      </c>
      <c r="R41" s="669" t="s">
        <v>14</v>
      </c>
      <c r="S41" s="670">
        <f t="shared" si="9"/>
        <v>100</v>
      </c>
      <c r="T41" s="669" t="s">
        <v>14</v>
      </c>
      <c r="U41" s="670">
        <f t="shared" si="10"/>
        <v>100</v>
      </c>
      <c r="V41" s="669" t="s">
        <v>14</v>
      </c>
      <c r="W41" s="670">
        <f t="shared" si="11"/>
        <v>100</v>
      </c>
      <c r="X41" s="671"/>
      <c r="Y41" s="3416"/>
      <c r="Z41" s="672" t="str">
        <f t="shared" si="12"/>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4"/>
      <c r="Q42" s="1263" t="str">
        <f t="shared" si="8"/>
        <v>内部装修</v>
      </c>
      <c r="R42" s="667" t="s">
        <v>14</v>
      </c>
      <c r="S42" s="668">
        <f t="shared" si="9"/>
        <v>100</v>
      </c>
      <c r="T42" s="667" t="s">
        <v>14</v>
      </c>
      <c r="U42" s="668">
        <f t="shared" si="10"/>
        <v>100</v>
      </c>
      <c r="V42" s="667" t="s">
        <v>14</v>
      </c>
      <c r="W42" s="668">
        <f t="shared" si="11"/>
        <v>100</v>
      </c>
      <c r="X42" s="1265"/>
      <c r="Y42" s="3416"/>
      <c r="Z42" s="1264" t="str">
        <f t="shared" si="12"/>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4"/>
      <c r="Q43" s="1263" t="str">
        <f t="shared" si="8"/>
        <v>内部装修维护情况</v>
      </c>
      <c r="R43" s="667" t="s">
        <v>14</v>
      </c>
      <c r="S43" s="668">
        <f t="shared" si="9"/>
        <v>100</v>
      </c>
      <c r="T43" s="667" t="s">
        <v>14</v>
      </c>
      <c r="U43" s="668">
        <f t="shared" si="10"/>
        <v>100</v>
      </c>
      <c r="V43" s="667" t="s">
        <v>14</v>
      </c>
      <c r="W43" s="668">
        <f t="shared" si="11"/>
        <v>100</v>
      </c>
      <c r="X43" s="1265"/>
      <c r="Y43" s="3416"/>
      <c r="Z43" s="1264" t="str">
        <f t="shared" si="12"/>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4"/>
      <c r="Q44" s="530">
        <f t="shared" si="8"/>
        <v>111</v>
      </c>
      <c r="R44" s="664" t="s">
        <v>14</v>
      </c>
      <c r="S44" s="665">
        <f t="shared" si="9"/>
        <v>100</v>
      </c>
      <c r="T44" s="664" t="s">
        <v>14</v>
      </c>
      <c r="U44" s="665">
        <f t="shared" si="10"/>
        <v>100</v>
      </c>
      <c r="V44" s="664" t="s">
        <v>14</v>
      </c>
      <c r="W44" s="665">
        <f t="shared" si="11"/>
        <v>100</v>
      </c>
      <c r="X44" s="666"/>
      <c r="Y44" s="3416"/>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4"/>
      <c r="Q45" s="1263">
        <f t="shared" si="8"/>
        <v>111</v>
      </c>
      <c r="R45" s="667" t="s">
        <v>14</v>
      </c>
      <c r="S45" s="668">
        <f t="shared" si="9"/>
        <v>100</v>
      </c>
      <c r="T45" s="667" t="s">
        <v>14</v>
      </c>
      <c r="U45" s="668">
        <f t="shared" si="10"/>
        <v>100</v>
      </c>
      <c r="V45" s="667" t="s">
        <v>14</v>
      </c>
      <c r="W45" s="668">
        <f t="shared" si="11"/>
        <v>100</v>
      </c>
      <c r="X45" s="1265"/>
      <c r="Y45" s="3416"/>
      <c r="Z45" s="1264">
        <f t="shared" si="12"/>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5"/>
      <c r="Q46" s="1263">
        <f t="shared" si="8"/>
        <v>111</v>
      </c>
      <c r="R46" s="667" t="s">
        <v>14</v>
      </c>
      <c r="S46" s="668">
        <f t="shared" si="9"/>
        <v>100</v>
      </c>
      <c r="T46" s="667" t="s">
        <v>14</v>
      </c>
      <c r="U46" s="668">
        <f t="shared" si="10"/>
        <v>100</v>
      </c>
      <c r="V46" s="667" t="s">
        <v>14</v>
      </c>
      <c r="W46" s="668">
        <f t="shared" si="11"/>
        <v>100</v>
      </c>
      <c r="X46" s="1265"/>
      <c r="Y46" s="3417"/>
      <c r="Z46" s="1264">
        <f t="shared" si="12"/>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2024-9</v>
      </c>
      <c r="D58" s="1104">
        <f>EDATE(C58,-1)</f>
        <v>45505</v>
      </c>
      <c r="E58" s="1104">
        <f t="shared" ref="E58:N58" si="13">EDATE(D58,-1)</f>
        <v>45474</v>
      </c>
      <c r="F58" s="1104">
        <f t="shared" si="13"/>
        <v>45444</v>
      </c>
      <c r="G58" s="1104">
        <f t="shared" si="13"/>
        <v>45413</v>
      </c>
      <c r="H58" s="1104">
        <f t="shared" si="13"/>
        <v>45383</v>
      </c>
      <c r="I58" s="1104">
        <f t="shared" si="13"/>
        <v>45352</v>
      </c>
      <c r="J58" s="1104">
        <f t="shared" si="13"/>
        <v>45323</v>
      </c>
      <c r="K58" s="1104">
        <f t="shared" si="13"/>
        <v>45292</v>
      </c>
      <c r="L58" s="1104">
        <f t="shared" si="13"/>
        <v>45261</v>
      </c>
      <c r="M58" s="1104">
        <f t="shared" si="13"/>
        <v>45231</v>
      </c>
      <c r="N58" s="1104">
        <f t="shared" si="13"/>
        <v>45200</v>
      </c>
      <c r="O58" s="1104">
        <f>EDATE(N58,-1)</f>
        <v>45170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11761.1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21" t="s">
        <v>1771</v>
      </c>
      <c r="S4" s="3422"/>
      <c r="T4" s="3421" t="s">
        <v>1772</v>
      </c>
      <c r="U4" s="3422"/>
      <c r="V4" s="3430" t="s">
        <v>1773</v>
      </c>
      <c r="W4" s="3430"/>
      <c r="X4" s="1809"/>
      <c r="Y4" s="3421" t="s">
        <v>1775</v>
      </c>
      <c r="Z4" s="3422"/>
      <c r="AA4" s="3420" t="s">
        <v>1771</v>
      </c>
      <c r="AB4" s="3420" t="s">
        <v>1772</v>
      </c>
      <c r="AC4" s="3423" t="s">
        <v>1773</v>
      </c>
    </row>
    <row r="5" spans="1:29" ht="15">
      <c r="A5" s="348"/>
      <c r="B5" s="349"/>
      <c r="C5" s="3386" t="s">
        <v>1673</v>
      </c>
      <c r="D5" s="3387"/>
      <c r="E5" s="3384" t="s">
        <v>1674</v>
      </c>
      <c r="F5" s="3385"/>
      <c r="G5" s="3386" t="s">
        <v>1675</v>
      </c>
      <c r="H5" s="3387"/>
      <c r="I5" s="3386" t="s">
        <v>1676</v>
      </c>
      <c r="J5" s="3387"/>
      <c r="K5" s="537"/>
      <c r="L5" s="2487"/>
      <c r="M5" s="2488"/>
      <c r="N5" s="2488"/>
      <c r="O5" s="2488"/>
      <c r="P5" s="3428"/>
      <c r="Q5" s="3400"/>
      <c r="R5" s="3382"/>
      <c r="S5" s="3383"/>
      <c r="T5" s="3382"/>
      <c r="U5" s="3383"/>
      <c r="V5" s="3405"/>
      <c r="W5" s="3405"/>
      <c r="X5" s="1265"/>
      <c r="Y5" s="3382"/>
      <c r="Z5" s="3383"/>
      <c r="AA5" s="3376"/>
      <c r="AB5" s="3376"/>
      <c r="AC5" s="3424"/>
    </row>
    <row r="6" spans="1:29" ht="15.75" thickBot="1">
      <c r="A6" s="350"/>
      <c r="B6" s="351"/>
      <c r="C6" s="3388" t="s">
        <v>1677</v>
      </c>
      <c r="D6" s="3389"/>
      <c r="E6" s="3390" t="s">
        <v>1677</v>
      </c>
      <c r="F6" s="3391"/>
      <c r="G6" s="3388" t="s">
        <v>1677</v>
      </c>
      <c r="H6" s="3389"/>
      <c r="I6" s="3388" t="s">
        <v>1677</v>
      </c>
      <c r="J6" s="3389"/>
      <c r="K6" s="537" t="s">
        <v>1678</v>
      </c>
      <c r="L6" s="2487"/>
      <c r="M6" s="2488"/>
      <c r="N6" s="2488"/>
      <c r="O6" s="2488"/>
      <c r="P6" s="3429"/>
      <c r="Q6" s="3402"/>
      <c r="R6" s="3382"/>
      <c r="S6" s="3383"/>
      <c r="T6" s="3403"/>
      <c r="U6" s="3404"/>
      <c r="V6" s="3405"/>
      <c r="W6" s="3405"/>
      <c r="X6" s="1265"/>
      <c r="Y6" s="3403"/>
      <c r="Z6" s="3404"/>
      <c r="AA6" s="3377"/>
      <c r="AB6" s="3377"/>
      <c r="AC6" s="3425"/>
    </row>
    <row r="7" spans="1:29" s="102" customFormat="1" ht="15.75" thickBot="1">
      <c r="A7" s="352" t="s">
        <v>1679</v>
      </c>
      <c r="B7" s="353"/>
      <c r="C7" s="354">
        <f>'数据-取费表'!B2</f>
        <v>45553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1"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1" t="s">
        <v>1683</v>
      </c>
      <c r="Q8" s="3379"/>
      <c r="R8" s="664" t="s">
        <v>14</v>
      </c>
      <c r="S8" s="665">
        <f t="shared" si="0"/>
        <v>100</v>
      </c>
      <c r="T8" s="664" t="s">
        <v>14</v>
      </c>
      <c r="U8" s="665">
        <f t="shared" si="1"/>
        <v>100</v>
      </c>
      <c r="V8" s="664" t="s">
        <v>14</v>
      </c>
      <c r="W8" s="665">
        <f t="shared" si="2"/>
        <v>100</v>
      </c>
      <c r="X8" s="666"/>
      <c r="Y8" s="3378" t="s">
        <v>1683</v>
      </c>
      <c r="Z8" s="337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2"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2"/>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2"/>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9"/>
      <c r="Q16" s="1263"/>
      <c r="R16" s="667"/>
      <c r="S16" s="668"/>
      <c r="T16" s="667"/>
      <c r="U16" s="668"/>
      <c r="V16" s="667"/>
      <c r="W16" s="668"/>
      <c r="X16" s="1265"/>
      <c r="Y16" s="3412"/>
      <c r="Z16" s="1264"/>
      <c r="AA16" s="1264">
        <v>1</v>
      </c>
      <c r="AB16" s="1264">
        <v>1</v>
      </c>
      <c r="AC16" s="1812">
        <v>1</v>
      </c>
    </row>
    <row r="17" spans="1:29" ht="85.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9"/>
      <c r="Q18" s="1263"/>
      <c r="R18" s="667"/>
      <c r="S18" s="668"/>
      <c r="T18" s="667"/>
      <c r="U18" s="668"/>
      <c r="V18" s="667"/>
      <c r="W18" s="668"/>
      <c r="X18" s="1265"/>
      <c r="Y18" s="341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9"/>
      <c r="Q20" s="1263"/>
      <c r="R20" s="667"/>
      <c r="S20" s="668"/>
      <c r="T20" s="667"/>
      <c r="U20" s="668"/>
      <c r="V20" s="667"/>
      <c r="W20" s="668"/>
      <c r="X20" s="1265"/>
      <c r="Y20" s="341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D21/F21</f>
        <v>1</v>
      </c>
      <c r="AB21" s="1264">
        <f>D21/H21</f>
        <v>1</v>
      </c>
      <c r="AC21" s="1812">
        <f>D21/J21</f>
        <v>1</v>
      </c>
    </row>
    <row r="22" spans="1:29" ht="15">
      <c r="A22" s="367"/>
      <c r="B22" s="557"/>
      <c r="C22" s="1814"/>
      <c r="D22" s="387"/>
      <c r="E22" s="386"/>
      <c r="F22" s="387"/>
      <c r="G22" s="1758"/>
      <c r="H22" s="387"/>
      <c r="I22" s="1758"/>
      <c r="J22" s="387"/>
      <c r="K22" s="1064"/>
      <c r="L22" s="2493"/>
      <c r="M22" s="2488"/>
      <c r="N22" s="2488"/>
      <c r="O22" s="2488"/>
      <c r="P22" s="3419"/>
      <c r="Q22" s="1263"/>
      <c r="R22" s="667"/>
      <c r="S22" s="668"/>
      <c r="T22" s="667"/>
      <c r="U22" s="668"/>
      <c r="V22" s="667"/>
      <c r="W22" s="668"/>
      <c r="X22" s="1265"/>
      <c r="Y22" s="3412"/>
      <c r="Z22" s="1264"/>
      <c r="AA22" s="1264">
        <v>1</v>
      </c>
      <c r="AB22" s="1264">
        <v>1</v>
      </c>
      <c r="AC22" s="1812">
        <v>1</v>
      </c>
    </row>
    <row r="23" spans="1:29" ht="57">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9"/>
      <c r="Q24" s="1263"/>
      <c r="R24" s="667"/>
      <c r="S24" s="668"/>
      <c r="T24" s="667"/>
      <c r="U24" s="668"/>
      <c r="V24" s="667"/>
      <c r="W24" s="668"/>
      <c r="X24" s="1265"/>
      <c r="Y24" s="3412"/>
      <c r="Z24" s="1264"/>
      <c r="AA24" s="1264">
        <v>1</v>
      </c>
      <c r="AB24" s="1264">
        <v>1</v>
      </c>
      <c r="AC24" s="1812">
        <v>1</v>
      </c>
    </row>
    <row r="25" spans="1:29" ht="28.5">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9"/>
      <c r="Q27" s="1263" t="str">
        <f t="shared" ref="Q27:Q47" si="8">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9"/>
      <c r="Q28" s="530" t="str">
        <f t="shared" si="8"/>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9"/>
      <c r="Q29" s="1263">
        <f t="shared" si="8"/>
        <v>111</v>
      </c>
      <c r="R29" s="667" t="s">
        <v>14</v>
      </c>
      <c r="S29" s="668">
        <f t="shared" ref="S29:S47" si="9">F29</f>
        <v>100</v>
      </c>
      <c r="T29" s="667" t="s">
        <v>14</v>
      </c>
      <c r="U29" s="668">
        <f t="shared" ref="U29:U47" si="10">H29</f>
        <v>100</v>
      </c>
      <c r="V29" s="667" t="s">
        <v>14</v>
      </c>
      <c r="W29" s="668">
        <f t="shared" ref="W29:W47" si="11">J29</f>
        <v>100</v>
      </c>
      <c r="X29" s="1265"/>
      <c r="Y29" s="3412"/>
      <c r="Z29" s="1264">
        <f t="shared" ref="Z29:Z47" si="12">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9"/>
      <c r="Q30" s="1263">
        <f t="shared" si="8"/>
        <v>111</v>
      </c>
      <c r="R30" s="667" t="s">
        <v>14</v>
      </c>
      <c r="S30" s="668">
        <f t="shared" si="9"/>
        <v>100</v>
      </c>
      <c r="T30" s="667" t="s">
        <v>14</v>
      </c>
      <c r="U30" s="668">
        <f t="shared" si="10"/>
        <v>100</v>
      </c>
      <c r="V30" s="667" t="s">
        <v>14</v>
      </c>
      <c r="W30" s="668">
        <f t="shared" si="11"/>
        <v>100</v>
      </c>
      <c r="X30" s="1265"/>
      <c r="Y30" s="3412"/>
      <c r="Z30" s="1264">
        <f t="shared" si="12"/>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9"/>
      <c r="Q31" s="1263">
        <f t="shared" si="8"/>
        <v>111</v>
      </c>
      <c r="R31" s="667" t="s">
        <v>14</v>
      </c>
      <c r="S31" s="668">
        <f t="shared" si="9"/>
        <v>100</v>
      </c>
      <c r="T31" s="667" t="s">
        <v>14</v>
      </c>
      <c r="U31" s="668">
        <f t="shared" si="10"/>
        <v>100</v>
      </c>
      <c r="V31" s="667" t="s">
        <v>14</v>
      </c>
      <c r="W31" s="668">
        <f t="shared" si="11"/>
        <v>100</v>
      </c>
      <c r="X31" s="1265"/>
      <c r="Y31" s="3412"/>
      <c r="Z31" s="1264">
        <f t="shared" si="12"/>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9"/>
      <c r="Q32" s="1263">
        <f t="shared" si="8"/>
        <v>111</v>
      </c>
      <c r="R32" s="667" t="s">
        <v>14</v>
      </c>
      <c r="S32" s="668">
        <f t="shared" si="9"/>
        <v>100</v>
      </c>
      <c r="T32" s="667" t="s">
        <v>14</v>
      </c>
      <c r="U32" s="668">
        <f t="shared" si="10"/>
        <v>100</v>
      </c>
      <c r="V32" s="667" t="s">
        <v>14</v>
      </c>
      <c r="W32" s="668">
        <f t="shared" si="11"/>
        <v>100</v>
      </c>
      <c r="X32" s="1265"/>
      <c r="Y32" s="3412"/>
      <c r="Z32" s="1264">
        <f t="shared" si="12"/>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3" t="s">
        <v>1696</v>
      </c>
      <c r="Q33" s="1263" t="str">
        <f t="shared" si="8"/>
        <v>建筑类型</v>
      </c>
      <c r="R33" s="667" t="s">
        <v>14</v>
      </c>
      <c r="S33" s="668">
        <f t="shared" si="9"/>
        <v>100</v>
      </c>
      <c r="T33" s="667" t="s">
        <v>14</v>
      </c>
      <c r="U33" s="668">
        <f t="shared" si="10"/>
        <v>100</v>
      </c>
      <c r="V33" s="667" t="s">
        <v>14</v>
      </c>
      <c r="W33" s="668">
        <f t="shared" si="11"/>
        <v>100</v>
      </c>
      <c r="X33" s="1265"/>
      <c r="Y33" s="3416" t="s">
        <v>1696</v>
      </c>
      <c r="Z33" s="1264" t="str">
        <f t="shared" si="12"/>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4"/>
      <c r="Q34" s="531" t="str">
        <f t="shared" si="8"/>
        <v>项目建筑规模</v>
      </c>
      <c r="R34" s="669" t="s">
        <v>14</v>
      </c>
      <c r="S34" s="670" t="e">
        <f t="shared" si="9"/>
        <v>#N/A</v>
      </c>
      <c r="T34" s="669" t="s">
        <v>14</v>
      </c>
      <c r="U34" s="670" t="e">
        <f t="shared" si="10"/>
        <v>#N/A</v>
      </c>
      <c r="V34" s="669" t="s">
        <v>14</v>
      </c>
      <c r="W34" s="670" t="e">
        <f t="shared" si="11"/>
        <v>#N/A</v>
      </c>
      <c r="X34" s="671"/>
      <c r="Y34" s="3416"/>
      <c r="Z34" s="672" t="str">
        <f t="shared" si="12"/>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4"/>
      <c r="Q35" s="1263" t="str">
        <f t="shared" si="8"/>
        <v>建筑结构</v>
      </c>
      <c r="R35" s="667" t="s">
        <v>14</v>
      </c>
      <c r="S35" s="668">
        <f t="shared" si="9"/>
        <v>100</v>
      </c>
      <c r="T35" s="667" t="s">
        <v>14</v>
      </c>
      <c r="U35" s="668">
        <f t="shared" si="10"/>
        <v>100</v>
      </c>
      <c r="V35" s="667" t="s">
        <v>14</v>
      </c>
      <c r="W35" s="668">
        <f t="shared" si="11"/>
        <v>100</v>
      </c>
      <c r="X35" s="1265"/>
      <c r="Y35" s="3416"/>
      <c r="Z35" s="1264" t="str">
        <f t="shared" si="12"/>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4"/>
      <c r="Q36" s="1263" t="str">
        <f t="shared" si="8"/>
        <v>公共部分装修</v>
      </c>
      <c r="R36" s="667" t="s">
        <v>14</v>
      </c>
      <c r="S36" s="668">
        <f t="shared" si="9"/>
        <v>100</v>
      </c>
      <c r="T36" s="667" t="s">
        <v>14</v>
      </c>
      <c r="U36" s="668">
        <f t="shared" si="10"/>
        <v>100</v>
      </c>
      <c r="V36" s="667" t="s">
        <v>14</v>
      </c>
      <c r="W36" s="668">
        <f t="shared" si="11"/>
        <v>100</v>
      </c>
      <c r="X36" s="1265"/>
      <c r="Y36" s="3416"/>
      <c r="Z36" s="1264" t="str">
        <f t="shared" si="12"/>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4"/>
      <c r="Q37" s="1263" t="str">
        <f t="shared" si="8"/>
        <v>成新度</v>
      </c>
      <c r="R37" s="667" t="s">
        <v>14</v>
      </c>
      <c r="S37" s="668" t="e">
        <f t="shared" si="9"/>
        <v>#N/A</v>
      </c>
      <c r="T37" s="667" t="s">
        <v>14</v>
      </c>
      <c r="U37" s="668" t="e">
        <f t="shared" si="10"/>
        <v>#N/A</v>
      </c>
      <c r="V37" s="667" t="s">
        <v>14</v>
      </c>
      <c r="W37" s="668" t="e">
        <f t="shared" si="11"/>
        <v>#N/A</v>
      </c>
      <c r="X37" s="1265"/>
      <c r="Y37" s="3416"/>
      <c r="Z37" s="1264" t="str">
        <f t="shared" si="12"/>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4"/>
      <c r="Q38" s="530" t="str">
        <f t="shared" si="8"/>
        <v>写字楼等级</v>
      </c>
      <c r="R38" s="664" t="s">
        <v>14</v>
      </c>
      <c r="S38" s="665">
        <f t="shared" si="9"/>
        <v>100</v>
      </c>
      <c r="T38" s="664" t="s">
        <v>14</v>
      </c>
      <c r="U38" s="665">
        <f t="shared" si="10"/>
        <v>100</v>
      </c>
      <c r="V38" s="664" t="s">
        <v>14</v>
      </c>
      <c r="W38" s="665">
        <f t="shared" si="11"/>
        <v>100</v>
      </c>
      <c r="X38" s="666"/>
      <c r="Y38" s="3416"/>
      <c r="Z38" s="50" t="str">
        <f t="shared" si="12"/>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4" t="s">
        <v>1696</v>
      </c>
      <c r="Q39" s="1263" t="str">
        <f t="shared" si="8"/>
        <v>物业管理</v>
      </c>
      <c r="R39" s="667" t="s">
        <v>14</v>
      </c>
      <c r="S39" s="668">
        <f t="shared" si="9"/>
        <v>100</v>
      </c>
      <c r="T39" s="667" t="s">
        <v>14</v>
      </c>
      <c r="U39" s="668">
        <f t="shared" si="10"/>
        <v>100</v>
      </c>
      <c r="V39" s="667" t="s">
        <v>14</v>
      </c>
      <c r="W39" s="668">
        <f t="shared" si="11"/>
        <v>100</v>
      </c>
      <c r="X39" s="1265"/>
      <c r="Y39" s="3416" t="s">
        <v>1696</v>
      </c>
      <c r="Z39" s="1264" t="str">
        <f t="shared" si="12"/>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4"/>
      <c r="Q40" s="1263" t="str">
        <f t="shared" si="8"/>
        <v>市政基础设施</v>
      </c>
      <c r="R40" s="667" t="s">
        <v>14</v>
      </c>
      <c r="S40" s="668">
        <f t="shared" si="9"/>
        <v>100</v>
      </c>
      <c r="T40" s="667" t="s">
        <v>14</v>
      </c>
      <c r="U40" s="668">
        <f t="shared" si="10"/>
        <v>100</v>
      </c>
      <c r="V40" s="667" t="s">
        <v>14</v>
      </c>
      <c r="W40" s="668">
        <f t="shared" si="11"/>
        <v>100</v>
      </c>
      <c r="X40" s="1265"/>
      <c r="Y40" s="3416"/>
      <c r="Z40" s="1264" t="str">
        <f t="shared" si="12"/>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4"/>
      <c r="Q41" s="1263" t="str">
        <f t="shared" si="8"/>
        <v>层高</v>
      </c>
      <c r="R41" s="667" t="s">
        <v>14</v>
      </c>
      <c r="S41" s="668">
        <f t="shared" si="9"/>
        <v>100</v>
      </c>
      <c r="T41" s="667" t="s">
        <v>14</v>
      </c>
      <c r="U41" s="668">
        <f t="shared" si="10"/>
        <v>100</v>
      </c>
      <c r="V41" s="667" t="s">
        <v>14</v>
      </c>
      <c r="W41" s="668">
        <f t="shared" si="11"/>
        <v>100</v>
      </c>
      <c r="X41" s="1265"/>
      <c r="Y41" s="3416"/>
      <c r="Z41" s="1264" t="str">
        <f t="shared" si="12"/>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4"/>
      <c r="Q42" s="531" t="str">
        <f t="shared" si="8"/>
        <v>单套建筑面积</v>
      </c>
      <c r="R42" s="669" t="s">
        <v>14</v>
      </c>
      <c r="S42" s="670">
        <f t="shared" si="9"/>
        <v>100</v>
      </c>
      <c r="T42" s="669" t="s">
        <v>14</v>
      </c>
      <c r="U42" s="670">
        <f t="shared" si="10"/>
        <v>100</v>
      </c>
      <c r="V42" s="669" t="s">
        <v>14</v>
      </c>
      <c r="W42" s="670">
        <f t="shared" si="11"/>
        <v>100</v>
      </c>
      <c r="X42" s="671"/>
      <c r="Y42" s="3416"/>
      <c r="Z42" s="672" t="str">
        <f t="shared" si="12"/>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4"/>
      <c r="Q43" s="1263" t="str">
        <f t="shared" si="8"/>
        <v>内部装修</v>
      </c>
      <c r="R43" s="667" t="s">
        <v>14</v>
      </c>
      <c r="S43" s="668">
        <f t="shared" si="9"/>
        <v>100</v>
      </c>
      <c r="T43" s="667" t="s">
        <v>14</v>
      </c>
      <c r="U43" s="668">
        <f t="shared" si="10"/>
        <v>100</v>
      </c>
      <c r="V43" s="667" t="s">
        <v>14</v>
      </c>
      <c r="W43" s="668">
        <f t="shared" si="11"/>
        <v>100</v>
      </c>
      <c r="X43" s="1265"/>
      <c r="Y43" s="3416"/>
      <c r="Z43" s="1264" t="str">
        <f t="shared" si="12"/>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4"/>
      <c r="Q44" s="1263" t="str">
        <f t="shared" si="8"/>
        <v>内部装修维护情况</v>
      </c>
      <c r="R44" s="667" t="s">
        <v>14</v>
      </c>
      <c r="S44" s="668">
        <f t="shared" si="9"/>
        <v>100</v>
      </c>
      <c r="T44" s="667" t="s">
        <v>14</v>
      </c>
      <c r="U44" s="668">
        <f t="shared" si="10"/>
        <v>100</v>
      </c>
      <c r="V44" s="667" t="s">
        <v>14</v>
      </c>
      <c r="W44" s="668">
        <f t="shared" si="11"/>
        <v>100</v>
      </c>
      <c r="X44" s="1265"/>
      <c r="Y44" s="3416"/>
      <c r="Z44" s="1264" t="str">
        <f t="shared" si="12"/>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4"/>
      <c r="Q45" s="530">
        <f t="shared" si="8"/>
        <v>111</v>
      </c>
      <c r="R45" s="664" t="s">
        <v>14</v>
      </c>
      <c r="S45" s="665">
        <f t="shared" si="9"/>
        <v>100</v>
      </c>
      <c r="T45" s="664" t="s">
        <v>14</v>
      </c>
      <c r="U45" s="665">
        <f t="shared" si="10"/>
        <v>100</v>
      </c>
      <c r="V45" s="664" t="s">
        <v>14</v>
      </c>
      <c r="W45" s="665">
        <f t="shared" si="11"/>
        <v>100</v>
      </c>
      <c r="X45" s="666"/>
      <c r="Y45" s="3416"/>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4"/>
      <c r="Q46" s="1263">
        <f t="shared" si="8"/>
        <v>111</v>
      </c>
      <c r="R46" s="667" t="s">
        <v>14</v>
      </c>
      <c r="S46" s="668">
        <f t="shared" si="9"/>
        <v>100</v>
      </c>
      <c r="T46" s="667" t="s">
        <v>14</v>
      </c>
      <c r="U46" s="668">
        <f t="shared" si="10"/>
        <v>100</v>
      </c>
      <c r="V46" s="667" t="s">
        <v>14</v>
      </c>
      <c r="W46" s="668">
        <f t="shared" si="11"/>
        <v>100</v>
      </c>
      <c r="X46" s="1265"/>
      <c r="Y46" s="3416"/>
      <c r="Z46" s="1264">
        <f t="shared" si="12"/>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5"/>
      <c r="Q47" s="1263">
        <f t="shared" si="8"/>
        <v>111</v>
      </c>
      <c r="R47" s="667" t="s">
        <v>14</v>
      </c>
      <c r="S47" s="668">
        <f t="shared" si="9"/>
        <v>100</v>
      </c>
      <c r="T47" s="667" t="s">
        <v>14</v>
      </c>
      <c r="U47" s="668">
        <f t="shared" si="10"/>
        <v>100</v>
      </c>
      <c r="V47" s="667" t="s">
        <v>14</v>
      </c>
      <c r="W47" s="668">
        <f t="shared" si="11"/>
        <v>100</v>
      </c>
      <c r="X47" s="1265"/>
      <c r="Y47" s="3417"/>
      <c r="Z47" s="1264">
        <f t="shared" si="12"/>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2024-9</v>
      </c>
      <c r="D59" s="1104">
        <f>EDATE(C59,-1)</f>
        <v>45505</v>
      </c>
      <c r="E59" s="1104">
        <f>EDATE(D59,-1)</f>
        <v>45474</v>
      </c>
      <c r="F59" s="1104">
        <f t="shared" ref="F59:O59" si="13">EDATE(E59,-1)</f>
        <v>45444</v>
      </c>
      <c r="G59" s="1104">
        <f t="shared" si="13"/>
        <v>45413</v>
      </c>
      <c r="H59" s="1104">
        <f t="shared" si="13"/>
        <v>45383</v>
      </c>
      <c r="I59" s="1104">
        <f t="shared" si="13"/>
        <v>45352</v>
      </c>
      <c r="J59" s="1104">
        <f t="shared" si="13"/>
        <v>45323</v>
      </c>
      <c r="K59" s="1104">
        <f t="shared" si="13"/>
        <v>45292</v>
      </c>
      <c r="L59" s="1104">
        <f t="shared" si="13"/>
        <v>45261</v>
      </c>
      <c r="M59" s="1104">
        <f t="shared" si="13"/>
        <v>45231</v>
      </c>
      <c r="N59" s="1104">
        <f t="shared" si="13"/>
        <v>45200</v>
      </c>
      <c r="O59" s="1104">
        <f t="shared" si="13"/>
        <v>45170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11761.1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2.7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D21/F21</f>
        <v>1</v>
      </c>
      <c r="AB21" s="1264">
        <f>D21/H21</f>
        <v>1</v>
      </c>
      <c r="AC21" s="1264">
        <f>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8">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8"/>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8"/>
        <v>111</v>
      </c>
      <c r="R28" s="667" t="s">
        <v>14</v>
      </c>
      <c r="S28" s="668">
        <f t="shared" ref="S28:S40" si="9">F28</f>
        <v>100</v>
      </c>
      <c r="T28" s="667" t="s">
        <v>14</v>
      </c>
      <c r="U28" s="668">
        <f t="shared" ref="U28:U40" si="10">H28</f>
        <v>100</v>
      </c>
      <c r="V28" s="667" t="s">
        <v>14</v>
      </c>
      <c r="W28" s="668">
        <f t="shared" ref="W28:W40" si="11">J28</f>
        <v>100</v>
      </c>
      <c r="X28" s="1265"/>
      <c r="Y28" s="3412"/>
      <c r="Z28" s="1264">
        <f t="shared" ref="Z28:Z40" si="12">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8"/>
        <v>建筑类型</v>
      </c>
      <c r="R29" s="667" t="s">
        <v>14</v>
      </c>
      <c r="S29" s="668">
        <f t="shared" si="9"/>
        <v>100</v>
      </c>
      <c r="T29" s="667" t="s">
        <v>14</v>
      </c>
      <c r="U29" s="668">
        <f t="shared" si="10"/>
        <v>100</v>
      </c>
      <c r="V29" s="667" t="s">
        <v>14</v>
      </c>
      <c r="W29" s="668">
        <f t="shared" si="11"/>
        <v>100</v>
      </c>
      <c r="X29" s="1265"/>
      <c r="Y29" s="3416" t="s">
        <v>1696</v>
      </c>
      <c r="Z29" s="1264" t="str">
        <f t="shared" si="12"/>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8"/>
        <v>项目建筑规模</v>
      </c>
      <c r="R30" s="669" t="s">
        <v>14</v>
      </c>
      <c r="S30" s="670" t="e">
        <f t="shared" si="9"/>
        <v>#N/A</v>
      </c>
      <c r="T30" s="669" t="s">
        <v>14</v>
      </c>
      <c r="U30" s="670" t="e">
        <f t="shared" si="10"/>
        <v>#N/A</v>
      </c>
      <c r="V30" s="669" t="s">
        <v>14</v>
      </c>
      <c r="W30" s="670" t="e">
        <f t="shared" si="11"/>
        <v>#N/A</v>
      </c>
      <c r="X30" s="671"/>
      <c r="Y30" s="3416"/>
      <c r="Z30" s="672" t="str">
        <f t="shared" si="12"/>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8"/>
        <v>建筑结构</v>
      </c>
      <c r="R31" s="667" t="s">
        <v>14</v>
      </c>
      <c r="S31" s="668">
        <f t="shared" si="9"/>
        <v>100</v>
      </c>
      <c r="T31" s="667" t="s">
        <v>14</v>
      </c>
      <c r="U31" s="668">
        <f t="shared" si="10"/>
        <v>100</v>
      </c>
      <c r="V31" s="667" t="s">
        <v>14</v>
      </c>
      <c r="W31" s="668">
        <f t="shared" si="11"/>
        <v>100</v>
      </c>
      <c r="X31" s="1265"/>
      <c r="Y31" s="3416"/>
      <c r="Z31" s="1264" t="str">
        <f t="shared" si="12"/>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8"/>
        <v>公共部分装修</v>
      </c>
      <c r="R32" s="667" t="s">
        <v>14</v>
      </c>
      <c r="S32" s="668">
        <f t="shared" si="9"/>
        <v>100</v>
      </c>
      <c r="T32" s="667" t="s">
        <v>14</v>
      </c>
      <c r="U32" s="668">
        <f t="shared" si="10"/>
        <v>100</v>
      </c>
      <c r="V32" s="667" t="s">
        <v>14</v>
      </c>
      <c r="W32" s="668">
        <f t="shared" si="11"/>
        <v>100</v>
      </c>
      <c r="X32" s="1265"/>
      <c r="Y32" s="3416"/>
      <c r="Z32" s="1264" t="str">
        <f t="shared" si="12"/>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8"/>
        <v>成新度</v>
      </c>
      <c r="R33" s="667" t="s">
        <v>14</v>
      </c>
      <c r="S33" s="668" t="e">
        <f t="shared" si="9"/>
        <v>#N/A</v>
      </c>
      <c r="T33" s="667" t="s">
        <v>14</v>
      </c>
      <c r="U33" s="668" t="e">
        <f t="shared" si="10"/>
        <v>#N/A</v>
      </c>
      <c r="V33" s="667" t="s">
        <v>14</v>
      </c>
      <c r="W33" s="668" t="e">
        <f t="shared" si="11"/>
        <v>#N/A</v>
      </c>
      <c r="X33" s="1265"/>
      <c r="Y33" s="3416"/>
      <c r="Z33" s="1264" t="str">
        <f t="shared" si="12"/>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8"/>
        <v>物业管理</v>
      </c>
      <c r="R34" s="664" t="s">
        <v>14</v>
      </c>
      <c r="S34" s="665">
        <f t="shared" si="9"/>
        <v>100</v>
      </c>
      <c r="T34" s="664" t="s">
        <v>14</v>
      </c>
      <c r="U34" s="665">
        <f t="shared" si="10"/>
        <v>100</v>
      </c>
      <c r="V34" s="664" t="s">
        <v>14</v>
      </c>
      <c r="W34" s="665">
        <f t="shared" si="11"/>
        <v>100</v>
      </c>
      <c r="X34" s="666"/>
      <c r="Y34" s="3416"/>
      <c r="Z34" s="50" t="str">
        <f t="shared" si="12"/>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8"/>
        <v>市政基础设施</v>
      </c>
      <c r="R35" s="667" t="s">
        <v>14</v>
      </c>
      <c r="S35" s="668">
        <f t="shared" si="9"/>
        <v>100</v>
      </c>
      <c r="T35" s="667" t="s">
        <v>14</v>
      </c>
      <c r="U35" s="668">
        <f t="shared" si="10"/>
        <v>100</v>
      </c>
      <c r="V35" s="667" t="s">
        <v>14</v>
      </c>
      <c r="W35" s="668">
        <f t="shared" si="11"/>
        <v>100</v>
      </c>
      <c r="X35" s="1265"/>
      <c r="Y35" s="3416" t="s">
        <v>1696</v>
      </c>
      <c r="Z35" s="1264" t="str">
        <f t="shared" si="12"/>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8"/>
        <v>内部装修</v>
      </c>
      <c r="R36" s="667" t="s">
        <v>14</v>
      </c>
      <c r="S36" s="668">
        <f t="shared" si="9"/>
        <v>100</v>
      </c>
      <c r="T36" s="667" t="s">
        <v>14</v>
      </c>
      <c r="U36" s="668">
        <f t="shared" si="10"/>
        <v>100</v>
      </c>
      <c r="V36" s="667" t="s">
        <v>14</v>
      </c>
      <c r="W36" s="668">
        <f t="shared" si="11"/>
        <v>100</v>
      </c>
      <c r="X36" s="1265"/>
      <c r="Y36" s="3416"/>
      <c r="Z36" s="1264" t="str">
        <f t="shared" si="12"/>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8"/>
        <v>内部装修状况</v>
      </c>
      <c r="R37" s="667" t="s">
        <v>14</v>
      </c>
      <c r="S37" s="668">
        <f t="shared" si="9"/>
        <v>100</v>
      </c>
      <c r="T37" s="667" t="s">
        <v>14</v>
      </c>
      <c r="U37" s="668">
        <f t="shared" si="10"/>
        <v>100</v>
      </c>
      <c r="V37" s="667" t="s">
        <v>14</v>
      </c>
      <c r="W37" s="668">
        <f t="shared" si="11"/>
        <v>100</v>
      </c>
      <c r="X37" s="1265"/>
      <c r="Y37" s="3416"/>
      <c r="Z37" s="1264" t="str">
        <f t="shared" si="12"/>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8"/>
        <v>111</v>
      </c>
      <c r="R38" s="669" t="s">
        <v>14</v>
      </c>
      <c r="S38" s="670">
        <f t="shared" si="9"/>
        <v>100</v>
      </c>
      <c r="T38" s="669" t="s">
        <v>14</v>
      </c>
      <c r="U38" s="670">
        <f t="shared" si="10"/>
        <v>100</v>
      </c>
      <c r="V38" s="669" t="s">
        <v>14</v>
      </c>
      <c r="W38" s="670">
        <f t="shared" si="11"/>
        <v>100</v>
      </c>
      <c r="X38" s="671"/>
      <c r="Y38" s="3416"/>
      <c r="Z38" s="672">
        <f t="shared" si="12"/>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8"/>
        <v>111</v>
      </c>
      <c r="R39" s="667" t="s">
        <v>14</v>
      </c>
      <c r="S39" s="668">
        <f t="shared" si="9"/>
        <v>100</v>
      </c>
      <c r="T39" s="667" t="s">
        <v>14</v>
      </c>
      <c r="U39" s="668">
        <f t="shared" si="10"/>
        <v>100</v>
      </c>
      <c r="V39" s="667" t="s">
        <v>14</v>
      </c>
      <c r="W39" s="668">
        <f t="shared" si="11"/>
        <v>100</v>
      </c>
      <c r="X39" s="1265"/>
      <c r="Y39" s="3416"/>
      <c r="Z39" s="1264">
        <f t="shared" si="12"/>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8"/>
        <v>111</v>
      </c>
      <c r="R40" s="667" t="s">
        <v>14</v>
      </c>
      <c r="S40" s="668">
        <f t="shared" si="9"/>
        <v>100</v>
      </c>
      <c r="T40" s="667" t="s">
        <v>14</v>
      </c>
      <c r="U40" s="668">
        <f t="shared" si="10"/>
        <v>100</v>
      </c>
      <c r="V40" s="667" t="s">
        <v>14</v>
      </c>
      <c r="W40" s="668">
        <f t="shared" si="11"/>
        <v>100</v>
      </c>
      <c r="X40" s="1265"/>
      <c r="Y40" s="3417"/>
      <c r="Z40" s="1264">
        <f t="shared" si="12"/>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3">EDATE(D52,-1)</f>
        <v>45474</v>
      </c>
      <c r="F52" s="1104">
        <f t="shared" si="13"/>
        <v>45444</v>
      </c>
      <c r="G52" s="1104">
        <f t="shared" si="13"/>
        <v>45413</v>
      </c>
      <c r="H52" s="1104">
        <f t="shared" si="13"/>
        <v>45383</v>
      </c>
      <c r="I52" s="1104">
        <f t="shared" si="13"/>
        <v>45352</v>
      </c>
      <c r="J52" s="1104">
        <f t="shared" si="13"/>
        <v>45323</v>
      </c>
      <c r="K52" s="1104">
        <f t="shared" si="13"/>
        <v>45292</v>
      </c>
      <c r="L52" s="1104">
        <f t="shared" si="13"/>
        <v>45261</v>
      </c>
      <c r="M52" s="1104">
        <f t="shared" si="13"/>
        <v>45231</v>
      </c>
      <c r="N52" s="1104">
        <f t="shared" si="13"/>
        <v>45200</v>
      </c>
      <c r="O52" s="1104">
        <f t="shared" si="13"/>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1737</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7"/>
      <c r="M5" s="2488"/>
      <c r="N5" s="2488"/>
      <c r="O5" s="2488"/>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7"/>
      <c r="M6" s="2488"/>
      <c r="N6" s="2488"/>
      <c r="O6" s="2488"/>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2"/>
      <c r="Q15" s="1263"/>
      <c r="R15" s="667"/>
      <c r="S15" s="668"/>
      <c r="T15" s="667"/>
      <c r="U15" s="668"/>
      <c r="V15" s="667"/>
      <c r="W15" s="668"/>
      <c r="X15" s="1265"/>
      <c r="Y15" s="341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2"/>
      <c r="Q17" s="1263"/>
      <c r="R17" s="667"/>
      <c r="S17" s="668"/>
      <c r="T17" s="667"/>
      <c r="U17" s="668"/>
      <c r="V17" s="667"/>
      <c r="W17" s="668"/>
      <c r="X17" s="1265"/>
      <c r="Y17" s="3412"/>
      <c r="Z17" s="1264"/>
      <c r="AA17" s="1264">
        <v>1</v>
      </c>
      <c r="AB17" s="1264">
        <v>1</v>
      </c>
      <c r="AC17" s="1264">
        <v>1</v>
      </c>
    </row>
    <row r="18" spans="1:29" ht="42.7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D18/F18</f>
        <v>1</v>
      </c>
      <c r="AB18" s="1264">
        <f>D18/H18</f>
        <v>1</v>
      </c>
      <c r="AC18" s="1264">
        <f>D18/J18</f>
        <v>1</v>
      </c>
    </row>
    <row r="19" spans="1:29" ht="15">
      <c r="A19" s="348"/>
      <c r="B19" s="557"/>
      <c r="C19" s="1755"/>
      <c r="D19" s="389"/>
      <c r="E19" s="1755"/>
      <c r="F19" s="392"/>
      <c r="G19" s="1755"/>
      <c r="H19" s="387"/>
      <c r="I19" s="386"/>
      <c r="J19" s="387"/>
      <c r="K19" s="1064"/>
      <c r="L19" s="2493"/>
      <c r="M19" s="2488"/>
      <c r="N19" s="2488"/>
      <c r="O19" s="2488"/>
      <c r="P19" s="3412"/>
      <c r="Q19" s="1263"/>
      <c r="R19" s="667"/>
      <c r="S19" s="668"/>
      <c r="T19" s="667"/>
      <c r="U19" s="668"/>
      <c r="V19" s="667"/>
      <c r="W19" s="668"/>
      <c r="X19" s="1265"/>
      <c r="Y19" s="341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2"/>
      <c r="Q24" s="1263">
        <f t="shared" ref="Q24:Q36" si="8">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2"/>
      <c r="Q25" s="530">
        <f t="shared" si="8"/>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8"/>
        <v>配套类型</v>
      </c>
      <c r="R26" s="667" t="s">
        <v>14</v>
      </c>
      <c r="S26" s="668">
        <f t="shared" ref="S26:S36" si="9">F26</f>
        <v>0</v>
      </c>
      <c r="T26" s="667" t="s">
        <v>14</v>
      </c>
      <c r="U26" s="668">
        <f t="shared" ref="U26:U36" si="10">H26</f>
        <v>0</v>
      </c>
      <c r="V26" s="667" t="s">
        <v>14</v>
      </c>
      <c r="W26" s="668">
        <f t="shared" ref="W26:W36" si="11">J26</f>
        <v>0</v>
      </c>
      <c r="X26" s="1265"/>
      <c r="Y26" s="3416" t="s">
        <v>1696</v>
      </c>
      <c r="Z26" s="1264" t="str">
        <f t="shared" ref="Z26:Z36" si="12">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6"/>
      <c r="Q27" s="531" t="str">
        <f t="shared" si="8"/>
        <v>项目停车位配比</v>
      </c>
      <c r="R27" s="669" t="s">
        <v>14</v>
      </c>
      <c r="S27" s="670">
        <f t="shared" si="9"/>
        <v>100</v>
      </c>
      <c r="T27" s="669" t="s">
        <v>14</v>
      </c>
      <c r="U27" s="670">
        <f t="shared" si="10"/>
        <v>100</v>
      </c>
      <c r="V27" s="669" t="s">
        <v>14</v>
      </c>
      <c r="W27" s="670">
        <f t="shared" si="11"/>
        <v>100</v>
      </c>
      <c r="X27" s="671"/>
      <c r="Y27" s="3416"/>
      <c r="Z27" s="672" t="str">
        <f t="shared" si="12"/>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6"/>
      <c r="Q28" s="1263" t="str">
        <f t="shared" si="8"/>
        <v>公共部分装修</v>
      </c>
      <c r="R28" s="667" t="s">
        <v>14</v>
      </c>
      <c r="S28" s="668">
        <f t="shared" si="9"/>
        <v>100</v>
      </c>
      <c r="T28" s="667" t="s">
        <v>14</v>
      </c>
      <c r="U28" s="668">
        <f t="shared" si="10"/>
        <v>100</v>
      </c>
      <c r="V28" s="667" t="s">
        <v>14</v>
      </c>
      <c r="W28" s="668">
        <f t="shared" si="11"/>
        <v>100</v>
      </c>
      <c r="X28" s="1265"/>
      <c r="Y28" s="3416"/>
      <c r="Z28" s="1264" t="str">
        <f t="shared" si="12"/>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6"/>
      <c r="Q29" s="1263" t="str">
        <f t="shared" si="8"/>
        <v>成新率</v>
      </c>
      <c r="R29" s="667" t="s">
        <v>14</v>
      </c>
      <c r="S29" s="668" t="e">
        <f t="shared" si="9"/>
        <v>#N/A</v>
      </c>
      <c r="T29" s="667" t="s">
        <v>14</v>
      </c>
      <c r="U29" s="668" t="e">
        <f t="shared" si="10"/>
        <v>#N/A</v>
      </c>
      <c r="V29" s="667" t="s">
        <v>14</v>
      </c>
      <c r="W29" s="668" t="e">
        <f t="shared" si="11"/>
        <v>#N/A</v>
      </c>
      <c r="X29" s="1265"/>
      <c r="Y29" s="3416"/>
      <c r="Z29" s="1264" t="str">
        <f t="shared" si="12"/>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6"/>
      <c r="Q30" s="1263" t="str">
        <f t="shared" si="8"/>
        <v>物业等级</v>
      </c>
      <c r="R30" s="667" t="s">
        <v>14</v>
      </c>
      <c r="S30" s="668">
        <f t="shared" si="9"/>
        <v>100</v>
      </c>
      <c r="T30" s="667" t="s">
        <v>14</v>
      </c>
      <c r="U30" s="668">
        <f t="shared" si="10"/>
        <v>100</v>
      </c>
      <c r="V30" s="667" t="s">
        <v>14</v>
      </c>
      <c r="W30" s="668">
        <f t="shared" si="11"/>
        <v>100</v>
      </c>
      <c r="X30" s="1265"/>
      <c r="Y30" s="3416"/>
      <c r="Z30" s="1264" t="str">
        <f t="shared" si="12"/>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6"/>
      <c r="Q31" s="530" t="str">
        <f t="shared" si="8"/>
        <v>停车位面积</v>
      </c>
      <c r="R31" s="664" t="s">
        <v>14</v>
      </c>
      <c r="S31" s="665" t="e">
        <f t="shared" si="9"/>
        <v>#N/A</v>
      </c>
      <c r="T31" s="664" t="s">
        <v>14</v>
      </c>
      <c r="U31" s="665" t="e">
        <f t="shared" si="10"/>
        <v>#N/A</v>
      </c>
      <c r="V31" s="664" t="s">
        <v>14</v>
      </c>
      <c r="W31" s="665" t="e">
        <f t="shared" si="11"/>
        <v>#N/A</v>
      </c>
      <c r="X31" s="666"/>
      <c r="Y31" s="3416"/>
      <c r="Z31" s="50" t="str">
        <f t="shared" si="12"/>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6" t="s">
        <v>1696</v>
      </c>
      <c r="Q32" s="1263" t="str">
        <f t="shared" si="8"/>
        <v>车位类型</v>
      </c>
      <c r="R32" s="667" t="s">
        <v>14</v>
      </c>
      <c r="S32" s="668">
        <f t="shared" si="9"/>
        <v>100</v>
      </c>
      <c r="T32" s="667" t="s">
        <v>14</v>
      </c>
      <c r="U32" s="668">
        <f t="shared" si="10"/>
        <v>100</v>
      </c>
      <c r="V32" s="667" t="s">
        <v>14</v>
      </c>
      <c r="W32" s="668">
        <f t="shared" si="11"/>
        <v>100</v>
      </c>
      <c r="X32" s="1265"/>
      <c r="Y32" s="3416" t="s">
        <v>1696</v>
      </c>
      <c r="Z32" s="1264" t="str">
        <f t="shared" si="12"/>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6"/>
      <c r="Q33" s="1263" t="str">
        <f t="shared" si="8"/>
        <v>是否直接入户</v>
      </c>
      <c r="R33" s="667" t="s">
        <v>14</v>
      </c>
      <c r="S33" s="668">
        <f t="shared" si="9"/>
        <v>100</v>
      </c>
      <c r="T33" s="667" t="s">
        <v>14</v>
      </c>
      <c r="U33" s="668">
        <f t="shared" si="10"/>
        <v>100</v>
      </c>
      <c r="V33" s="667" t="s">
        <v>14</v>
      </c>
      <c r="W33" s="668">
        <f t="shared" si="11"/>
        <v>100</v>
      </c>
      <c r="X33" s="1265"/>
      <c r="Y33" s="3416"/>
      <c r="Z33" s="1264" t="str">
        <f t="shared" si="12"/>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6"/>
      <c r="Q34" s="1263">
        <f t="shared" si="8"/>
        <v>111</v>
      </c>
      <c r="R34" s="667" t="s">
        <v>14</v>
      </c>
      <c r="S34" s="668">
        <f t="shared" si="9"/>
        <v>100</v>
      </c>
      <c r="T34" s="667" t="s">
        <v>14</v>
      </c>
      <c r="U34" s="668">
        <f t="shared" si="10"/>
        <v>100</v>
      </c>
      <c r="V34" s="667" t="s">
        <v>14</v>
      </c>
      <c r="W34" s="668">
        <f t="shared" si="11"/>
        <v>100</v>
      </c>
      <c r="X34" s="1265"/>
      <c r="Y34" s="3416"/>
      <c r="Z34" s="1264">
        <f t="shared" si="12"/>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6"/>
      <c r="Q35" s="531">
        <f t="shared" si="8"/>
        <v>111</v>
      </c>
      <c r="R35" s="669" t="s">
        <v>14</v>
      </c>
      <c r="S35" s="670">
        <f t="shared" si="9"/>
        <v>100</v>
      </c>
      <c r="T35" s="669" t="s">
        <v>14</v>
      </c>
      <c r="U35" s="670">
        <f t="shared" si="10"/>
        <v>100</v>
      </c>
      <c r="V35" s="669" t="s">
        <v>14</v>
      </c>
      <c r="W35" s="670">
        <f t="shared" si="11"/>
        <v>100</v>
      </c>
      <c r="X35" s="671"/>
      <c r="Y35" s="3416"/>
      <c r="Z35" s="672">
        <f t="shared" si="12"/>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6"/>
      <c r="Q36" s="1263">
        <f t="shared" si="8"/>
        <v>111</v>
      </c>
      <c r="R36" s="667" t="s">
        <v>14</v>
      </c>
      <c r="S36" s="668">
        <f t="shared" si="9"/>
        <v>100</v>
      </c>
      <c r="T36" s="667" t="s">
        <v>14</v>
      </c>
      <c r="U36" s="668">
        <f t="shared" si="10"/>
        <v>100</v>
      </c>
      <c r="V36" s="667" t="s">
        <v>14</v>
      </c>
      <c r="W36" s="668">
        <f t="shared" si="11"/>
        <v>100</v>
      </c>
      <c r="X36" s="1265"/>
      <c r="Y36" s="3416"/>
      <c r="Z36" s="1264">
        <f t="shared" si="12"/>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10" t="str">
        <f>A37</f>
        <v>成交单价</v>
      </c>
      <c r="Q37" s="3410"/>
      <c r="R37" s="3405">
        <f>E37</f>
        <v>0</v>
      </c>
      <c r="S37" s="3405"/>
      <c r="T37" s="3405">
        <f>G37</f>
        <v>0</v>
      </c>
      <c r="U37" s="3405"/>
      <c r="V37" s="3405">
        <f>I37</f>
        <v>0</v>
      </c>
      <c r="W37" s="340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7" t="str">
        <f>A39</f>
        <v>估价对象XX用房的比较价值（楼面单价，元/平方米）</v>
      </c>
      <c r="Q39" s="3408"/>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2024-9</v>
      </c>
      <c r="D48" s="1104">
        <f>EDATE(C48,-1)</f>
        <v>45505</v>
      </c>
      <c r="E48" s="1104">
        <f t="shared" ref="E48:O48" si="13">EDATE(D48,-1)</f>
        <v>45474</v>
      </c>
      <c r="F48" s="1104">
        <f t="shared" si="13"/>
        <v>45444</v>
      </c>
      <c r="G48" s="1104">
        <f t="shared" si="13"/>
        <v>45413</v>
      </c>
      <c r="H48" s="1104">
        <f t="shared" si="13"/>
        <v>45383</v>
      </c>
      <c r="I48" s="1104">
        <f t="shared" si="13"/>
        <v>45352</v>
      </c>
      <c r="J48" s="1104">
        <f t="shared" si="13"/>
        <v>45323</v>
      </c>
      <c r="K48" s="1104">
        <f t="shared" si="13"/>
        <v>45292</v>
      </c>
      <c r="L48" s="1104">
        <f t="shared" si="13"/>
        <v>45261</v>
      </c>
      <c r="M48" s="1104">
        <f t="shared" si="13"/>
        <v>45231</v>
      </c>
      <c r="N48" s="1104">
        <f t="shared" si="13"/>
        <v>45200</v>
      </c>
      <c r="O48" s="1104">
        <f t="shared" si="13"/>
        <v>45170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7"/>
      <c r="M5" s="2488"/>
      <c r="N5" s="2488"/>
      <c r="O5" s="2488"/>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7"/>
      <c r="M6" s="2488"/>
      <c r="N6" s="2488"/>
      <c r="O6" s="2488"/>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2"/>
      <c r="Q15" s="1263"/>
      <c r="R15" s="667"/>
      <c r="S15" s="668"/>
      <c r="T15" s="667"/>
      <c r="U15" s="668"/>
      <c r="V15" s="667"/>
      <c r="W15" s="668"/>
      <c r="X15" s="1265"/>
      <c r="Y15" s="341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2"/>
      <c r="Q17" s="1263"/>
      <c r="R17" s="667"/>
      <c r="S17" s="668"/>
      <c r="T17" s="667"/>
      <c r="U17" s="668"/>
      <c r="V17" s="667"/>
      <c r="W17" s="668"/>
      <c r="X17" s="1265"/>
      <c r="Y17" s="3412"/>
      <c r="Z17" s="1264"/>
      <c r="AA17" s="1264">
        <v>1</v>
      </c>
      <c r="AB17" s="1264">
        <v>1</v>
      </c>
      <c r="AC17" s="1264">
        <v>1</v>
      </c>
    </row>
    <row r="18" spans="1:29" ht="42.7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D18/F18</f>
        <v>1</v>
      </c>
      <c r="AB18" s="1264">
        <f>D18/H18</f>
        <v>1</v>
      </c>
      <c r="AC18" s="1264">
        <f>D18/J18</f>
        <v>1</v>
      </c>
    </row>
    <row r="19" spans="1:29" ht="15">
      <c r="A19" s="367"/>
      <c r="B19" s="586"/>
      <c r="C19" s="1755"/>
      <c r="D19" s="389"/>
      <c r="E19" s="1755"/>
      <c r="F19" s="392"/>
      <c r="G19" s="1755"/>
      <c r="H19" s="387"/>
      <c r="I19" s="386"/>
      <c r="J19" s="387"/>
      <c r="K19" s="1064"/>
      <c r="L19" s="2493"/>
      <c r="M19" s="2488"/>
      <c r="N19" s="2488"/>
      <c r="O19" s="2543"/>
      <c r="P19" s="3412"/>
      <c r="Q19" s="1263"/>
      <c r="R19" s="667"/>
      <c r="S19" s="668"/>
      <c r="T19" s="667"/>
      <c r="U19" s="668"/>
      <c r="V19" s="667"/>
      <c r="W19" s="668"/>
      <c r="X19" s="1265"/>
      <c r="Y19" s="341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2"/>
      <c r="Q24" s="1263">
        <f t="shared" ref="Q24:Q34" si="8">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2"/>
      <c r="Q25" s="530">
        <f t="shared" si="8"/>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8"/>
        <v>公共部分装修</v>
      </c>
      <c r="R26" s="667" t="s">
        <v>14</v>
      </c>
      <c r="S26" s="668">
        <f t="shared" ref="S26:S34" si="9">F26</f>
        <v>100</v>
      </c>
      <c r="T26" s="667" t="s">
        <v>14</v>
      </c>
      <c r="U26" s="668">
        <f t="shared" ref="U26:U34" si="10">H26</f>
        <v>100</v>
      </c>
      <c r="V26" s="667" t="s">
        <v>14</v>
      </c>
      <c r="W26" s="668">
        <f t="shared" ref="W26:W34" si="11">J26</f>
        <v>100</v>
      </c>
      <c r="X26" s="1265"/>
      <c r="Y26" s="3416" t="s">
        <v>1696</v>
      </c>
      <c r="Z26" s="1264" t="str">
        <f t="shared" ref="Z26:Z34" si="12">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6"/>
      <c r="Q27" s="531" t="str">
        <f t="shared" si="8"/>
        <v>成新率</v>
      </c>
      <c r="R27" s="669" t="s">
        <v>14</v>
      </c>
      <c r="S27" s="670" t="e">
        <f t="shared" si="9"/>
        <v>#N/A</v>
      </c>
      <c r="T27" s="669" t="s">
        <v>14</v>
      </c>
      <c r="U27" s="670" t="e">
        <f t="shared" si="10"/>
        <v>#N/A</v>
      </c>
      <c r="V27" s="669" t="s">
        <v>14</v>
      </c>
      <c r="W27" s="670" t="e">
        <f t="shared" si="11"/>
        <v>#N/A</v>
      </c>
      <c r="X27" s="671"/>
      <c r="Y27" s="3416"/>
      <c r="Z27" s="672" t="str">
        <f t="shared" si="12"/>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6"/>
      <c r="Q28" s="1263" t="str">
        <f t="shared" si="8"/>
        <v>物业等级</v>
      </c>
      <c r="R28" s="667" t="s">
        <v>14</v>
      </c>
      <c r="S28" s="668">
        <f t="shared" si="9"/>
        <v>100</v>
      </c>
      <c r="T28" s="667" t="s">
        <v>14</v>
      </c>
      <c r="U28" s="668">
        <f t="shared" si="10"/>
        <v>100</v>
      </c>
      <c r="V28" s="667" t="s">
        <v>14</v>
      </c>
      <c r="W28" s="668">
        <f t="shared" si="11"/>
        <v>100</v>
      </c>
      <c r="X28" s="1265"/>
      <c r="Y28" s="3416"/>
      <c r="Z28" s="1264" t="str">
        <f t="shared" si="12"/>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6"/>
      <c r="Q29" s="1263" t="str">
        <f t="shared" si="8"/>
        <v>有无电梯</v>
      </c>
      <c r="R29" s="667" t="s">
        <v>14</v>
      </c>
      <c r="S29" s="668">
        <f t="shared" si="9"/>
        <v>100</v>
      </c>
      <c r="T29" s="667" t="s">
        <v>14</v>
      </c>
      <c r="U29" s="668">
        <f t="shared" si="10"/>
        <v>100</v>
      </c>
      <c r="V29" s="667" t="s">
        <v>14</v>
      </c>
      <c r="W29" s="668">
        <f t="shared" si="11"/>
        <v>100</v>
      </c>
      <c r="X29" s="1265"/>
      <c r="Y29" s="3416"/>
      <c r="Z29" s="1264" t="str">
        <f t="shared" si="12"/>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6"/>
      <c r="Q30" s="1263" t="str">
        <f t="shared" si="8"/>
        <v>建筑面积</v>
      </c>
      <c r="R30" s="667" t="s">
        <v>14</v>
      </c>
      <c r="S30" s="668" t="e">
        <f t="shared" si="9"/>
        <v>#N/A</v>
      </c>
      <c r="T30" s="667" t="s">
        <v>14</v>
      </c>
      <c r="U30" s="668" t="e">
        <f t="shared" si="10"/>
        <v>#N/A</v>
      </c>
      <c r="V30" s="667" t="s">
        <v>14</v>
      </c>
      <c r="W30" s="668" t="e">
        <f t="shared" si="11"/>
        <v>#N/A</v>
      </c>
      <c r="X30" s="1265"/>
      <c r="Y30" s="3416"/>
      <c r="Z30" s="1264" t="str">
        <f t="shared" si="12"/>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6"/>
      <c r="Q31" s="530" t="str">
        <f t="shared" si="8"/>
        <v>是否封闭</v>
      </c>
      <c r="R31" s="664" t="s">
        <v>14</v>
      </c>
      <c r="S31" s="665">
        <f t="shared" si="9"/>
        <v>100</v>
      </c>
      <c r="T31" s="664" t="s">
        <v>14</v>
      </c>
      <c r="U31" s="665">
        <f t="shared" si="10"/>
        <v>100</v>
      </c>
      <c r="V31" s="664" t="s">
        <v>14</v>
      </c>
      <c r="W31" s="665">
        <f t="shared" si="11"/>
        <v>100</v>
      </c>
      <c r="X31" s="666"/>
      <c r="Y31" s="3416"/>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6" t="s">
        <v>1696</v>
      </c>
      <c r="Q32" s="1263">
        <f t="shared" si="8"/>
        <v>111</v>
      </c>
      <c r="R32" s="667" t="s">
        <v>14</v>
      </c>
      <c r="S32" s="668">
        <f t="shared" si="9"/>
        <v>100</v>
      </c>
      <c r="T32" s="667" t="s">
        <v>14</v>
      </c>
      <c r="U32" s="668">
        <f t="shared" si="10"/>
        <v>100</v>
      </c>
      <c r="V32" s="667" t="s">
        <v>14</v>
      </c>
      <c r="W32" s="668">
        <f t="shared" si="11"/>
        <v>100</v>
      </c>
      <c r="X32" s="1265"/>
      <c r="Y32" s="3416" t="s">
        <v>1696</v>
      </c>
      <c r="Z32" s="1264">
        <f t="shared" si="12"/>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6"/>
      <c r="Q33" s="1263">
        <f t="shared" si="8"/>
        <v>111</v>
      </c>
      <c r="R33" s="667" t="s">
        <v>14</v>
      </c>
      <c r="S33" s="668">
        <f t="shared" si="9"/>
        <v>100</v>
      </c>
      <c r="T33" s="667" t="s">
        <v>14</v>
      </c>
      <c r="U33" s="668">
        <f t="shared" si="10"/>
        <v>100</v>
      </c>
      <c r="V33" s="667" t="s">
        <v>14</v>
      </c>
      <c r="W33" s="668">
        <f t="shared" si="11"/>
        <v>100</v>
      </c>
      <c r="X33" s="1265"/>
      <c r="Y33" s="3416"/>
      <c r="Z33" s="1264">
        <f t="shared" si="12"/>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6"/>
      <c r="Q34" s="1263">
        <f t="shared" si="8"/>
        <v>111</v>
      </c>
      <c r="R34" s="667" t="s">
        <v>14</v>
      </c>
      <c r="S34" s="668">
        <f t="shared" si="9"/>
        <v>100</v>
      </c>
      <c r="T34" s="667" t="s">
        <v>14</v>
      </c>
      <c r="U34" s="668">
        <f t="shared" si="10"/>
        <v>100</v>
      </c>
      <c r="V34" s="667" t="s">
        <v>14</v>
      </c>
      <c r="W34" s="668">
        <f t="shared" si="11"/>
        <v>100</v>
      </c>
      <c r="X34" s="1265"/>
      <c r="Y34" s="3416"/>
      <c r="Z34" s="1264">
        <f t="shared" si="12"/>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7" t="str">
        <f>A37</f>
        <v>估价对象XX用房的比较价值（楼面单价，元/平方米）</v>
      </c>
      <c r="Q37" s="3408"/>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2024-9</v>
      </c>
      <c r="D46" s="1104">
        <f>EDATE(C46,-1)</f>
        <v>45505</v>
      </c>
      <c r="E46" s="1104">
        <f t="shared" ref="E46:O46" si="13">EDATE(D46,-1)</f>
        <v>45474</v>
      </c>
      <c r="F46" s="1104">
        <f t="shared" si="13"/>
        <v>45444</v>
      </c>
      <c r="G46" s="1104">
        <f t="shared" si="13"/>
        <v>45413</v>
      </c>
      <c r="H46" s="1104">
        <f t="shared" si="13"/>
        <v>45383</v>
      </c>
      <c r="I46" s="1104">
        <f t="shared" si="13"/>
        <v>45352</v>
      </c>
      <c r="J46" s="1104">
        <f t="shared" si="13"/>
        <v>45323</v>
      </c>
      <c r="K46" s="1104">
        <f t="shared" si="13"/>
        <v>45292</v>
      </c>
      <c r="L46" s="1104">
        <f t="shared" si="13"/>
        <v>45261</v>
      </c>
      <c r="M46" s="1104">
        <f t="shared" si="13"/>
        <v>45231</v>
      </c>
      <c r="N46" s="1104">
        <f t="shared" si="13"/>
        <v>45200</v>
      </c>
      <c r="O46" s="1104">
        <f t="shared" si="13"/>
        <v>45170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7"/>
      <c r="M5" s="2488"/>
      <c r="N5" s="2488"/>
      <c r="O5" s="2488"/>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7"/>
      <c r="M6" s="2488"/>
      <c r="N6" s="2488"/>
      <c r="O6" s="2488"/>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145</v>
      </c>
      <c r="G10" s="402"/>
      <c r="H10" s="119">
        <f>ROUND(100/'数据-取费表'!G16,0)</f>
        <v>145</v>
      </c>
      <c r="I10" s="402"/>
      <c r="J10" s="119">
        <f>ROUND(100/'数据-取费表'!G16,0)</f>
        <v>145</v>
      </c>
      <c r="K10" s="592"/>
      <c r="L10" s="2490"/>
      <c r="M10" s="2491"/>
      <c r="N10" s="2491"/>
      <c r="O10" s="2542"/>
      <c r="P10" s="3410"/>
      <c r="Q10" s="530" t="str">
        <f t="shared" si="6"/>
        <v>土地使用年限（年）</v>
      </c>
      <c r="R10" s="664" t="s">
        <v>14</v>
      </c>
      <c r="S10" s="665">
        <f t="shared" si="0"/>
        <v>145</v>
      </c>
      <c r="T10" s="664" t="s">
        <v>14</v>
      </c>
      <c r="U10" s="665">
        <f t="shared" si="1"/>
        <v>145</v>
      </c>
      <c r="V10" s="664" t="s">
        <v>14</v>
      </c>
      <c r="W10" s="665">
        <f t="shared" si="2"/>
        <v>145</v>
      </c>
      <c r="X10" s="666"/>
      <c r="Y10" s="3303"/>
      <c r="Z10" s="50" t="str">
        <f t="shared" si="7"/>
        <v>土地使用年限（年）</v>
      </c>
      <c r="AA10" s="50">
        <f t="shared" si="3"/>
        <v>0.68965517241379315</v>
      </c>
      <c r="AB10" s="50">
        <f t="shared" si="4"/>
        <v>0.68965517241379315</v>
      </c>
      <c r="AC10" s="50">
        <f t="shared" si="5"/>
        <v>0.68965517241379315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85.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2"/>
      <c r="Q20" s="1263"/>
      <c r="R20" s="667"/>
      <c r="S20" s="668"/>
      <c r="T20" s="667"/>
      <c r="U20" s="668"/>
      <c r="V20" s="667"/>
      <c r="W20" s="668"/>
      <c r="X20" s="1265"/>
      <c r="Y20" s="341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2"/>
      <c r="Q24" s="1263"/>
      <c r="R24" s="667"/>
      <c r="S24" s="668"/>
      <c r="T24" s="667"/>
      <c r="U24" s="668"/>
      <c r="V24" s="667"/>
      <c r="W24" s="668"/>
      <c r="X24" s="1265"/>
      <c r="Y24" s="341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2"/>
      <c r="Q26" s="1263"/>
      <c r="R26" s="667"/>
      <c r="S26" s="668"/>
      <c r="T26" s="667"/>
      <c r="U26" s="668"/>
      <c r="V26" s="667"/>
      <c r="W26" s="668"/>
      <c r="X26" s="1265"/>
      <c r="Y26" s="341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2"/>
      <c r="Q28" s="530"/>
      <c r="R28" s="664"/>
      <c r="S28" s="665"/>
      <c r="T28" s="664"/>
      <c r="U28" s="665"/>
      <c r="V28" s="664"/>
      <c r="W28" s="665"/>
      <c r="X28" s="666"/>
      <c r="Y28" s="3412"/>
      <c r="Z28" s="50"/>
      <c r="AA28" s="1264">
        <v>1</v>
      </c>
      <c r="AB28" s="1264">
        <v>1</v>
      </c>
      <c r="AC28" s="1264">
        <v>1</v>
      </c>
    </row>
    <row r="29" spans="1:29" s="102" customFormat="1" ht="42.7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2"/>
      <c r="Q29" s="530" t="str">
        <f>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2"/>
      <c r="Q31" s="1263" t="str">
        <f t="shared" si="8"/>
        <v>临街状况</v>
      </c>
      <c r="R31" s="667" t="s">
        <v>14</v>
      </c>
      <c r="S31" s="668">
        <f t="shared" ref="S31:S45" si="9">F31</f>
        <v>100</v>
      </c>
      <c r="T31" s="667" t="s">
        <v>14</v>
      </c>
      <c r="U31" s="668">
        <f t="shared" ref="U31:U45" si="10">H31</f>
        <v>100</v>
      </c>
      <c r="V31" s="667" t="s">
        <v>14</v>
      </c>
      <c r="W31" s="668">
        <f t="shared" ref="W31:W45" si="11">J31</f>
        <v>100</v>
      </c>
      <c r="X31" s="1265"/>
      <c r="Y31" s="3412"/>
      <c r="Z31" s="1264" t="str">
        <f t="shared" ref="Z31:Z45" si="12">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2"/>
      <c r="Q32" s="1263" t="str">
        <f t="shared" si="8"/>
        <v>毗邻道路的类型与等级</v>
      </c>
      <c r="R32" s="667" t="s">
        <v>14</v>
      </c>
      <c r="S32" s="668">
        <f t="shared" si="9"/>
        <v>100</v>
      </c>
      <c r="T32" s="667" t="s">
        <v>14</v>
      </c>
      <c r="U32" s="668">
        <f t="shared" si="10"/>
        <v>100</v>
      </c>
      <c r="V32" s="667" t="s">
        <v>14</v>
      </c>
      <c r="W32" s="668">
        <f t="shared" si="11"/>
        <v>100</v>
      </c>
      <c r="X32" s="1265"/>
      <c r="Y32" s="3412"/>
      <c r="Z32" s="1264" t="str">
        <f t="shared" si="12"/>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2"/>
      <c r="Q34" s="1263" t="str">
        <f t="shared" si="8"/>
        <v>土地级别</v>
      </c>
      <c r="R34" s="667" t="s">
        <v>14</v>
      </c>
      <c r="S34" s="668">
        <f t="shared" si="9"/>
        <v>100</v>
      </c>
      <c r="T34" s="667" t="s">
        <v>14</v>
      </c>
      <c r="U34" s="668">
        <f t="shared" si="10"/>
        <v>100</v>
      </c>
      <c r="V34" s="667" t="s">
        <v>14</v>
      </c>
      <c r="W34" s="668">
        <f t="shared" si="11"/>
        <v>100</v>
      </c>
      <c r="X34" s="1265"/>
      <c r="Y34" s="3412"/>
      <c r="Z34" s="1264" t="str">
        <f t="shared" si="12"/>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2"/>
      <c r="Q35" s="1263">
        <f t="shared" si="8"/>
        <v>111</v>
      </c>
      <c r="R35" s="667" t="s">
        <v>14</v>
      </c>
      <c r="S35" s="668">
        <f t="shared" si="9"/>
        <v>100</v>
      </c>
      <c r="T35" s="667" t="s">
        <v>14</v>
      </c>
      <c r="U35" s="668">
        <f t="shared" si="10"/>
        <v>100</v>
      </c>
      <c r="V35" s="667" t="s">
        <v>14</v>
      </c>
      <c r="W35" s="668">
        <f t="shared" si="11"/>
        <v>100</v>
      </c>
      <c r="X35" s="1265"/>
      <c r="Y35" s="3412"/>
      <c r="Z35" s="1264">
        <f t="shared" si="12"/>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9"/>
        <v>100</v>
      </c>
      <c r="T36" s="667" t="s">
        <v>14</v>
      </c>
      <c r="U36" s="668">
        <f t="shared" si="10"/>
        <v>100</v>
      </c>
      <c r="V36" s="667" t="s">
        <v>14</v>
      </c>
      <c r="W36" s="668">
        <f t="shared" si="11"/>
        <v>100</v>
      </c>
      <c r="X36" s="1265"/>
      <c r="Y36" s="3416" t="s">
        <v>1696</v>
      </c>
      <c r="Z36" s="1264">
        <f t="shared" si="12"/>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6"/>
      <c r="Q37" s="1263">
        <f t="shared" si="8"/>
        <v>111</v>
      </c>
      <c r="R37" s="669" t="s">
        <v>14</v>
      </c>
      <c r="S37" s="670">
        <f t="shared" si="9"/>
        <v>100</v>
      </c>
      <c r="T37" s="669" t="s">
        <v>14</v>
      </c>
      <c r="U37" s="670">
        <f t="shared" si="10"/>
        <v>100</v>
      </c>
      <c r="V37" s="669" t="s">
        <v>14</v>
      </c>
      <c r="W37" s="670">
        <f t="shared" si="11"/>
        <v>100</v>
      </c>
      <c r="X37" s="671"/>
      <c r="Y37" s="3416"/>
      <c r="Z37" s="672">
        <f t="shared" si="12"/>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6"/>
      <c r="Q38" s="1263" t="str">
        <f>B38</f>
        <v>宗地面积</v>
      </c>
      <c r="R38" s="667" t="s">
        <v>14</v>
      </c>
      <c r="S38" s="668" t="e">
        <f t="shared" si="9"/>
        <v>#N/A</v>
      </c>
      <c r="T38" s="667" t="s">
        <v>14</v>
      </c>
      <c r="U38" s="668" t="e">
        <f t="shared" si="10"/>
        <v>#N/A</v>
      </c>
      <c r="V38" s="667" t="s">
        <v>14</v>
      </c>
      <c r="W38" s="668" t="e">
        <f t="shared" si="11"/>
        <v>#N/A</v>
      </c>
      <c r="X38" s="1265"/>
      <c r="Y38" s="3416"/>
      <c r="Z38" s="1264" t="str">
        <f t="shared" si="12"/>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6"/>
      <c r="Q39" s="1263" t="str">
        <f t="shared" ref="Q39:Q45" si="13">B39</f>
        <v>宗地形状</v>
      </c>
      <c r="R39" s="667" t="s">
        <v>14</v>
      </c>
      <c r="S39" s="668">
        <f t="shared" si="9"/>
        <v>100</v>
      </c>
      <c r="T39" s="667" t="s">
        <v>14</v>
      </c>
      <c r="U39" s="668">
        <f t="shared" si="10"/>
        <v>100</v>
      </c>
      <c r="V39" s="667" t="s">
        <v>14</v>
      </c>
      <c r="W39" s="668">
        <f t="shared" si="11"/>
        <v>100</v>
      </c>
      <c r="X39" s="1265"/>
      <c r="Y39" s="3416"/>
      <c r="Z39" s="1264" t="str">
        <f t="shared" si="12"/>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6"/>
      <c r="Q40" s="1263" t="str">
        <f t="shared" si="13"/>
        <v>临街宽度及深度</v>
      </c>
      <c r="R40" s="667" t="s">
        <v>14</v>
      </c>
      <c r="S40" s="668">
        <f t="shared" si="9"/>
        <v>100</v>
      </c>
      <c r="T40" s="667" t="s">
        <v>14</v>
      </c>
      <c r="U40" s="668">
        <f t="shared" si="10"/>
        <v>100</v>
      </c>
      <c r="V40" s="667" t="s">
        <v>14</v>
      </c>
      <c r="W40" s="668">
        <f t="shared" si="11"/>
        <v>100</v>
      </c>
      <c r="X40" s="1265"/>
      <c r="Y40" s="3416"/>
      <c r="Z40" s="1264" t="str">
        <f t="shared" si="12"/>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6"/>
      <c r="Q41" s="1263" t="str">
        <f t="shared" si="13"/>
        <v>宗地开发程度</v>
      </c>
      <c r="R41" s="664" t="s">
        <v>14</v>
      </c>
      <c r="S41" s="665">
        <f t="shared" si="9"/>
        <v>100</v>
      </c>
      <c r="T41" s="664" t="s">
        <v>14</v>
      </c>
      <c r="U41" s="665">
        <f t="shared" si="10"/>
        <v>100</v>
      </c>
      <c r="V41" s="664" t="s">
        <v>14</v>
      </c>
      <c r="W41" s="665">
        <f t="shared" si="11"/>
        <v>100</v>
      </c>
      <c r="X41" s="666"/>
      <c r="Y41" s="3416"/>
      <c r="Z41" s="50" t="str">
        <f t="shared" si="12"/>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6" t="s">
        <v>1696</v>
      </c>
      <c r="Q42" s="1263" t="str">
        <f t="shared" si="13"/>
        <v>工程地质条件</v>
      </c>
      <c r="R42" s="667" t="s">
        <v>14</v>
      </c>
      <c r="S42" s="668">
        <f t="shared" si="9"/>
        <v>100</v>
      </c>
      <c r="T42" s="667" t="s">
        <v>14</v>
      </c>
      <c r="U42" s="668">
        <f t="shared" si="10"/>
        <v>100</v>
      </c>
      <c r="V42" s="667" t="s">
        <v>14</v>
      </c>
      <c r="W42" s="668">
        <f t="shared" si="11"/>
        <v>100</v>
      </c>
      <c r="X42" s="1265"/>
      <c r="Y42" s="3416" t="s">
        <v>1696</v>
      </c>
      <c r="Z42" s="1264" t="str">
        <f t="shared" si="12"/>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6"/>
      <c r="Q43" s="1263">
        <f t="shared" si="13"/>
        <v>111</v>
      </c>
      <c r="R43" s="667" t="s">
        <v>14</v>
      </c>
      <c r="S43" s="668">
        <f t="shared" si="9"/>
        <v>100</v>
      </c>
      <c r="T43" s="667" t="s">
        <v>14</v>
      </c>
      <c r="U43" s="668">
        <f t="shared" si="10"/>
        <v>100</v>
      </c>
      <c r="V43" s="667" t="s">
        <v>14</v>
      </c>
      <c r="W43" s="668">
        <f t="shared" si="11"/>
        <v>100</v>
      </c>
      <c r="X43" s="1265"/>
      <c r="Y43" s="3416"/>
      <c r="Z43" s="1264">
        <f t="shared" si="12"/>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6"/>
      <c r="Q44" s="1263">
        <f t="shared" si="13"/>
        <v>111</v>
      </c>
      <c r="R44" s="667" t="s">
        <v>14</v>
      </c>
      <c r="S44" s="668">
        <f t="shared" si="9"/>
        <v>100</v>
      </c>
      <c r="T44" s="667" t="s">
        <v>14</v>
      </c>
      <c r="U44" s="668">
        <f t="shared" si="10"/>
        <v>100</v>
      </c>
      <c r="V44" s="667" t="s">
        <v>14</v>
      </c>
      <c r="W44" s="668">
        <f t="shared" si="11"/>
        <v>100</v>
      </c>
      <c r="X44" s="1265"/>
      <c r="Y44" s="3416"/>
      <c r="Z44" s="1264">
        <f t="shared" si="12"/>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6"/>
      <c r="Q45" s="1263">
        <f t="shared" si="13"/>
        <v>111</v>
      </c>
      <c r="R45" s="669" t="s">
        <v>14</v>
      </c>
      <c r="S45" s="670">
        <f t="shared" si="9"/>
        <v>100</v>
      </c>
      <c r="T45" s="669" t="s">
        <v>14</v>
      </c>
      <c r="U45" s="670">
        <f t="shared" si="10"/>
        <v>100</v>
      </c>
      <c r="V45" s="669" t="s">
        <v>14</v>
      </c>
      <c r="W45" s="670">
        <f t="shared" si="11"/>
        <v>100</v>
      </c>
      <c r="X45" s="671"/>
      <c r="Y45" s="3416"/>
      <c r="Z45" s="672">
        <f t="shared" si="12"/>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405">
        <f>E46</f>
        <v>0</v>
      </c>
      <c r="S46" s="3405"/>
      <c r="T46" s="3405">
        <f>G46</f>
        <v>0</v>
      </c>
      <c r="U46" s="3405"/>
      <c r="V46" s="3405">
        <f>I46</f>
        <v>0</v>
      </c>
      <c r="W46" s="340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7" t="str">
        <f>A48</f>
        <v>估价对象XX用房的比较价值（楼面单价，元/平方米）</v>
      </c>
      <c r="Q48" s="3408"/>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11761.1</v>
      </c>
      <c r="F56" s="833" t="e">
        <f t="shared" ref="F56:F64" si="14">ROUND(B56*E56/10000,0)</f>
        <v>#DIV/0!</v>
      </c>
      <c r="G56" s="3392"/>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5">IF($C$55="北京市系数",I57,J57)</f>
        <v>0.5</v>
      </c>
      <c r="D57" s="891">
        <v>0.25</v>
      </c>
      <c r="E57" s="614"/>
      <c r="F57" s="833" t="e">
        <f t="shared" si="14"/>
        <v>#DIV/0!</v>
      </c>
      <c r="G57" s="2751" t="s">
        <v>1892</v>
      </c>
      <c r="H57" s="834" t="str">
        <f>项目基本情况!B37</f>
        <v>八级</v>
      </c>
      <c r="I57" s="838">
        <f>SUMIF(修正!A57:A68,H57,修正!B57:B68)</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6">ROUND($C$48*C58*D58,0)</f>
        <v>#DIV/0!</v>
      </c>
      <c r="C58" s="163">
        <f t="shared" si="15"/>
        <v>0.2</v>
      </c>
      <c r="D58" s="891">
        <v>0.25</v>
      </c>
      <c r="E58" s="614"/>
      <c r="F58" s="833" t="e">
        <f t="shared" si="14"/>
        <v>#DIV/0!</v>
      </c>
      <c r="G58" s="2752"/>
      <c r="H58" s="834" t="str">
        <f>项目基本情况!B37</f>
        <v>八级</v>
      </c>
      <c r="I58" s="838">
        <f>SUMIF(修正!A57:A68,H58,修正!C57:C68)</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6"/>
        <v>#DIV/0!</v>
      </c>
      <c r="C59" s="163">
        <f t="shared" si="15"/>
        <v>0.2</v>
      </c>
      <c r="D59" s="891">
        <v>0.25</v>
      </c>
      <c r="E59" s="614"/>
      <c r="F59" s="833" t="e">
        <f t="shared" si="14"/>
        <v>#DIV/0!</v>
      </c>
      <c r="G59" s="2752"/>
      <c r="H59" s="834" t="str">
        <f>项目基本情况!B37</f>
        <v>八级</v>
      </c>
      <c r="I59" s="838">
        <f>SUMIF(修正!A57:A68,H59,修正!D57:D68)</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6"/>
        <v>#DIV/0!</v>
      </c>
      <c r="C60" s="163">
        <f t="shared" si="15"/>
        <v>0</v>
      </c>
      <c r="D60" s="891">
        <v>0.25</v>
      </c>
      <c r="E60" s="209">
        <f>'数据-汇总表'!E11</f>
        <v>0</v>
      </c>
      <c r="F60" s="833" t="e">
        <f t="shared" si="14"/>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6"/>
        <v>#DIV/0!</v>
      </c>
      <c r="C61" s="163">
        <f t="shared" si="15"/>
        <v>0</v>
      </c>
      <c r="D61" s="891">
        <v>0.25</v>
      </c>
      <c r="E61" s="209">
        <f>'数据-汇总表'!E12</f>
        <v>0</v>
      </c>
      <c r="F61" s="833" t="e">
        <f t="shared" si="14"/>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6"/>
        <v>#DIV/0!</v>
      </c>
      <c r="C62" s="163">
        <f t="shared" si="15"/>
        <v>0</v>
      </c>
      <c r="D62" s="891">
        <v>0.25</v>
      </c>
      <c r="E62" s="209">
        <f>'数据-汇总表'!E13</f>
        <v>0</v>
      </c>
      <c r="F62" s="833" t="e">
        <f t="shared" si="14"/>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6"/>
        <v>#DIV/0!</v>
      </c>
      <c r="C63" s="163">
        <f t="shared" si="15"/>
        <v>0.1</v>
      </c>
      <c r="D63" s="891">
        <v>0.25</v>
      </c>
      <c r="E63" s="209">
        <f>'数据-汇总表'!E14</f>
        <v>0</v>
      </c>
      <c r="F63" s="833" t="e">
        <f t="shared" si="14"/>
        <v>#DIV/0!</v>
      </c>
      <c r="G63" s="1835" t="s">
        <v>1892</v>
      </c>
      <c r="H63" s="834" t="str">
        <f>项目基本情况!B37</f>
        <v>八级</v>
      </c>
      <c r="I63" s="838">
        <f>SUMIF(修正!A57:A68,H63,修正!G57:G68)</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6"/>
        <v>#DIV/0!</v>
      </c>
      <c r="C64" s="163">
        <f t="shared" si="15"/>
        <v>0</v>
      </c>
      <c r="D64" s="891">
        <v>0.25</v>
      </c>
      <c r="E64" s="209">
        <f>'数据-汇总表'!E15</f>
        <v>0</v>
      </c>
      <c r="F64" s="833" t="e">
        <f t="shared" si="14"/>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11761.1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7">EDATE(E67,-3)</f>
        <v>45261</v>
      </c>
      <c r="G67" s="656">
        <f t="shared" si="17"/>
        <v>45170</v>
      </c>
      <c r="H67" s="656">
        <f t="shared" si="17"/>
        <v>45078</v>
      </c>
      <c r="I67" s="656">
        <f t="shared" si="17"/>
        <v>44986</v>
      </c>
      <c r="J67" s="656">
        <f t="shared" si="17"/>
        <v>44896</v>
      </c>
      <c r="K67" s="656">
        <f t="shared" si="17"/>
        <v>44805</v>
      </c>
      <c r="L67" s="656">
        <f t="shared" si="17"/>
        <v>44713</v>
      </c>
      <c r="M67" s="656">
        <f t="shared" si="17"/>
        <v>44621</v>
      </c>
      <c r="N67" s="656">
        <f t="shared" si="17"/>
        <v>44531</v>
      </c>
      <c r="O67" s="656">
        <f t="shared" si="17"/>
        <v>44440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2024-3</v>
      </c>
      <c r="D69" s="1101" t="str">
        <f>YEAR(D67)&amp;"-"&amp;ROUNDUP(MONTH(D67)/3,0)</f>
        <v>2024-2</v>
      </c>
      <c r="E69" s="1101" t="str">
        <f t="shared" ref="E69:O69" si="18">YEAR(E67)&amp;"-"&amp;ROUNDUP(MONTH(E67)/3,0)</f>
        <v>2024-1</v>
      </c>
      <c r="F69" s="1101" t="str">
        <f t="shared" si="18"/>
        <v>2023-4</v>
      </c>
      <c r="G69" s="1101" t="str">
        <f t="shared" si="18"/>
        <v>2023-3</v>
      </c>
      <c r="H69" s="1101" t="str">
        <f t="shared" si="18"/>
        <v>2023-2</v>
      </c>
      <c r="I69" s="1101" t="str">
        <f t="shared" si="18"/>
        <v>2023-1</v>
      </c>
      <c r="J69" s="1101" t="str">
        <f t="shared" si="18"/>
        <v>2022-4</v>
      </c>
      <c r="K69" s="1101" t="str">
        <f t="shared" si="18"/>
        <v>2022-3</v>
      </c>
      <c r="L69" s="1101" t="str">
        <f t="shared" si="18"/>
        <v>2022-2</v>
      </c>
      <c r="M69" s="1101" t="str">
        <f t="shared" si="18"/>
        <v>2022-1</v>
      </c>
      <c r="N69" s="1101" t="str">
        <f t="shared" si="18"/>
        <v>2021-4</v>
      </c>
      <c r="O69" s="1101" t="str">
        <f t="shared" si="18"/>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19">D79&amp;"（含）"&amp;"-"&amp;E79</f>
        <v>（含）-</v>
      </c>
      <c r="E78" s="478" t="str">
        <f t="shared" si="19"/>
        <v>（含）-</v>
      </c>
      <c r="F78" s="478" t="str">
        <f t="shared" si="19"/>
        <v>（含）-</v>
      </c>
      <c r="G78" s="478" t="str">
        <f t="shared" si="19"/>
        <v>（含）-</v>
      </c>
      <c r="H78" s="478" t="str">
        <f t="shared" si="19"/>
        <v>（含）-</v>
      </c>
      <c r="I78" s="478" t="str">
        <f t="shared" si="19"/>
        <v>（含）-</v>
      </c>
      <c r="J78" s="478" t="str">
        <f t="shared" si="19"/>
        <v>（含）-</v>
      </c>
      <c r="K78" s="478" t="str">
        <f t="shared" si="19"/>
        <v>（含）-</v>
      </c>
      <c r="L78" s="478" t="str">
        <f t="shared" si="19"/>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0">IF($B$46="单位面积地价",C80+$K11,C80-$K11)</f>
        <v>100</v>
      </c>
      <c r="E80" s="475">
        <f t="shared" si="20"/>
        <v>100</v>
      </c>
      <c r="F80" s="475">
        <f t="shared" si="20"/>
        <v>100</v>
      </c>
      <c r="G80" s="475">
        <f t="shared" si="20"/>
        <v>100</v>
      </c>
      <c r="H80" s="475">
        <f t="shared" si="20"/>
        <v>100</v>
      </c>
      <c r="I80" s="475">
        <f t="shared" si="20"/>
        <v>100</v>
      </c>
      <c r="J80" s="475">
        <f t="shared" si="20"/>
        <v>100</v>
      </c>
      <c r="K80" s="475">
        <f t="shared" si="20"/>
        <v>100</v>
      </c>
      <c r="L80" s="475">
        <f t="shared" si="20"/>
        <v>100</v>
      </c>
      <c r="M80" s="475">
        <f t="shared" si="20"/>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2">C106-$K32</f>
        <v>100</v>
      </c>
      <c r="E106" s="475">
        <f t="shared" si="22"/>
        <v>100</v>
      </c>
      <c r="F106" s="475">
        <f t="shared" si="22"/>
        <v>100</v>
      </c>
      <c r="G106" s="475">
        <f t="shared" si="22"/>
        <v>100</v>
      </c>
      <c r="H106" s="475">
        <f t="shared" si="22"/>
        <v>100</v>
      </c>
      <c r="I106" s="475">
        <f t="shared" si="22"/>
        <v>100</v>
      </c>
      <c r="J106" s="475">
        <f t="shared" si="22"/>
        <v>100</v>
      </c>
      <c r="K106" s="475">
        <f t="shared" si="22"/>
        <v>100</v>
      </c>
      <c r="L106" s="475">
        <f t="shared" si="22"/>
        <v>100</v>
      </c>
      <c r="M106" s="475">
        <f t="shared" si="22"/>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4">D116&amp;"(含)"&amp;"-"&amp;E116</f>
        <v>(含)-</v>
      </c>
      <c r="E115" s="461" t="str">
        <f t="shared" si="24"/>
        <v>(含)-</v>
      </c>
      <c r="F115" s="461" t="str">
        <f t="shared" si="24"/>
        <v>(含)-</v>
      </c>
      <c r="G115" s="461" t="str">
        <f t="shared" si="24"/>
        <v>(含)-</v>
      </c>
      <c r="H115" s="461" t="str">
        <f t="shared" si="24"/>
        <v>(含)-</v>
      </c>
      <c r="I115" s="461" t="str">
        <f t="shared" si="24"/>
        <v>(含)-</v>
      </c>
      <c r="J115" s="461" t="str">
        <f t="shared" si="24"/>
        <v>(含)-</v>
      </c>
      <c r="K115" s="461" t="str">
        <f t="shared" si="24"/>
        <v>(含)-</v>
      </c>
      <c r="L115" s="461" t="str">
        <f t="shared" si="24"/>
        <v>(含)-</v>
      </c>
      <c r="M115" s="461" t="str">
        <f t="shared" si="24"/>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5">C119-$K39</f>
        <v>100</v>
      </c>
      <c r="E119" s="475">
        <f t="shared" si="25"/>
        <v>100</v>
      </c>
      <c r="F119" s="475">
        <f t="shared" si="25"/>
        <v>100</v>
      </c>
      <c r="G119" s="475">
        <f t="shared" si="25"/>
        <v>100</v>
      </c>
      <c r="H119" s="475">
        <f t="shared" si="25"/>
        <v>100</v>
      </c>
      <c r="I119" s="475">
        <f t="shared" si="25"/>
        <v>100</v>
      </c>
      <c r="J119" s="475">
        <f t="shared" si="25"/>
        <v>100</v>
      </c>
      <c r="K119" s="475">
        <f t="shared" si="25"/>
        <v>100</v>
      </c>
      <c r="L119" s="475">
        <f t="shared" si="25"/>
        <v>100</v>
      </c>
      <c r="M119" s="476">
        <f t="shared" si="25"/>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6">C121-$K40</f>
        <v>100</v>
      </c>
      <c r="E121" s="475">
        <f t="shared" si="26"/>
        <v>100</v>
      </c>
      <c r="F121" s="475">
        <f t="shared" si="26"/>
        <v>100</v>
      </c>
      <c r="G121" s="475">
        <f t="shared" si="26"/>
        <v>100</v>
      </c>
      <c r="H121" s="475">
        <f t="shared" si="26"/>
        <v>100</v>
      </c>
      <c r="I121" s="475">
        <f t="shared" si="26"/>
        <v>100</v>
      </c>
      <c r="J121" s="475">
        <f t="shared" si="26"/>
        <v>100</v>
      </c>
      <c r="K121" s="475">
        <f t="shared" si="26"/>
        <v>100</v>
      </c>
      <c r="L121" s="475">
        <f t="shared" si="26"/>
        <v>100</v>
      </c>
      <c r="M121" s="476">
        <f t="shared" si="26"/>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7">C123-$K41</f>
        <v>100</v>
      </c>
      <c r="E123" s="475">
        <f t="shared" si="27"/>
        <v>100</v>
      </c>
      <c r="F123" s="475">
        <f t="shared" si="27"/>
        <v>100</v>
      </c>
      <c r="G123" s="475">
        <f t="shared" si="27"/>
        <v>100</v>
      </c>
      <c r="H123" s="475">
        <f t="shared" si="27"/>
        <v>100</v>
      </c>
      <c r="I123" s="475">
        <f t="shared" si="27"/>
        <v>100</v>
      </c>
      <c r="J123" s="475">
        <f t="shared" si="27"/>
        <v>100</v>
      </c>
      <c r="K123" s="475">
        <f t="shared" si="27"/>
        <v>100</v>
      </c>
      <c r="L123" s="475">
        <f t="shared" si="27"/>
        <v>100</v>
      </c>
      <c r="M123" s="476">
        <f t="shared" si="27"/>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8">C125-$K42</f>
        <v>100</v>
      </c>
      <c r="E125" s="475">
        <f t="shared" si="28"/>
        <v>100</v>
      </c>
      <c r="F125" s="475">
        <f t="shared" si="28"/>
        <v>100</v>
      </c>
      <c r="G125" s="475">
        <f t="shared" si="28"/>
        <v>100</v>
      </c>
      <c r="H125" s="475">
        <f t="shared" si="28"/>
        <v>100</v>
      </c>
      <c r="I125" s="475">
        <f t="shared" si="28"/>
        <v>100</v>
      </c>
      <c r="J125" s="475">
        <f t="shared" si="28"/>
        <v>100</v>
      </c>
      <c r="K125" s="475">
        <f t="shared" si="28"/>
        <v>100</v>
      </c>
      <c r="L125" s="475">
        <f t="shared" si="28"/>
        <v>100</v>
      </c>
      <c r="M125" s="476">
        <f t="shared" si="28"/>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7"/>
      <c r="M5" s="2488"/>
      <c r="N5" s="2488"/>
      <c r="O5" s="2488"/>
      <c r="P5" s="3399"/>
      <c r="Q5" s="3400"/>
      <c r="R5" s="3382"/>
      <c r="S5" s="3383"/>
      <c r="T5" s="3382"/>
      <c r="U5" s="3383"/>
      <c r="V5" s="3405"/>
      <c r="W5" s="3405"/>
      <c r="X5" s="1265"/>
      <c r="Y5" s="3382"/>
      <c r="Z5" s="3383"/>
      <c r="AA5" s="3376"/>
      <c r="AB5" s="3376"/>
      <c r="AC5" s="3376"/>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45553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145</v>
      </c>
      <c r="G10" s="371"/>
      <c r="H10" s="119">
        <f>ROUND(100/'数据-取费表'!G16,0)</f>
        <v>145</v>
      </c>
      <c r="I10" s="371"/>
      <c r="J10" s="119">
        <f>ROUND(100/'数据-取费表'!G16,0)</f>
        <v>145</v>
      </c>
      <c r="K10" s="592"/>
      <c r="L10" s="2490"/>
      <c r="M10" s="2491"/>
      <c r="N10" s="2491"/>
      <c r="O10" s="2542"/>
      <c r="P10" s="3410"/>
      <c r="Q10" s="530" t="str">
        <f t="shared" si="6"/>
        <v>土地使用年限（年）</v>
      </c>
      <c r="R10" s="664" t="s">
        <v>14</v>
      </c>
      <c r="S10" s="665">
        <f t="shared" si="0"/>
        <v>145</v>
      </c>
      <c r="T10" s="664" t="s">
        <v>14</v>
      </c>
      <c r="U10" s="665">
        <f t="shared" si="1"/>
        <v>145</v>
      </c>
      <c r="V10" s="664" t="s">
        <v>14</v>
      </c>
      <c r="W10" s="665">
        <f t="shared" si="2"/>
        <v>145</v>
      </c>
      <c r="X10" s="666"/>
      <c r="Y10" s="3303"/>
      <c r="Z10" s="50" t="str">
        <f t="shared" si="7"/>
        <v>土地使用年限（年）</v>
      </c>
      <c r="AA10" s="50">
        <f t="shared" si="3"/>
        <v>0.68965517241379315</v>
      </c>
      <c r="AB10" s="50">
        <f t="shared" si="4"/>
        <v>0.68965517241379315</v>
      </c>
      <c r="AC10" s="50">
        <f t="shared" si="5"/>
        <v>0.68965517241379315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2"/>
      <c r="Q20" s="1263"/>
      <c r="R20" s="667"/>
      <c r="S20" s="668"/>
      <c r="T20" s="667"/>
      <c r="U20" s="668"/>
      <c r="V20" s="667"/>
      <c r="W20" s="668"/>
      <c r="X20" s="1265"/>
      <c r="Y20" s="341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2"/>
      <c r="Q24" s="530"/>
      <c r="R24" s="664"/>
      <c r="S24" s="665"/>
      <c r="T24" s="664"/>
      <c r="U24" s="665"/>
      <c r="V24" s="664"/>
      <c r="W24" s="665"/>
      <c r="X24" s="666"/>
      <c r="Y24" s="3412"/>
      <c r="Z24" s="50"/>
      <c r="AA24" s="50">
        <v>1</v>
      </c>
      <c r="AB24" s="50">
        <v>1</v>
      </c>
      <c r="AC24" s="50">
        <v>1</v>
      </c>
    </row>
    <row r="25" spans="1:29" s="102" customFormat="1" ht="42.7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2"/>
      <c r="Q25" s="530" t="str">
        <f>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2"/>
      <c r="Q27" s="1263" t="str">
        <f t="shared" si="8"/>
        <v>临街状况</v>
      </c>
      <c r="R27" s="667" t="s">
        <v>14</v>
      </c>
      <c r="S27" s="668">
        <f t="shared" ref="S27:S40" si="9">F27</f>
        <v>100</v>
      </c>
      <c r="T27" s="667" t="s">
        <v>14</v>
      </c>
      <c r="U27" s="668">
        <f t="shared" ref="U27:U40" si="10">H27</f>
        <v>100</v>
      </c>
      <c r="V27" s="667" t="s">
        <v>14</v>
      </c>
      <c r="W27" s="668">
        <f t="shared" ref="W27:W40" si="11">J27</f>
        <v>100</v>
      </c>
      <c r="X27" s="1265"/>
      <c r="Y27" s="3412"/>
      <c r="Z27" s="1264" t="str">
        <f t="shared" ref="Z27:Z40" si="12">Q27</f>
        <v>临街状况</v>
      </c>
      <c r="AA27" s="1264">
        <f t="shared" si="3"/>
        <v>1</v>
      </c>
      <c r="AB27" s="1264">
        <f t="shared" si="4"/>
        <v>1</v>
      </c>
      <c r="AC27" s="1264">
        <f t="shared" si="5"/>
        <v>1</v>
      </c>
    </row>
    <row r="28" spans="1:29" ht="28.5">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2"/>
      <c r="Q28" s="1263" t="str">
        <f t="shared" si="8"/>
        <v>毗邻道路的类型与等级</v>
      </c>
      <c r="R28" s="667" t="s">
        <v>14</v>
      </c>
      <c r="S28" s="668">
        <f t="shared" si="9"/>
        <v>100</v>
      </c>
      <c r="T28" s="667" t="s">
        <v>14</v>
      </c>
      <c r="U28" s="668">
        <f t="shared" si="10"/>
        <v>100</v>
      </c>
      <c r="V28" s="667" t="s">
        <v>14</v>
      </c>
      <c r="W28" s="668">
        <f t="shared" si="11"/>
        <v>100</v>
      </c>
      <c r="X28" s="1265"/>
      <c r="Y28" s="3412"/>
      <c r="Z28" s="1264" t="str">
        <f t="shared" si="12"/>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2"/>
      <c r="Q30" s="1263" t="str">
        <f t="shared" si="8"/>
        <v>土地级别</v>
      </c>
      <c r="R30" s="667" t="s">
        <v>14</v>
      </c>
      <c r="S30" s="668">
        <f t="shared" si="9"/>
        <v>100</v>
      </c>
      <c r="T30" s="667" t="s">
        <v>14</v>
      </c>
      <c r="U30" s="668">
        <f t="shared" si="10"/>
        <v>100</v>
      </c>
      <c r="V30" s="667" t="s">
        <v>14</v>
      </c>
      <c r="W30" s="668">
        <f t="shared" si="11"/>
        <v>100</v>
      </c>
      <c r="X30" s="1265"/>
      <c r="Y30" s="3412"/>
      <c r="Z30" s="1264" t="str">
        <f t="shared" si="12"/>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2"/>
      <c r="Q31" s="1263">
        <f t="shared" si="8"/>
        <v>111</v>
      </c>
      <c r="R31" s="667" t="s">
        <v>14</v>
      </c>
      <c r="S31" s="668">
        <f t="shared" si="9"/>
        <v>100</v>
      </c>
      <c r="T31" s="667" t="s">
        <v>14</v>
      </c>
      <c r="U31" s="668">
        <f t="shared" si="10"/>
        <v>100</v>
      </c>
      <c r="V31" s="667" t="s">
        <v>14</v>
      </c>
      <c r="W31" s="668">
        <f t="shared" si="11"/>
        <v>100</v>
      </c>
      <c r="X31" s="1265"/>
      <c r="Y31" s="3412"/>
      <c r="Z31" s="1264">
        <f t="shared" si="12"/>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9"/>
        <v>100</v>
      </c>
      <c r="T32" s="667" t="s">
        <v>14</v>
      </c>
      <c r="U32" s="668">
        <f t="shared" si="10"/>
        <v>100</v>
      </c>
      <c r="V32" s="667" t="s">
        <v>14</v>
      </c>
      <c r="W32" s="668">
        <f t="shared" si="11"/>
        <v>100</v>
      </c>
      <c r="X32" s="1265"/>
      <c r="Y32" s="3416" t="s">
        <v>1696</v>
      </c>
      <c r="Z32" s="1264">
        <f t="shared" si="12"/>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6"/>
      <c r="Q33" s="1263">
        <f t="shared" si="8"/>
        <v>111</v>
      </c>
      <c r="R33" s="669" t="s">
        <v>14</v>
      </c>
      <c r="S33" s="670">
        <f t="shared" si="9"/>
        <v>100</v>
      </c>
      <c r="T33" s="669" t="s">
        <v>14</v>
      </c>
      <c r="U33" s="670">
        <f t="shared" si="10"/>
        <v>100</v>
      </c>
      <c r="V33" s="669" t="s">
        <v>14</v>
      </c>
      <c r="W33" s="670">
        <f t="shared" si="11"/>
        <v>100</v>
      </c>
      <c r="X33" s="671"/>
      <c r="Y33" s="3416"/>
      <c r="Z33" s="672">
        <f t="shared" si="12"/>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6"/>
      <c r="Q34" s="1263" t="str">
        <f>B34</f>
        <v>宗地面积</v>
      </c>
      <c r="R34" s="667" t="s">
        <v>14</v>
      </c>
      <c r="S34" s="668" t="e">
        <f t="shared" si="9"/>
        <v>#N/A</v>
      </c>
      <c r="T34" s="667" t="s">
        <v>14</v>
      </c>
      <c r="U34" s="668" t="e">
        <f t="shared" si="10"/>
        <v>#N/A</v>
      </c>
      <c r="V34" s="667" t="s">
        <v>14</v>
      </c>
      <c r="W34" s="668" t="e">
        <f t="shared" si="11"/>
        <v>#N/A</v>
      </c>
      <c r="X34" s="1265"/>
      <c r="Y34" s="3416"/>
      <c r="Z34" s="1264" t="str">
        <f t="shared" si="12"/>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6"/>
      <c r="Q35" s="1263" t="str">
        <f t="shared" ref="Q35:Q40" si="13">B35</f>
        <v>宗地形状</v>
      </c>
      <c r="R35" s="667" t="s">
        <v>14</v>
      </c>
      <c r="S35" s="668">
        <f t="shared" si="9"/>
        <v>100</v>
      </c>
      <c r="T35" s="667" t="s">
        <v>14</v>
      </c>
      <c r="U35" s="668">
        <f t="shared" si="10"/>
        <v>100</v>
      </c>
      <c r="V35" s="667" t="s">
        <v>14</v>
      </c>
      <c r="W35" s="668">
        <f t="shared" si="11"/>
        <v>100</v>
      </c>
      <c r="X35" s="1265"/>
      <c r="Y35" s="3416"/>
      <c r="Z35" s="1264" t="str">
        <f t="shared" si="12"/>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6"/>
      <c r="Q36" s="1263" t="str">
        <f t="shared" si="13"/>
        <v>宗地开发程度</v>
      </c>
      <c r="R36" s="664" t="s">
        <v>14</v>
      </c>
      <c r="S36" s="665">
        <f t="shared" si="9"/>
        <v>100</v>
      </c>
      <c r="T36" s="664" t="s">
        <v>14</v>
      </c>
      <c r="U36" s="665">
        <f t="shared" si="10"/>
        <v>100</v>
      </c>
      <c r="V36" s="664" t="s">
        <v>14</v>
      </c>
      <c r="W36" s="665">
        <f t="shared" si="11"/>
        <v>100</v>
      </c>
      <c r="X36" s="666"/>
      <c r="Y36" s="3416"/>
      <c r="Z36" s="50" t="str">
        <f t="shared" si="12"/>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6" t="s">
        <v>1696</v>
      </c>
      <c r="Q37" s="1263" t="str">
        <f t="shared" si="13"/>
        <v>工程地质条件</v>
      </c>
      <c r="R37" s="667" t="s">
        <v>14</v>
      </c>
      <c r="S37" s="668">
        <f t="shared" si="9"/>
        <v>100</v>
      </c>
      <c r="T37" s="667" t="s">
        <v>14</v>
      </c>
      <c r="U37" s="668">
        <f t="shared" si="10"/>
        <v>100</v>
      </c>
      <c r="V37" s="667" t="s">
        <v>14</v>
      </c>
      <c r="W37" s="668">
        <f t="shared" si="11"/>
        <v>100</v>
      </c>
      <c r="X37" s="1265"/>
      <c r="Y37" s="3416" t="s">
        <v>1696</v>
      </c>
      <c r="Z37" s="1264" t="str">
        <f t="shared" si="12"/>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6"/>
      <c r="Q38" s="1263">
        <f t="shared" si="13"/>
        <v>111</v>
      </c>
      <c r="R38" s="667" t="s">
        <v>14</v>
      </c>
      <c r="S38" s="668">
        <f t="shared" si="9"/>
        <v>100</v>
      </c>
      <c r="T38" s="667" t="s">
        <v>14</v>
      </c>
      <c r="U38" s="668">
        <f t="shared" si="10"/>
        <v>100</v>
      </c>
      <c r="V38" s="667" t="s">
        <v>14</v>
      </c>
      <c r="W38" s="668">
        <f t="shared" si="11"/>
        <v>100</v>
      </c>
      <c r="X38" s="1265"/>
      <c r="Y38" s="3416"/>
      <c r="Z38" s="1264">
        <f t="shared" si="12"/>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6"/>
      <c r="Q39" s="1263">
        <f t="shared" si="13"/>
        <v>111</v>
      </c>
      <c r="R39" s="667" t="s">
        <v>14</v>
      </c>
      <c r="S39" s="668">
        <f t="shared" si="9"/>
        <v>100</v>
      </c>
      <c r="T39" s="667" t="s">
        <v>14</v>
      </c>
      <c r="U39" s="668">
        <f t="shared" si="10"/>
        <v>100</v>
      </c>
      <c r="V39" s="667" t="s">
        <v>14</v>
      </c>
      <c r="W39" s="668">
        <f t="shared" si="11"/>
        <v>100</v>
      </c>
      <c r="X39" s="1265"/>
      <c r="Y39" s="3416"/>
      <c r="Z39" s="1264">
        <f t="shared" si="12"/>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6"/>
      <c r="Q40" s="1263">
        <f t="shared" si="13"/>
        <v>111</v>
      </c>
      <c r="R40" s="669" t="s">
        <v>14</v>
      </c>
      <c r="S40" s="670">
        <f t="shared" si="9"/>
        <v>100</v>
      </c>
      <c r="T40" s="669" t="s">
        <v>14</v>
      </c>
      <c r="U40" s="670">
        <f t="shared" si="10"/>
        <v>100</v>
      </c>
      <c r="V40" s="669" t="s">
        <v>14</v>
      </c>
      <c r="W40" s="670">
        <f t="shared" si="11"/>
        <v>100</v>
      </c>
      <c r="X40" s="671"/>
      <c r="Y40" s="3416"/>
      <c r="Z40" s="672">
        <f t="shared" si="12"/>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405">
        <f>E41</f>
        <v>0</v>
      </c>
      <c r="S41" s="3405"/>
      <c r="T41" s="3405">
        <f>G41</f>
        <v>0</v>
      </c>
      <c r="U41" s="3405"/>
      <c r="V41" s="3405">
        <f>I41</f>
        <v>0</v>
      </c>
      <c r="W41" s="340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7" t="str">
        <f>A43</f>
        <v>估价对象XX用房的比较价值（楼面单价，元/平方米）</v>
      </c>
      <c r="Q43" s="3408"/>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11761.1</v>
      </c>
      <c r="F51" s="611" t="e">
        <f t="shared" ref="F51:F60" si="14">ROUND(B51*E51/10000,0)</f>
        <v>#DIV/0!</v>
      </c>
      <c r="G51" s="3392"/>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5">IF($C$50="北京市系数",I52,J52)</f>
        <v>0.5</v>
      </c>
      <c r="D52" s="891">
        <v>0.25</v>
      </c>
      <c r="E52" s="614"/>
      <c r="F52" s="611" t="e">
        <f t="shared" si="14"/>
        <v>#DIV/0!</v>
      </c>
      <c r="G52" s="2751" t="s">
        <v>1892</v>
      </c>
      <c r="H52" s="834" t="str">
        <f>项目基本情况!B37</f>
        <v>八级</v>
      </c>
      <c r="I52" s="727">
        <f>SUMIF(修正!A57:A68,H52,修正!B57:B68)</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6">ROUND($C$43*C53*D53,0)</f>
        <v>#DIV/0!</v>
      </c>
      <c r="C53" s="163">
        <f t="shared" si="15"/>
        <v>0.2</v>
      </c>
      <c r="D53" s="891">
        <v>0.25</v>
      </c>
      <c r="E53" s="614"/>
      <c r="F53" s="611" t="e">
        <f t="shared" si="14"/>
        <v>#DIV/0!</v>
      </c>
      <c r="G53" s="2752"/>
      <c r="H53" s="834" t="str">
        <f>项目基本情况!B37</f>
        <v>八级</v>
      </c>
      <c r="I53" s="727">
        <f>SUMIF(修正!A57:A68,H53,修正!C57:C68)</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6"/>
        <v>#DIV/0!</v>
      </c>
      <c r="C54" s="163">
        <f t="shared" si="15"/>
        <v>0.2</v>
      </c>
      <c r="D54" s="891">
        <v>0.25</v>
      </c>
      <c r="E54" s="614"/>
      <c r="F54" s="611" t="e">
        <f t="shared" si="14"/>
        <v>#DIV/0!</v>
      </c>
      <c r="G54" s="2752"/>
      <c r="H54" s="834" t="str">
        <f>项目基本情况!B37</f>
        <v>八级</v>
      </c>
      <c r="I54" s="727">
        <f>SUMIF(修正!A57:A68,H54,修正!D57:D68)</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6"/>
        <v>#DIV/0!</v>
      </c>
      <c r="C56" s="163">
        <f t="shared" si="15"/>
        <v>0</v>
      </c>
      <c r="D56" s="891">
        <v>0.25</v>
      </c>
      <c r="E56" s="209">
        <f>'数据-汇总表'!E11</f>
        <v>0</v>
      </c>
      <c r="F56" s="611" t="e">
        <f t="shared" si="14"/>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6"/>
        <v>#DIV/0!</v>
      </c>
      <c r="C57" s="163">
        <f t="shared" si="15"/>
        <v>0</v>
      </c>
      <c r="D57" s="891">
        <v>0.25</v>
      </c>
      <c r="E57" s="209">
        <f>'数据-汇总表'!E12</f>
        <v>0</v>
      </c>
      <c r="F57" s="611" t="e">
        <f t="shared" si="14"/>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6"/>
        <v>#DIV/0!</v>
      </c>
      <c r="C58" s="163">
        <f t="shared" si="15"/>
        <v>0</v>
      </c>
      <c r="D58" s="891">
        <v>0.25</v>
      </c>
      <c r="E58" s="209">
        <f>'数据-汇总表'!E13</f>
        <v>0</v>
      </c>
      <c r="F58" s="611" t="e">
        <f t="shared" si="14"/>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6"/>
        <v>#DIV/0!</v>
      </c>
      <c r="C59" s="163">
        <f t="shared" si="15"/>
        <v>0.1</v>
      </c>
      <c r="D59" s="891">
        <v>0.25</v>
      </c>
      <c r="E59" s="209">
        <f>'数据-汇总表'!E14</f>
        <v>0</v>
      </c>
      <c r="F59" s="611" t="e">
        <f t="shared" si="14"/>
        <v>#DIV/0!</v>
      </c>
      <c r="G59" s="1835" t="s">
        <v>1892</v>
      </c>
      <c r="H59" s="834" t="str">
        <f>项目基本情况!B37</f>
        <v>八级</v>
      </c>
      <c r="I59" s="727">
        <f>SUMIF(修正!A57:A68,H59,修正!G57:G68)</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6"/>
        <v>#DIV/0!</v>
      </c>
      <c r="C60" s="163">
        <f t="shared" si="15"/>
        <v>0</v>
      </c>
      <c r="D60" s="891">
        <v>0.25</v>
      </c>
      <c r="E60" s="209">
        <f>'数据-汇总表'!E15</f>
        <v>0</v>
      </c>
      <c r="F60" s="611" t="e">
        <f t="shared" si="14"/>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7">EDATE(E63,-3)</f>
        <v>45261</v>
      </c>
      <c r="G63" s="656">
        <f t="shared" si="17"/>
        <v>45170</v>
      </c>
      <c r="H63" s="656">
        <f t="shared" si="17"/>
        <v>45078</v>
      </c>
      <c r="I63" s="656">
        <f t="shared" si="17"/>
        <v>44986</v>
      </c>
      <c r="J63" s="656">
        <f t="shared" si="17"/>
        <v>44896</v>
      </c>
      <c r="K63" s="656">
        <f t="shared" si="17"/>
        <v>44805</v>
      </c>
      <c r="L63" s="656">
        <f t="shared" si="17"/>
        <v>44713</v>
      </c>
      <c r="M63" s="656">
        <f t="shared" si="17"/>
        <v>44621</v>
      </c>
      <c r="N63" s="656">
        <f t="shared" si="17"/>
        <v>44531</v>
      </c>
      <c r="O63" s="656">
        <f t="shared" si="17"/>
        <v>44440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2024-3</v>
      </c>
      <c r="D65" s="1101" t="str">
        <f t="shared" ref="D65:O65" si="18">YEAR(D63)&amp;"-"&amp;ROUNDUP(MONTH(D63)/3,0)</f>
        <v>2024-2</v>
      </c>
      <c r="E65" s="1101" t="str">
        <f t="shared" si="18"/>
        <v>2024-1</v>
      </c>
      <c r="F65" s="1101" t="str">
        <f t="shared" si="18"/>
        <v>2023-4</v>
      </c>
      <c r="G65" s="1101" t="str">
        <f t="shared" si="18"/>
        <v>2023-3</v>
      </c>
      <c r="H65" s="1101" t="str">
        <f t="shared" si="18"/>
        <v>2023-2</v>
      </c>
      <c r="I65" s="1101" t="str">
        <f t="shared" si="18"/>
        <v>2023-1</v>
      </c>
      <c r="J65" s="1101" t="str">
        <f t="shared" si="18"/>
        <v>2022-4</v>
      </c>
      <c r="K65" s="1101" t="str">
        <f t="shared" si="18"/>
        <v>2022-3</v>
      </c>
      <c r="L65" s="1101" t="str">
        <f t="shared" si="18"/>
        <v>2022-2</v>
      </c>
      <c r="M65" s="1101" t="str">
        <f t="shared" si="18"/>
        <v>2022-1</v>
      </c>
      <c r="N65" s="1101" t="str">
        <f t="shared" si="18"/>
        <v>2021-4</v>
      </c>
      <c r="O65" s="1101" t="str">
        <f t="shared" si="18"/>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6" t="str">
        <f t="shared" si="24"/>
        <v>(含)-</v>
      </c>
      <c r="L107" s="1246" t="str">
        <f t="shared" si="24"/>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1">
        <f t="shared" si="2"/>
        <v>100</v>
      </c>
      <c r="G6" s="1231">
        <f t="shared" si="2"/>
        <v>100</v>
      </c>
      <c r="H6" s="1231">
        <f t="shared" si="2"/>
        <v>100</v>
      </c>
      <c r="I6" s="1231">
        <f t="shared" si="2"/>
        <v>100</v>
      </c>
      <c r="J6" s="1231">
        <f t="shared" si="2"/>
        <v>100</v>
      </c>
      <c r="K6" s="1231">
        <f t="shared" si="2"/>
        <v>100</v>
      </c>
      <c r="L6" s="1231">
        <f t="shared" si="2"/>
        <v>100</v>
      </c>
      <c r="M6" s="1231">
        <f t="shared" si="2"/>
        <v>100</v>
      </c>
      <c r="N6" s="1231">
        <f t="shared" si="2"/>
        <v>100</v>
      </c>
      <c r="O6" s="1231">
        <f t="shared" si="2"/>
        <v>100</v>
      </c>
      <c r="P6" s="1231">
        <f t="shared" si="2"/>
        <v>100</v>
      </c>
      <c r="Q6" s="1231">
        <f t="shared" si="2"/>
        <v>100</v>
      </c>
      <c r="R6" s="1231">
        <f t="shared" si="2"/>
        <v>100</v>
      </c>
      <c r="S6" s="1231">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1">
        <f t="shared" si="3"/>
        <v>100</v>
      </c>
      <c r="G8" s="1231">
        <f t="shared" si="3"/>
        <v>100</v>
      </c>
      <c r="H8" s="1231">
        <f t="shared" si="3"/>
        <v>100</v>
      </c>
      <c r="I8" s="1231">
        <f t="shared" si="3"/>
        <v>100</v>
      </c>
      <c r="J8" s="1231">
        <f t="shared" si="3"/>
        <v>100</v>
      </c>
      <c r="K8" s="1231">
        <f t="shared" si="3"/>
        <v>100</v>
      </c>
      <c r="L8" s="1231">
        <f t="shared" si="3"/>
        <v>100</v>
      </c>
      <c r="M8" s="1231">
        <f t="shared" si="3"/>
        <v>100</v>
      </c>
      <c r="N8" s="1231">
        <f t="shared" si="3"/>
        <v>100</v>
      </c>
      <c r="O8" s="1231">
        <f t="shared" si="3"/>
        <v>100</v>
      </c>
      <c r="P8" s="1231">
        <f t="shared" si="3"/>
        <v>100</v>
      </c>
      <c r="Q8" s="1231">
        <f t="shared" si="3"/>
        <v>100</v>
      </c>
      <c r="R8" s="1231">
        <f t="shared" si="3"/>
        <v>100</v>
      </c>
      <c r="S8" s="1231">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40">
        <f t="shared" si="4"/>
        <v>100</v>
      </c>
      <c r="G10" s="1240">
        <f t="shared" si="4"/>
        <v>100</v>
      </c>
      <c r="H10" s="1240">
        <f t="shared" si="4"/>
        <v>100</v>
      </c>
      <c r="I10" s="1240">
        <f t="shared" si="4"/>
        <v>100</v>
      </c>
      <c r="J10" s="1240">
        <f t="shared" si="4"/>
        <v>100</v>
      </c>
      <c r="K10" s="1240">
        <f t="shared" si="4"/>
        <v>100</v>
      </c>
      <c r="L10" s="1240">
        <f t="shared" si="4"/>
        <v>100</v>
      </c>
      <c r="M10" s="1240">
        <f t="shared" si="4"/>
        <v>100</v>
      </c>
      <c r="N10" s="1240">
        <f t="shared" si="4"/>
        <v>100</v>
      </c>
      <c r="O10" s="1240">
        <f t="shared" si="4"/>
        <v>100</v>
      </c>
      <c r="P10" s="1240">
        <f t="shared" si="4"/>
        <v>100</v>
      </c>
      <c r="Q10" s="1240">
        <f t="shared" si="4"/>
        <v>100</v>
      </c>
      <c r="R10" s="1240">
        <f t="shared" si="4"/>
        <v>100</v>
      </c>
      <c r="S10" s="1240">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#VALUE!</v>
      </c>
      <c r="C2" s="1984" t="s">
        <v>2074</v>
      </c>
      <c r="D2" s="1984" t="s">
        <v>2075</v>
      </c>
      <c r="E2" s="2398">
        <f ca="1">SUMIF(E6:E13,"&lt;&gt;#ref!",E6:E13)</f>
        <v>904.7</v>
      </c>
      <c r="F2" s="2545"/>
      <c r="G2" s="2545"/>
      <c r="H2" s="2545"/>
      <c r="I2" s="2545"/>
      <c r="J2" s="2545"/>
      <c r="K2" s="2545"/>
      <c r="L2" s="2545"/>
      <c r="M2" s="2545"/>
      <c r="N2" s="2545"/>
      <c r="O2" s="2545"/>
      <c r="P2" s="2545"/>
    </row>
    <row r="3" spans="1:16" ht="15.75">
      <c r="A3" s="1984" t="s">
        <v>2076</v>
      </c>
      <c r="B3" s="2388" t="e">
        <f ca="1">ROUND(B2*10000/E2,0)</f>
        <v>#VALUE!</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#VALUE!</v>
      </c>
      <c r="C6" s="1984" t="s">
        <v>2074</v>
      </c>
      <c r="D6" s="2545"/>
      <c r="E6" s="2398">
        <f ca="1">SUMIF(INDIRECT("'"&amp;A6&amp;"'"&amp;"!C:C"),"建筑面积",INDIRECT("'"&amp;A6&amp;"'"&amp;"!D:D"))</f>
        <v>904.7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SUM(J8:J15)-J13-J14</f>
        <v>185</v>
      </c>
      <c r="K17" s="2766">
        <f>SUM(K8:K15)-K13-K14</f>
        <v>185</v>
      </c>
      <c r="L17" s="2766">
        <f>SUM(L8:L15)-L13-L14</f>
        <v>185</v>
      </c>
      <c r="M17" s="2766">
        <f>SUM(M8:M15)-M13-M14</f>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57" t="s">
        <v>2607</v>
      </c>
      <c r="B20" s="3450" t="s">
        <v>2628</v>
      </c>
      <c r="C20" s="2843" t="s">
        <v>2439</v>
      </c>
      <c r="D20" s="2844"/>
      <c r="E20" s="2845">
        <v>1</v>
      </c>
      <c r="F20" s="2846" t="s">
        <v>2440</v>
      </c>
      <c r="G20" s="2846"/>
    </row>
    <row r="21" spans="1:13" ht="19.5" customHeight="1">
      <c r="A21" s="3458"/>
      <c r="B21" s="3451"/>
      <c r="C21" s="2847" t="s">
        <v>2441</v>
      </c>
      <c r="D21" s="2848"/>
      <c r="E21" s="2849">
        <v>1</v>
      </c>
      <c r="F21" s="2846" t="s">
        <v>2442</v>
      </c>
      <c r="G21" s="2846"/>
    </row>
    <row r="22" spans="1:13" ht="19.5" customHeight="1">
      <c r="A22" s="3458"/>
      <c r="B22" s="3451"/>
      <c r="C22" s="2847" t="s">
        <v>2443</v>
      </c>
      <c r="D22" s="2848"/>
      <c r="E22" s="2849">
        <v>0.9</v>
      </c>
      <c r="F22" s="2846" t="s">
        <v>2444</v>
      </c>
      <c r="G22" s="2846"/>
    </row>
    <row r="23" spans="1:13" ht="19.5" customHeight="1">
      <c r="A23" s="3458"/>
      <c r="B23" s="3451"/>
      <c r="C23" s="2847" t="s">
        <v>2445</v>
      </c>
      <c r="D23" s="2848"/>
      <c r="E23" s="2849">
        <v>0.9</v>
      </c>
      <c r="F23" s="2846" t="s">
        <v>2446</v>
      </c>
      <c r="G23" s="2846"/>
    </row>
    <row r="24" spans="1:13" ht="19.5" customHeight="1">
      <c r="A24" s="3458"/>
      <c r="B24" s="3451"/>
      <c r="C24" s="2847" t="s">
        <v>2447</v>
      </c>
      <c r="D24" s="2848"/>
      <c r="E24" s="2849">
        <v>0.8</v>
      </c>
      <c r="F24" s="2846" t="s">
        <v>2448</v>
      </c>
      <c r="G24" s="2846"/>
    </row>
    <row r="25" spans="1:13" ht="19.5" customHeight="1" thickBot="1">
      <c r="A25" s="3459"/>
      <c r="B25" s="3452"/>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53" t="s">
        <v>2631</v>
      </c>
      <c r="B27" s="3450" t="s">
        <v>2612</v>
      </c>
      <c r="C27" s="2843" t="s">
        <v>2452</v>
      </c>
      <c r="D27" s="2844"/>
      <c r="E27" s="2845">
        <v>1</v>
      </c>
      <c r="F27" s="2846" t="s">
        <v>2453</v>
      </c>
      <c r="G27" s="2846"/>
    </row>
    <row r="28" spans="1:13" ht="19.5" customHeight="1">
      <c r="A28" s="3454"/>
      <c r="B28" s="3451"/>
      <c r="C28" s="2847" t="s">
        <v>2454</v>
      </c>
      <c r="D28" s="2848"/>
      <c r="E28" s="2849">
        <v>1</v>
      </c>
      <c r="F28" s="2846" t="s">
        <v>2455</v>
      </c>
      <c r="G28" s="2846"/>
    </row>
    <row r="29" spans="1:13" ht="19.5" customHeight="1">
      <c r="A29" s="3454"/>
      <c r="B29" s="3451"/>
      <c r="C29" s="2847" t="s">
        <v>2456</v>
      </c>
      <c r="D29" s="2848"/>
      <c r="E29" s="2849">
        <v>0.8</v>
      </c>
      <c r="F29" s="2846" t="s">
        <v>2457</v>
      </c>
      <c r="G29" s="2846"/>
    </row>
    <row r="30" spans="1:13" ht="19.5" customHeight="1">
      <c r="A30" s="3454"/>
      <c r="B30" s="3451"/>
      <c r="C30" s="2847" t="s">
        <v>2458</v>
      </c>
      <c r="D30" s="2848"/>
      <c r="E30" s="2849">
        <v>0.8</v>
      </c>
      <c r="F30" s="2846" t="s">
        <v>2459</v>
      </c>
      <c r="G30" s="2846"/>
    </row>
    <row r="31" spans="1:13" ht="19.5" customHeight="1">
      <c r="A31" s="3454"/>
      <c r="B31" s="3451"/>
      <c r="C31" s="2847" t="s">
        <v>2460</v>
      </c>
      <c r="D31" s="2848"/>
      <c r="E31" s="2849">
        <v>0.8</v>
      </c>
      <c r="F31" s="2846" t="s">
        <v>2461</v>
      </c>
      <c r="G31" s="2846"/>
    </row>
    <row r="32" spans="1:13" ht="19.5" customHeight="1">
      <c r="A32" s="3454"/>
      <c r="B32" s="3451"/>
      <c r="C32" s="2847" t="s">
        <v>2462</v>
      </c>
      <c r="D32" s="2848"/>
      <c r="E32" s="2849">
        <v>0.7</v>
      </c>
      <c r="F32" s="2846" t="s">
        <v>2463</v>
      </c>
      <c r="G32" s="2846"/>
    </row>
    <row r="33" spans="1:7" ht="19.5" customHeight="1">
      <c r="A33" s="3454"/>
      <c r="B33" s="3451"/>
      <c r="C33" s="2847" t="s">
        <v>2464</v>
      </c>
      <c r="D33" s="2848"/>
      <c r="E33" s="2849">
        <v>0.8</v>
      </c>
      <c r="F33" s="2846" t="s">
        <v>2465</v>
      </c>
      <c r="G33" s="2846"/>
    </row>
    <row r="34" spans="1:7" ht="19.5" customHeight="1">
      <c r="A34" s="3454"/>
      <c r="B34" s="3451"/>
      <c r="C34" s="2847" t="s">
        <v>2466</v>
      </c>
      <c r="D34" s="2848"/>
      <c r="E34" s="2849">
        <v>0.6</v>
      </c>
      <c r="F34" s="2846" t="s">
        <v>2467</v>
      </c>
      <c r="G34" s="2846"/>
    </row>
    <row r="35" spans="1:7" ht="19.5" customHeight="1">
      <c r="A35" s="3454"/>
      <c r="B35" s="3451"/>
      <c r="C35" s="2847" t="s">
        <v>2468</v>
      </c>
      <c r="D35" s="2848"/>
      <c r="E35" s="2849">
        <v>0.2</v>
      </c>
      <c r="F35" s="2846" t="s">
        <v>2469</v>
      </c>
      <c r="G35" s="2846"/>
    </row>
    <row r="36" spans="1:7" ht="19.5" customHeight="1">
      <c r="A36" s="3454"/>
      <c r="B36" s="3451"/>
      <c r="C36" s="2847" t="s">
        <v>2470</v>
      </c>
      <c r="D36" s="2848"/>
      <c r="E36" s="2849">
        <v>0.2</v>
      </c>
      <c r="F36" s="2846" t="s">
        <v>2471</v>
      </c>
      <c r="G36" s="2846"/>
    </row>
    <row r="37" spans="1:7" ht="19.5" customHeight="1">
      <c r="A37" s="3454"/>
      <c r="B37" s="3456" t="s">
        <v>2632</v>
      </c>
      <c r="C37" s="2847" t="s">
        <v>2472</v>
      </c>
      <c r="D37" s="2848"/>
      <c r="E37" s="2849">
        <v>0.6</v>
      </c>
      <c r="F37" s="2846" t="s">
        <v>2473</v>
      </c>
      <c r="G37" s="2846"/>
    </row>
    <row r="38" spans="1:7" ht="19.5" customHeight="1">
      <c r="A38" s="3454"/>
      <c r="B38" s="3451"/>
      <c r="C38" s="2847" t="s">
        <v>2474</v>
      </c>
      <c r="D38" s="2848"/>
      <c r="E38" s="2849">
        <v>0.6</v>
      </c>
      <c r="F38" s="2846" t="s">
        <v>2475</v>
      </c>
      <c r="G38" s="2846"/>
    </row>
    <row r="39" spans="1:7" ht="19.5" customHeight="1" thickBot="1">
      <c r="A39" s="3455"/>
      <c r="B39" s="3452"/>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57" t="s">
        <v>2610</v>
      </c>
      <c r="B41" s="3450" t="s">
        <v>2634</v>
      </c>
      <c r="C41" s="2843" t="s">
        <v>2479</v>
      </c>
      <c r="D41" s="2844"/>
      <c r="E41" s="2845">
        <v>1</v>
      </c>
      <c r="F41" s="2846" t="s">
        <v>2480</v>
      </c>
      <c r="G41" s="2846"/>
    </row>
    <row r="42" spans="1:7" ht="19.5" customHeight="1">
      <c r="A42" s="3458"/>
      <c r="B42" s="3451"/>
      <c r="C42" s="2847" t="s">
        <v>2481</v>
      </c>
      <c r="D42" s="2848"/>
      <c r="E42" s="2849">
        <v>1</v>
      </c>
      <c r="F42" s="2846" t="s">
        <v>2482</v>
      </c>
      <c r="G42" s="2846"/>
    </row>
    <row r="43" spans="1:7" ht="19.5" customHeight="1">
      <c r="A43" s="3458"/>
      <c r="B43" s="3460"/>
      <c r="C43" s="2847" t="s">
        <v>2483</v>
      </c>
      <c r="D43" s="2848"/>
      <c r="E43" s="2849">
        <v>1.5</v>
      </c>
      <c r="F43" s="2846" t="s">
        <v>2484</v>
      </c>
      <c r="G43" s="2846"/>
    </row>
    <row r="44" spans="1:7" ht="19.5" customHeight="1">
      <c r="A44" s="3458"/>
      <c r="B44" s="2858" t="s">
        <v>2635</v>
      </c>
      <c r="C44" s="2847" t="s">
        <v>2636</v>
      </c>
      <c r="D44" s="2848"/>
      <c r="E44" s="2849">
        <v>2</v>
      </c>
      <c r="F44" s="2846" t="s">
        <v>2485</v>
      </c>
      <c r="G44" s="2846"/>
    </row>
    <row r="45" spans="1:7" ht="19.5" customHeight="1">
      <c r="A45" s="3458"/>
      <c r="B45" s="3456" t="s">
        <v>2637</v>
      </c>
      <c r="C45" s="2847" t="s">
        <v>2486</v>
      </c>
      <c r="D45" s="2848"/>
      <c r="E45" s="2849">
        <v>1</v>
      </c>
      <c r="F45" s="2846" t="s">
        <v>2487</v>
      </c>
      <c r="G45" s="2846"/>
    </row>
    <row r="46" spans="1:7" ht="19.5" customHeight="1">
      <c r="A46" s="3458"/>
      <c r="B46" s="3451"/>
      <c r="C46" s="2847" t="s">
        <v>2488</v>
      </c>
      <c r="D46" s="2848"/>
      <c r="E46" s="2849">
        <v>1</v>
      </c>
      <c r="F46" s="2846" t="s">
        <v>2489</v>
      </c>
      <c r="G46" s="2846"/>
    </row>
    <row r="47" spans="1:7" ht="19.5" customHeight="1">
      <c r="A47" s="3458"/>
      <c r="B47" s="3451"/>
      <c r="C47" s="2847" t="s">
        <v>2490</v>
      </c>
      <c r="D47" s="2848"/>
      <c r="E47" s="2849">
        <v>1</v>
      </c>
      <c r="F47" s="2846" t="s">
        <v>2491</v>
      </c>
      <c r="G47" s="2846"/>
    </row>
    <row r="48" spans="1:7" ht="19.5" customHeight="1">
      <c r="A48" s="3458"/>
      <c r="B48" s="3451"/>
      <c r="C48" s="2847" t="s">
        <v>2492</v>
      </c>
      <c r="D48" s="2848"/>
      <c r="E48" s="2849">
        <v>1</v>
      </c>
      <c r="F48" s="2846" t="s">
        <v>2493</v>
      </c>
      <c r="G48" s="2846"/>
    </row>
    <row r="49" spans="1:7" ht="19.5" customHeight="1">
      <c r="A49" s="3458"/>
      <c r="B49" s="3451"/>
      <c r="C49" s="2847" t="s">
        <v>2494</v>
      </c>
      <c r="D49" s="2848"/>
      <c r="E49" s="2849">
        <v>1</v>
      </c>
      <c r="F49" s="2846" t="s">
        <v>2495</v>
      </c>
      <c r="G49" s="2846"/>
    </row>
    <row r="50" spans="1:7" ht="19.5" customHeight="1">
      <c r="A50" s="3458"/>
      <c r="B50" s="3451"/>
      <c r="C50" s="2847" t="s">
        <v>2496</v>
      </c>
      <c r="D50" s="2848"/>
      <c r="E50" s="2849">
        <v>1</v>
      </c>
      <c r="F50" s="2846" t="s">
        <v>2497</v>
      </c>
      <c r="G50" s="2846"/>
    </row>
    <row r="51" spans="1:7" ht="19.5" customHeight="1" thickBot="1">
      <c r="A51" s="3459"/>
      <c r="B51" s="3452"/>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56" t="s">
        <v>2651</v>
      </c>
      <c r="C73" s="2832" t="s">
        <v>2652</v>
      </c>
      <c r="D73" s="2832" t="s">
        <v>2653</v>
      </c>
      <c r="E73" s="2858">
        <v>0.2</v>
      </c>
      <c r="F73" s="2858">
        <v>25</v>
      </c>
    </row>
    <row r="74" spans="1:7" ht="24">
      <c r="A74" s="2858">
        <v>2</v>
      </c>
      <c r="B74" s="3451"/>
      <c r="C74" s="2832" t="s">
        <v>2654</v>
      </c>
      <c r="D74" s="2832" t="s">
        <v>2655</v>
      </c>
      <c r="E74" s="2858">
        <v>0.2</v>
      </c>
      <c r="F74" s="2858">
        <v>25</v>
      </c>
    </row>
    <row r="75" spans="1:7" ht="24">
      <c r="A75" s="2858">
        <v>3</v>
      </c>
      <c r="B75" s="3451"/>
      <c r="C75" s="2832" t="s">
        <v>2656</v>
      </c>
      <c r="D75" s="2832" t="s">
        <v>2657</v>
      </c>
      <c r="E75" s="2858">
        <v>0.2</v>
      </c>
      <c r="F75" s="2858">
        <v>25</v>
      </c>
    </row>
    <row r="76" spans="1:7" ht="13.5">
      <c r="A76" s="2858">
        <v>4</v>
      </c>
      <c r="B76" s="3451"/>
      <c r="C76" s="2832" t="s">
        <v>2658</v>
      </c>
      <c r="D76" s="2832" t="s">
        <v>2659</v>
      </c>
      <c r="E76" s="2858">
        <v>0.15</v>
      </c>
      <c r="F76" s="2858">
        <v>20</v>
      </c>
    </row>
    <row r="77" spans="1:7" ht="24">
      <c r="A77" s="2858">
        <v>5</v>
      </c>
      <c r="B77" s="3451"/>
      <c r="C77" s="2832" t="s">
        <v>2660</v>
      </c>
      <c r="D77" s="2832" t="s">
        <v>2661</v>
      </c>
      <c r="E77" s="2858">
        <v>0.15</v>
      </c>
      <c r="F77" s="2858">
        <v>20</v>
      </c>
    </row>
    <row r="78" spans="1:7" ht="24">
      <c r="A78" s="2858">
        <v>6</v>
      </c>
      <c r="B78" s="3451"/>
      <c r="C78" s="2832" t="s">
        <v>2662</v>
      </c>
      <c r="D78" s="2832" t="s">
        <v>2663</v>
      </c>
      <c r="E78" s="2858">
        <v>0.15</v>
      </c>
      <c r="F78" s="2858">
        <v>20</v>
      </c>
    </row>
    <row r="79" spans="1:7" ht="24">
      <c r="A79" s="2858">
        <v>7</v>
      </c>
      <c r="B79" s="3451"/>
      <c r="C79" s="2832" t="s">
        <v>2664</v>
      </c>
      <c r="D79" s="2832" t="s">
        <v>2665</v>
      </c>
      <c r="E79" s="2858">
        <v>0.15</v>
      </c>
      <c r="F79" s="2858">
        <v>20</v>
      </c>
    </row>
    <row r="80" spans="1:7" ht="24">
      <c r="A80" s="2858">
        <v>8</v>
      </c>
      <c r="B80" s="3451"/>
      <c r="C80" s="2832" t="s">
        <v>2666</v>
      </c>
      <c r="D80" s="2832" t="s">
        <v>2667</v>
      </c>
      <c r="E80" s="2858">
        <v>0.1</v>
      </c>
      <c r="F80" s="2858">
        <v>15</v>
      </c>
    </row>
    <row r="81" spans="1:6" ht="24">
      <c r="A81" s="2858">
        <v>9</v>
      </c>
      <c r="B81" s="3451"/>
      <c r="C81" s="2832" t="s">
        <v>2668</v>
      </c>
      <c r="D81" s="2832" t="s">
        <v>2669</v>
      </c>
      <c r="E81" s="2858">
        <v>0.1</v>
      </c>
      <c r="F81" s="2858">
        <v>15</v>
      </c>
    </row>
    <row r="82" spans="1:6" ht="24">
      <c r="A82" s="2858">
        <v>10</v>
      </c>
      <c r="B82" s="3451"/>
      <c r="C82" s="2832" t="s">
        <v>2670</v>
      </c>
      <c r="D82" s="2832" t="s">
        <v>2671</v>
      </c>
      <c r="E82" s="2858">
        <v>0.1</v>
      </c>
      <c r="F82" s="2858">
        <v>15</v>
      </c>
    </row>
    <row r="83" spans="1:6" ht="24">
      <c r="A83" s="2858">
        <v>11</v>
      </c>
      <c r="B83" s="3451"/>
      <c r="C83" s="2832" t="s">
        <v>2672</v>
      </c>
      <c r="D83" s="2832" t="s">
        <v>2673</v>
      </c>
      <c r="E83" s="2858">
        <v>0.1</v>
      </c>
      <c r="F83" s="2858">
        <v>15</v>
      </c>
    </row>
    <row r="84" spans="1:6" ht="24">
      <c r="A84" s="2858">
        <v>12</v>
      </c>
      <c r="B84" s="3451"/>
      <c r="C84" s="2832" t="s">
        <v>2674</v>
      </c>
      <c r="D84" s="2832" t="s">
        <v>2675</v>
      </c>
      <c r="E84" s="2858">
        <v>0.1</v>
      </c>
      <c r="F84" s="2858">
        <v>15</v>
      </c>
    </row>
    <row r="85" spans="1:6" ht="13.5">
      <c r="A85" s="2858">
        <v>13</v>
      </c>
      <c r="B85" s="3451"/>
      <c r="C85" s="2832" t="s">
        <v>2676</v>
      </c>
      <c r="D85" s="2832" t="s">
        <v>2677</v>
      </c>
      <c r="E85" s="2858">
        <v>0.1</v>
      </c>
      <c r="F85" s="2858">
        <v>15</v>
      </c>
    </row>
    <row r="86" spans="1:6" ht="13.5">
      <c r="A86" s="2858">
        <v>14</v>
      </c>
      <c r="B86" s="3451"/>
      <c r="C86" s="2832" t="s">
        <v>2678</v>
      </c>
      <c r="D86" s="2832" t="s">
        <v>2679</v>
      </c>
      <c r="E86" s="2858">
        <v>0.1</v>
      </c>
      <c r="F86" s="2858">
        <v>15</v>
      </c>
    </row>
    <row r="87" spans="1:6" ht="13.5">
      <c r="A87" s="2858">
        <v>15</v>
      </c>
      <c r="B87" s="3451"/>
      <c r="C87" s="2832" t="s">
        <v>2680</v>
      </c>
      <c r="D87" s="2832" t="s">
        <v>2681</v>
      </c>
      <c r="E87" s="2858">
        <v>0.1</v>
      </c>
      <c r="F87" s="2858">
        <v>15</v>
      </c>
    </row>
    <row r="88" spans="1:6" ht="24">
      <c r="A88" s="2858">
        <v>16</v>
      </c>
      <c r="B88" s="3451"/>
      <c r="C88" s="2832" t="s">
        <v>2682</v>
      </c>
      <c r="D88" s="2832" t="s">
        <v>2683</v>
      </c>
      <c r="E88" s="2858">
        <v>0.1</v>
      </c>
      <c r="F88" s="2858">
        <v>15</v>
      </c>
    </row>
    <row r="89" spans="1:6" ht="24">
      <c r="A89" s="2858">
        <v>17</v>
      </c>
      <c r="B89" s="3460"/>
      <c r="C89" s="2832" t="s">
        <v>2684</v>
      </c>
      <c r="D89" s="2832" t="s">
        <v>2685</v>
      </c>
      <c r="E89" s="2858">
        <v>0.1</v>
      </c>
      <c r="F89" s="2858">
        <v>15</v>
      </c>
    </row>
    <row r="90" spans="1:6" ht="13.5">
      <c r="A90" s="2858">
        <v>18</v>
      </c>
      <c r="B90" s="3456" t="s">
        <v>2686</v>
      </c>
      <c r="C90" s="2832" t="s">
        <v>2687</v>
      </c>
      <c r="D90" s="2832" t="s">
        <v>2688</v>
      </c>
      <c r="E90" s="2858">
        <v>0.2</v>
      </c>
      <c r="F90" s="2858">
        <v>25</v>
      </c>
    </row>
    <row r="91" spans="1:6" ht="24">
      <c r="A91" s="2858">
        <v>19</v>
      </c>
      <c r="B91" s="3451"/>
      <c r="C91" s="2832" t="s">
        <v>2689</v>
      </c>
      <c r="D91" s="2832" t="s">
        <v>2690</v>
      </c>
      <c r="E91" s="2858">
        <v>0.2</v>
      </c>
      <c r="F91" s="2858">
        <v>25</v>
      </c>
    </row>
    <row r="92" spans="1:6" ht="13.5">
      <c r="A92" s="2858">
        <v>20</v>
      </c>
      <c r="B92" s="3451"/>
      <c r="C92" s="2832" t="s">
        <v>2691</v>
      </c>
      <c r="D92" s="2832" t="s">
        <v>2692</v>
      </c>
      <c r="E92" s="2858">
        <v>0.15</v>
      </c>
      <c r="F92" s="2858">
        <v>20</v>
      </c>
    </row>
    <row r="93" spans="1:6" ht="13.5">
      <c r="A93" s="2858">
        <v>21</v>
      </c>
      <c r="B93" s="3451"/>
      <c r="C93" s="2832" t="s">
        <v>2693</v>
      </c>
      <c r="D93" s="2832" t="s">
        <v>2694</v>
      </c>
      <c r="E93" s="2858">
        <v>0.15</v>
      </c>
      <c r="F93" s="2858">
        <v>20</v>
      </c>
    </row>
    <row r="94" spans="1:6" ht="13.5">
      <c r="A94" s="2858">
        <v>22</v>
      </c>
      <c r="B94" s="3451"/>
      <c r="C94" s="2832" t="s">
        <v>2695</v>
      </c>
      <c r="D94" s="2832" t="s">
        <v>2696</v>
      </c>
      <c r="E94" s="2858">
        <v>0.15</v>
      </c>
      <c r="F94" s="2858">
        <v>20</v>
      </c>
    </row>
    <row r="95" spans="1:6" ht="36">
      <c r="A95" s="2858">
        <v>23</v>
      </c>
      <c r="B95" s="3451"/>
      <c r="C95" s="2832" t="s">
        <v>2697</v>
      </c>
      <c r="D95" s="2832" t="s">
        <v>2698</v>
      </c>
      <c r="E95" s="2858">
        <v>0.15</v>
      </c>
      <c r="F95" s="2858">
        <v>20</v>
      </c>
    </row>
    <row r="96" spans="1:6" ht="13.5">
      <c r="A96" s="2858">
        <v>24</v>
      </c>
      <c r="B96" s="3451"/>
      <c r="C96" s="2832" t="s">
        <v>2699</v>
      </c>
      <c r="D96" s="2832" t="s">
        <v>2700</v>
      </c>
      <c r="E96" s="2858">
        <v>0.1</v>
      </c>
      <c r="F96" s="2858">
        <v>15</v>
      </c>
    </row>
    <row r="97" spans="1:6" ht="13.5">
      <c r="A97" s="2858">
        <v>25</v>
      </c>
      <c r="B97" s="3451"/>
      <c r="C97" s="2832" t="s">
        <v>2701</v>
      </c>
      <c r="D97" s="2832" t="s">
        <v>2702</v>
      </c>
      <c r="E97" s="2858">
        <v>0.1</v>
      </c>
      <c r="F97" s="2858">
        <v>15</v>
      </c>
    </row>
    <row r="98" spans="1:6" ht="24">
      <c r="A98" s="2858">
        <v>26</v>
      </c>
      <c r="B98" s="3451"/>
      <c r="C98" s="2832" t="s">
        <v>2703</v>
      </c>
      <c r="D98" s="2832" t="s">
        <v>2704</v>
      </c>
      <c r="E98" s="2858">
        <v>0.1</v>
      </c>
      <c r="F98" s="2858">
        <v>15</v>
      </c>
    </row>
    <row r="99" spans="1:6" ht="24">
      <c r="A99" s="2858">
        <v>27</v>
      </c>
      <c r="B99" s="3451"/>
      <c r="C99" s="2832" t="s">
        <v>2705</v>
      </c>
      <c r="D99" s="2832" t="s">
        <v>2706</v>
      </c>
      <c r="E99" s="2858">
        <v>0.1</v>
      </c>
      <c r="F99" s="2858">
        <v>15</v>
      </c>
    </row>
    <row r="100" spans="1:6" ht="13.5">
      <c r="A100" s="2858">
        <v>28</v>
      </c>
      <c r="B100" s="3451"/>
      <c r="C100" s="2832" t="s">
        <v>2707</v>
      </c>
      <c r="D100" s="2832" t="s">
        <v>2708</v>
      </c>
      <c r="E100" s="2858">
        <v>0.1</v>
      </c>
      <c r="F100" s="2858">
        <v>15</v>
      </c>
    </row>
    <row r="101" spans="1:6" ht="13.5">
      <c r="A101" s="2858">
        <v>29</v>
      </c>
      <c r="B101" s="3451"/>
      <c r="C101" s="2832" t="s">
        <v>2709</v>
      </c>
      <c r="D101" s="2832" t="s">
        <v>2710</v>
      </c>
      <c r="E101" s="2858">
        <v>0.1</v>
      </c>
      <c r="F101" s="2858">
        <v>15</v>
      </c>
    </row>
    <row r="102" spans="1:6" ht="13.5">
      <c r="A102" s="2858">
        <v>30</v>
      </c>
      <c r="B102" s="3451"/>
      <c r="C102" s="2832" t="s">
        <v>2711</v>
      </c>
      <c r="D102" s="2832" t="s">
        <v>2712</v>
      </c>
      <c r="E102" s="2858">
        <v>0.1</v>
      </c>
      <c r="F102" s="2858">
        <v>15</v>
      </c>
    </row>
    <row r="103" spans="1:6" ht="24">
      <c r="A103" s="2858">
        <v>31</v>
      </c>
      <c r="B103" s="3451"/>
      <c r="C103" s="2832" t="s">
        <v>2713</v>
      </c>
      <c r="D103" s="2832" t="s">
        <v>2714</v>
      </c>
      <c r="E103" s="2858">
        <v>0.1</v>
      </c>
      <c r="F103" s="2858">
        <v>15</v>
      </c>
    </row>
    <row r="104" spans="1:6" ht="24">
      <c r="A104" s="2858">
        <v>32</v>
      </c>
      <c r="B104" s="3451"/>
      <c r="C104" s="2832" t="s">
        <v>2715</v>
      </c>
      <c r="D104" s="2832" t="s">
        <v>2716</v>
      </c>
      <c r="E104" s="2858">
        <v>0.1</v>
      </c>
      <c r="F104" s="2858">
        <v>15</v>
      </c>
    </row>
    <row r="105" spans="1:6" ht="24">
      <c r="A105" s="2858">
        <v>33</v>
      </c>
      <c r="B105" s="3451"/>
      <c r="C105" s="2832" t="s">
        <v>2717</v>
      </c>
      <c r="D105" s="2832" t="s">
        <v>2718</v>
      </c>
      <c r="E105" s="2858">
        <v>0.1</v>
      </c>
      <c r="F105" s="2858">
        <v>15</v>
      </c>
    </row>
    <row r="106" spans="1:6" ht="24">
      <c r="A106" s="2858">
        <v>34</v>
      </c>
      <c r="B106" s="3460"/>
      <c r="C106" s="2832" t="s">
        <v>2719</v>
      </c>
      <c r="D106" s="2832" t="s">
        <v>2720</v>
      </c>
      <c r="E106" s="2858">
        <v>0.1</v>
      </c>
      <c r="F106" s="2858">
        <v>15</v>
      </c>
    </row>
    <row r="107" spans="1:6" ht="24">
      <c r="A107" s="2858">
        <v>35</v>
      </c>
      <c r="B107" s="3456" t="s">
        <v>2721</v>
      </c>
      <c r="C107" s="2858" t="s">
        <v>2722</v>
      </c>
      <c r="D107" s="2832" t="s">
        <v>2723</v>
      </c>
      <c r="E107" s="2858">
        <v>0.15</v>
      </c>
      <c r="F107" s="2858">
        <v>20</v>
      </c>
    </row>
    <row r="108" spans="1:6" ht="13.5">
      <c r="A108" s="2858">
        <v>36</v>
      </c>
      <c r="B108" s="3451"/>
      <c r="C108" s="2858" t="s">
        <v>2724</v>
      </c>
      <c r="D108" s="2832" t="s">
        <v>2725</v>
      </c>
      <c r="E108" s="2858">
        <v>0.15</v>
      </c>
      <c r="F108" s="2858">
        <v>20</v>
      </c>
    </row>
    <row r="109" spans="1:6" ht="13.5">
      <c r="A109" s="2858">
        <v>37</v>
      </c>
      <c r="B109" s="3451"/>
      <c r="C109" s="2858" t="s">
        <v>2726</v>
      </c>
      <c r="D109" s="2832" t="s">
        <v>2727</v>
      </c>
      <c r="E109" s="2858">
        <v>0.15</v>
      </c>
      <c r="F109" s="2858">
        <v>20</v>
      </c>
    </row>
    <row r="110" spans="1:6" ht="13.5">
      <c r="A110" s="2858">
        <v>38</v>
      </c>
      <c r="B110" s="3451"/>
      <c r="C110" s="2858" t="s">
        <v>2728</v>
      </c>
      <c r="D110" s="2832" t="s">
        <v>2729</v>
      </c>
      <c r="E110" s="2858">
        <v>0.1</v>
      </c>
      <c r="F110" s="2858">
        <v>15</v>
      </c>
    </row>
    <row r="111" spans="1:6" ht="24">
      <c r="A111" s="2858">
        <v>39</v>
      </c>
      <c r="B111" s="3451"/>
      <c r="C111" s="2858" t="s">
        <v>2730</v>
      </c>
      <c r="D111" s="2832" t="s">
        <v>2731</v>
      </c>
      <c r="E111" s="2858">
        <v>0.1</v>
      </c>
      <c r="F111" s="2858">
        <v>15</v>
      </c>
    </row>
    <row r="112" spans="1:6" ht="24">
      <c r="A112" s="2858">
        <v>40</v>
      </c>
      <c r="B112" s="3460"/>
      <c r="C112" s="2858" t="s">
        <v>2732</v>
      </c>
      <c r="D112" s="2832" t="s">
        <v>2733</v>
      </c>
      <c r="E112" s="2858">
        <v>0.1</v>
      </c>
      <c r="F112" s="2858">
        <v>15</v>
      </c>
    </row>
    <row r="113" spans="1:6" ht="13.5">
      <c r="A113" s="2858">
        <v>41</v>
      </c>
      <c r="B113" s="3461" t="s">
        <v>2734</v>
      </c>
      <c r="C113" s="2858" t="s">
        <v>2735</v>
      </c>
      <c r="D113" s="2832" t="s">
        <v>2736</v>
      </c>
      <c r="E113" s="2858">
        <v>0.1</v>
      </c>
      <c r="F113" s="2858">
        <v>15</v>
      </c>
    </row>
    <row r="114" spans="1:6" ht="13.5">
      <c r="A114" s="2858">
        <v>42</v>
      </c>
      <c r="B114" s="3461"/>
      <c r="C114" s="2858" t="s">
        <v>2737</v>
      </c>
      <c r="D114" s="2832" t="s">
        <v>2738</v>
      </c>
      <c r="E114" s="2858">
        <v>0.1</v>
      </c>
      <c r="F114" s="2858">
        <v>15</v>
      </c>
    </row>
    <row r="115" spans="1:6" ht="24">
      <c r="A115" s="2858">
        <v>43</v>
      </c>
      <c r="B115" s="3461"/>
      <c r="C115" s="2858" t="s">
        <v>2739</v>
      </c>
      <c r="D115" s="2832" t="s">
        <v>2740</v>
      </c>
      <c r="E115" s="2858">
        <v>0.1</v>
      </c>
      <c r="F115" s="2858">
        <v>15</v>
      </c>
    </row>
    <row r="116" spans="1:6" ht="13.5">
      <c r="A116" s="2858">
        <v>44</v>
      </c>
      <c r="B116" s="3456" t="s">
        <v>2741</v>
      </c>
      <c r="C116" s="2858" t="s">
        <v>2742</v>
      </c>
      <c r="D116" s="2832" t="s">
        <v>2743</v>
      </c>
      <c r="E116" s="2858">
        <v>0.1</v>
      </c>
      <c r="F116" s="2858">
        <v>15</v>
      </c>
    </row>
    <row r="117" spans="1:6" ht="24">
      <c r="A117" s="2858">
        <v>45</v>
      </c>
      <c r="B117" s="3460"/>
      <c r="C117" s="2832" t="s">
        <v>2744</v>
      </c>
      <c r="D117" s="2832" t="s">
        <v>2745</v>
      </c>
      <c r="E117" s="2858">
        <v>0.1</v>
      </c>
      <c r="F117" s="2858">
        <v>15</v>
      </c>
    </row>
    <row r="118" spans="1:6" ht="24">
      <c r="A118" s="2858">
        <v>46</v>
      </c>
      <c r="B118" s="3456" t="s">
        <v>2746</v>
      </c>
      <c r="C118" s="2858" t="s">
        <v>2747</v>
      </c>
      <c r="D118" s="2832" t="s">
        <v>2748</v>
      </c>
      <c r="E118" s="2858">
        <v>0.1</v>
      </c>
      <c r="F118" s="2858">
        <v>15</v>
      </c>
    </row>
    <row r="119" spans="1:6" ht="24">
      <c r="A119" s="2858">
        <v>47</v>
      </c>
      <c r="B119" s="3460"/>
      <c r="C119" s="2858" t="s">
        <v>2749</v>
      </c>
      <c r="D119" s="2832" t="s">
        <v>2750</v>
      </c>
      <c r="E119" s="2858">
        <v>0.1</v>
      </c>
      <c r="F119" s="2858">
        <v>15</v>
      </c>
    </row>
    <row r="120" spans="1:6" ht="13.5">
      <c r="A120" s="2858">
        <v>48</v>
      </c>
      <c r="B120" s="3456" t="s">
        <v>2751</v>
      </c>
      <c r="C120" s="2858" t="s">
        <v>2752</v>
      </c>
      <c r="D120" s="2832" t="s">
        <v>2753</v>
      </c>
      <c r="E120" s="2858">
        <v>0.1</v>
      </c>
      <c r="F120" s="2858">
        <v>15</v>
      </c>
    </row>
    <row r="121" spans="1:6" ht="13.5">
      <c r="A121" s="2858">
        <v>49</v>
      </c>
      <c r="B121" s="3460"/>
      <c r="C121" s="2858" t="s">
        <v>2754</v>
      </c>
      <c r="D121" s="2832" t="s">
        <v>2755</v>
      </c>
      <c r="E121" s="2858">
        <v>0.1</v>
      </c>
      <c r="F121" s="2858">
        <v>15</v>
      </c>
    </row>
    <row r="122" spans="1:6" ht="24">
      <c r="A122" s="2858">
        <v>50</v>
      </c>
      <c r="B122" s="3461" t="s">
        <v>2756</v>
      </c>
      <c r="C122" s="2858" t="s">
        <v>2757</v>
      </c>
      <c r="D122" s="2832" t="s">
        <v>2758</v>
      </c>
      <c r="E122" s="2858">
        <v>0.1</v>
      </c>
      <c r="F122" s="2858">
        <v>15</v>
      </c>
    </row>
    <row r="123" spans="1:6" ht="24">
      <c r="A123" s="2858">
        <v>51</v>
      </c>
      <c r="B123" s="3461"/>
      <c r="C123" s="2858" t="s">
        <v>2759</v>
      </c>
      <c r="D123" s="2832" t="s">
        <v>2760</v>
      </c>
      <c r="E123" s="2858">
        <v>0.1</v>
      </c>
      <c r="F123" s="2858">
        <v>15</v>
      </c>
    </row>
    <row r="124" spans="1:6" ht="24">
      <c r="A124" s="2858">
        <v>52</v>
      </c>
      <c r="B124" s="3461" t="s">
        <v>2761</v>
      </c>
      <c r="C124" s="2858" t="s">
        <v>2762</v>
      </c>
      <c r="D124" s="2832" t="s">
        <v>2763</v>
      </c>
      <c r="E124" s="2858">
        <v>0.1</v>
      </c>
      <c r="F124" s="2858">
        <v>15</v>
      </c>
    </row>
    <row r="125" spans="1:6" ht="24">
      <c r="A125" s="2858">
        <v>53</v>
      </c>
      <c r="B125" s="3461"/>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61" t="s">
        <v>2769</v>
      </c>
      <c r="C127" s="2858" t="s">
        <v>2770</v>
      </c>
      <c r="D127" s="2832" t="s">
        <v>2771</v>
      </c>
      <c r="E127" s="2858">
        <v>0.1</v>
      </c>
      <c r="F127" s="2858">
        <v>15</v>
      </c>
    </row>
    <row r="128" spans="1:6" ht="13.5">
      <c r="A128" s="2858">
        <v>56</v>
      </c>
      <c r="B128" s="3461"/>
      <c r="C128" s="2858" t="s">
        <v>2772</v>
      </c>
      <c r="D128" s="2832" t="s">
        <v>2773</v>
      </c>
      <c r="E128" s="2858">
        <v>0.1</v>
      </c>
      <c r="F128" s="2858">
        <v>15</v>
      </c>
    </row>
    <row r="129" spans="1:6" ht="24">
      <c r="A129" s="2858">
        <v>57</v>
      </c>
      <c r="B129" s="3461"/>
      <c r="C129" s="2858" t="s">
        <v>2774</v>
      </c>
      <c r="D129" s="2832" t="s">
        <v>2775</v>
      </c>
      <c r="E129" s="2858">
        <v>0.1</v>
      </c>
      <c r="F129" s="2858">
        <v>15</v>
      </c>
    </row>
    <row r="130" spans="1:6" ht="24">
      <c r="A130" s="2858">
        <v>58</v>
      </c>
      <c r="B130" s="3461" t="s">
        <v>2776</v>
      </c>
      <c r="C130" s="2858" t="s">
        <v>2777</v>
      </c>
      <c r="D130" s="2832" t="s">
        <v>2778</v>
      </c>
      <c r="E130" s="2858">
        <v>0.1</v>
      </c>
      <c r="F130" s="2858">
        <v>15</v>
      </c>
    </row>
    <row r="131" spans="1:6" ht="13.5">
      <c r="A131" s="2858">
        <v>59</v>
      </c>
      <c r="B131" s="3461"/>
      <c r="C131" s="2858" t="s">
        <v>2779</v>
      </c>
      <c r="D131" s="2832" t="s">
        <v>2780</v>
      </c>
      <c r="E131" s="2858">
        <v>0.1</v>
      </c>
      <c r="F131" s="2858">
        <v>15</v>
      </c>
    </row>
    <row r="132" spans="1:6" ht="13.5">
      <c r="A132" s="2858">
        <v>60</v>
      </c>
      <c r="B132" s="3456" t="s">
        <v>2781</v>
      </c>
      <c r="C132" s="2858" t="s">
        <v>2782</v>
      </c>
      <c r="D132" s="2832" t="s">
        <v>2783</v>
      </c>
      <c r="E132" s="2858">
        <v>0.1</v>
      </c>
      <c r="F132" s="2858">
        <v>15</v>
      </c>
    </row>
    <row r="133" spans="1:6" ht="13.5">
      <c r="A133" s="2858">
        <v>61</v>
      </c>
      <c r="B133" s="3460"/>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61" t="s">
        <v>2789</v>
      </c>
      <c r="C135" s="2858" t="s">
        <v>2790</v>
      </c>
      <c r="D135" s="2832" t="s">
        <v>2791</v>
      </c>
      <c r="E135" s="2858">
        <v>0.1</v>
      </c>
      <c r="F135" s="2858">
        <v>15</v>
      </c>
    </row>
    <row r="136" spans="1:6" ht="13.5">
      <c r="A136" s="2858">
        <v>64</v>
      </c>
      <c r="B136" s="3461"/>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16405</v>
      </c>
    </row>
    <row r="6" spans="1:5" ht="15.75">
      <c r="B6" s="3147"/>
      <c r="C6" s="1392" t="s">
        <v>911</v>
      </c>
      <c r="D6" s="797" t="str">
        <f ca="1">NUMBERSTRING(INT(D5*10000),2)&amp;"元整"</f>
        <v>壹亿陆仟肆佰零伍万元整</v>
      </c>
    </row>
    <row r="7" spans="1:5" ht="15.75">
      <c r="B7" s="3152"/>
      <c r="C7" s="1393" t="s">
        <v>912</v>
      </c>
      <c r="D7" s="798">
        <f ca="1">结果表!H102</f>
        <v>13949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16405</v>
      </c>
    </row>
    <row r="14" spans="1:5" ht="15.75">
      <c r="B14" s="3147"/>
      <c r="C14" s="1392" t="s">
        <v>911</v>
      </c>
      <c r="D14" s="797" t="str">
        <f ca="1">NUMBERSTRING(INT(D13*10000),2)&amp;"元整"</f>
        <v>壹亿陆仟肆佰零伍万元整</v>
      </c>
    </row>
    <row r="15" spans="1:5" ht="15">
      <c r="B15" s="3152"/>
      <c r="C15" s="1393" t="s">
        <v>921</v>
      </c>
      <c r="D15" s="806">
        <f ca="1">结果表!H108</f>
        <v>13949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0.9274</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0.84419999999999995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42222</v>
      </c>
      <c r="C2" s="2" t="s">
        <v>106</v>
      </c>
      <c r="D2" s="191"/>
      <c r="E2" s="191"/>
      <c r="F2" s="191"/>
      <c r="G2" s="191"/>
    </row>
    <row r="3" spans="1:7" s="192" customFormat="1" ht="18" customHeight="1" thickBot="1">
      <c r="A3" s="195" t="s">
        <v>58</v>
      </c>
      <c r="B3" s="196">
        <f ca="1">ROUND(B2*10000/'数据-汇总表'!E3,0)</f>
        <v>35900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235</v>
      </c>
      <c r="D10" s="795">
        <f>'数据-汇总表'!E6</f>
        <v>11761.1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235</v>
      </c>
      <c r="D19" s="204">
        <f>'数据-汇总表'!E3</f>
        <v>11761.1</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1808</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1770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20</v>
      </c>
      <c r="D24" s="230"/>
      <c r="E24" s="230"/>
      <c r="F24" s="231"/>
      <c r="G24" s="232" t="s">
        <v>82</v>
      </c>
    </row>
    <row r="25" spans="1:7" s="206" customFormat="1" ht="24">
      <c r="A25" s="734" t="s">
        <v>348</v>
      </c>
      <c r="B25" s="207" t="s">
        <v>420</v>
      </c>
      <c r="C25" s="1042">
        <f ca="1">ROUND(IF('数据-取费表'!B22&lt;=1,C20*F22*'数据-取费表'!B23/2,C20*(POWER((1+F22),'数据-取费表'!B23/2)-1)),0)</f>
        <v>18</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4252</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4252</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29607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9673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8821</v>
      </c>
      <c r="D34" s="209"/>
      <c r="E34" s="212"/>
      <c r="F34" s="249">
        <f>IF('数据-取费表'!B24=0,1,'数据-取费表'!N16)</f>
        <v>1</v>
      </c>
      <c r="G34" s="211" t="s">
        <v>89</v>
      </c>
    </row>
    <row r="35" spans="1:7" ht="13.5" customHeight="1">
      <c r="A35" s="734" t="s">
        <v>351</v>
      </c>
      <c r="B35" s="207" t="s">
        <v>33</v>
      </c>
      <c r="C35" s="212">
        <f>ROUND(C34*F35,0)</f>
        <v>441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235</v>
      </c>
      <c r="D37" s="209">
        <f>'数据-汇总表'!E3</f>
        <v>11761.1</v>
      </c>
      <c r="E37" s="241">
        <f>'数据-取费表'!B35</f>
        <v>200</v>
      </c>
      <c r="F37" s="251"/>
      <c r="G37" s="253" t="s">
        <v>92</v>
      </c>
    </row>
    <row r="38" spans="1:7" ht="13.5" customHeight="1">
      <c r="A38" s="734" t="s">
        <v>354</v>
      </c>
      <c r="B38" s="207" t="s">
        <v>36</v>
      </c>
      <c r="C38" s="212">
        <f>ROUND(C34*F38,0)</f>
        <v>176</v>
      </c>
      <c r="D38" s="212"/>
      <c r="E38" s="212"/>
      <c r="F38" s="251">
        <f>'数据-取费表'!B36</f>
        <v>0.02</v>
      </c>
      <c r="G38" s="211" t="s">
        <v>90</v>
      </c>
    </row>
    <row r="39" spans="1:7" s="206" customFormat="1" ht="13.5" customHeight="1">
      <c r="A39" s="731" t="s">
        <v>338</v>
      </c>
      <c r="B39" s="202" t="s">
        <v>77</v>
      </c>
      <c r="C39" s="224">
        <f>ROUND(C33*F20,0)</f>
        <v>193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415</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407</v>
      </c>
      <c r="D42" s="230"/>
      <c r="E42" s="230"/>
      <c r="F42" s="231"/>
      <c r="G42" s="3346" t="s">
        <v>94</v>
      </c>
    </row>
    <row r="43" spans="1:7" ht="13.5" customHeight="1">
      <c r="A43" s="734" t="s">
        <v>347</v>
      </c>
      <c r="B43" s="207" t="s">
        <v>426</v>
      </c>
      <c r="C43" s="230">
        <f ca="1">ROUND(IF('数据-取费表'!B22&lt;=1,C39*F22*'数据-取费表'!B21/2,C39*(POWER((1+F22),'数据-取费表'!B21/2)-1)),0)</f>
        <v>8</v>
      </c>
      <c r="D43" s="230"/>
      <c r="E43" s="230"/>
      <c r="F43" s="231"/>
      <c r="G43" s="3347"/>
    </row>
    <row r="44" spans="1:7" ht="13.5" customHeight="1">
      <c r="A44" s="734" t="s">
        <v>348</v>
      </c>
      <c r="B44" s="207" t="s">
        <v>428</v>
      </c>
      <c r="C44" s="230">
        <f ca="1">ROUND(IF('数据-取费表'!B22&lt;=1,C40*F22*'数据-取费表'!B21/2,C40*(POWER((1+F22),'数据-取费表'!B21/2)-1)),4)</f>
        <v>8.0000000000000004E-4</v>
      </c>
      <c r="D44" s="230"/>
      <c r="E44" s="230"/>
      <c r="F44" s="231"/>
      <c r="G44" s="3348"/>
    </row>
    <row r="45" spans="1:7" s="206" customFormat="1" ht="13.5" customHeight="1">
      <c r="A45" s="731" t="s">
        <v>341</v>
      </c>
      <c r="B45" s="236" t="s">
        <v>85</v>
      </c>
      <c r="C45" s="237">
        <f>C46</f>
        <v>1973</v>
      </c>
      <c r="D45" s="227">
        <f>C47</f>
        <v>4.0000000000000001E-3</v>
      </c>
      <c r="E45" s="228" t="s">
        <v>102</v>
      </c>
      <c r="F45" s="238"/>
      <c r="G45" s="239" t="s">
        <v>434</v>
      </c>
    </row>
    <row r="46" spans="1:7" s="206" customFormat="1" ht="13.5" customHeight="1">
      <c r="A46" s="734" t="s">
        <v>349</v>
      </c>
      <c r="B46" s="240" t="s">
        <v>427</v>
      </c>
      <c r="C46" s="241">
        <f>ROUND((C33+C39)*F27,0)</f>
        <v>1973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13279</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12615</v>
      </c>
      <c r="D51" s="224"/>
      <c r="E51" s="224"/>
      <c r="F51" s="256"/>
      <c r="G51" s="226" t="s">
        <v>37</v>
      </c>
    </row>
    <row r="52" spans="1:7" s="200" customFormat="1" ht="16.5" thickBot="1">
      <c r="A52" s="257" t="s">
        <v>38</v>
      </c>
      <c r="B52" s="258"/>
      <c r="C52" s="259">
        <f ca="1">C31+C51</f>
        <v>42222</v>
      </c>
      <c r="D52" s="258"/>
      <c r="E52" s="258"/>
      <c r="F52" s="258"/>
      <c r="G52" s="260"/>
    </row>
    <row r="55" spans="1:7" ht="15">
      <c r="B55" s="262" t="s">
        <v>39</v>
      </c>
      <c r="C55" s="263"/>
    </row>
    <row r="56" spans="1:7">
      <c r="B56" s="265" t="s">
        <v>40</v>
      </c>
      <c r="C56" s="266">
        <f ca="1">ROUND(C51/C52,3)</f>
        <v>0.29899999999999999</v>
      </c>
    </row>
    <row r="57" spans="1:7">
      <c r="B57" s="265" t="s">
        <v>41</v>
      </c>
      <c r="C57" s="267">
        <f ca="1">1-C56</f>
        <v>0.70100000000000007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2839</v>
      </c>
      <c r="B1" s="3464"/>
      <c r="C1" s="3464"/>
      <c r="D1" s="3464"/>
      <c r="E1" s="3464"/>
      <c r="F1" s="3464"/>
      <c r="G1" s="346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6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6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3181</v>
      </c>
      <c r="B1" s="346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67" t="s">
        <v>3232</v>
      </c>
      <c r="B1" s="3467"/>
      <c r="C1" s="3467"/>
      <c r="D1" s="3467"/>
      <c r="E1" s="3467"/>
      <c r="F1" s="3468"/>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8">
        <f>基准地价修正!G23</f>
        <v>45553</v>
      </c>
      <c r="B1" s="2930" t="s">
        <v>3370</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ROUND(AVERAGEIF(D4:D19,"&lt;&gt;0"),2)</f>
        <v>0.59</v>
      </c>
      <c r="E3" s="2887">
        <f>ROUND(AVERAGEIF(E4:E19,"&lt;&gt;0"),2)</f>
        <v>0.36</v>
      </c>
      <c r="F3" s="2887">
        <f>ROUND(AVERAGEIF(F4:F19,"&lt;&gt;0"),2)</f>
        <v>0.06</v>
      </c>
      <c r="G3" s="2887">
        <f>ROUND(AVERAGEIF(G4:G19,"&lt;&gt;0"),2)</f>
        <v>0.6</v>
      </c>
      <c r="H3" s="2887">
        <f>ROUND(AVERAGEIF(H4:H19,"&lt;&gt;0"),2)</f>
        <v>0.6</v>
      </c>
      <c r="I3" s="2887">
        <f>F3</f>
        <v>0.06</v>
      </c>
      <c r="J3" s="2888"/>
      <c r="K3" s="2889">
        <f>ROUND(AVERAGEIF(K4:K19,"&lt;&gt;0"),4)</f>
        <v>5.8999999999999999E-3</v>
      </c>
      <c r="L3" s="2890">
        <f>ROUND(AVERAGEIF(L4:L19,"&lt;&gt;0"),4)</f>
        <v>3.5999999999999999E-3</v>
      </c>
      <c r="M3" s="2890">
        <f>ROUND(AVERAGEIF(M4:M19,"&lt;&gt;0"),4)</f>
        <v>5.9999999999999995E-4</v>
      </c>
      <c r="N3" s="2890">
        <f>ROUND(AVERAGEIF(N4:N19,"&lt;&gt;0"),4)</f>
        <v>6.0000000000000001E-3</v>
      </c>
      <c r="O3" s="2890">
        <f>ROUND(AVERAGEIF(O4:O19,"&lt;&gt;0"),4)</f>
        <v>6.0000000000000001E-3</v>
      </c>
      <c r="P3" s="2890">
        <f>M3</f>
        <v>5.9999999999999995E-4</v>
      </c>
      <c r="Q3" s="2888"/>
      <c r="R3" s="2891">
        <f>ROUND(SUMPRODUCT(PRODUCT(1+K4:K19)),4)</f>
        <v>1.0852999999999999</v>
      </c>
      <c r="S3" s="2892">
        <f>ROUND(SUMPRODUCT(PRODUCT(1+L4:L19)),4)</f>
        <v>1.0513999999999999</v>
      </c>
      <c r="T3" s="2892">
        <f>ROUND(SUMPRODUCT(PRODUCT(1+M4:M19)),4)</f>
        <v>1.0083</v>
      </c>
      <c r="U3" s="2892">
        <f>ROUND(SUMPRODUCT(PRODUCT(1+N4:N19)),4)</f>
        <v>1.0871999999999999</v>
      </c>
      <c r="V3" s="2892">
        <f>ROUND(SUMPRODUCT(PRODUCT(1+O4:O19)),4)</f>
        <v>1.0880000000000001</v>
      </c>
      <c r="W3" s="2891">
        <f>T3</f>
        <v>1.0083</v>
      </c>
      <c r="X3" s="2888"/>
      <c r="Y3" s="2893">
        <f>ROUND(AVERAGEIF(Y6:Y19,"&lt;&gt;0"),4)</f>
        <v>8.3999999999999995E-3</v>
      </c>
      <c r="Z3" s="2894">
        <f>ROUND(AVERAGEIF(Z6:Z19,"&lt;&gt;0"),4)</f>
        <v>3.5000000000000001E-3</v>
      </c>
      <c r="AA3" s="2895">
        <f>ROUND(AVERAGEIF(AA6:AA19,"&lt;&gt;0"),4)</f>
        <v>8.0000000000000004E-4</v>
      </c>
      <c r="AB3" s="2893">
        <f>ROUND(AVERAGEIF(AB6:AB19,"&lt;&gt;0"),4)</f>
        <v>9.1000000000000004E-3</v>
      </c>
      <c r="AC3" s="2896">
        <f>ROUND(AVERAGEIF(AC6:AC19,"&lt;&gt;0"),4)</f>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3376</v>
      </c>
      <c r="B5" s="2031">
        <v>2024</v>
      </c>
      <c r="C5" s="2042">
        <v>3</v>
      </c>
      <c r="D5" s="2007">
        <v>0</v>
      </c>
      <c r="E5" s="2007">
        <v>0</v>
      </c>
      <c r="F5" s="2007">
        <v>0</v>
      </c>
      <c r="G5" s="2007">
        <v>0</v>
      </c>
      <c r="H5" s="2007">
        <v>0</v>
      </c>
      <c r="I5" s="2008">
        <f>F5</f>
        <v>0</v>
      </c>
      <c r="J5" s="2907"/>
      <c r="K5" s="2043">
        <f>D5/100</f>
        <v>0</v>
      </c>
      <c r="L5" s="2028">
        <f>E5/100</f>
        <v>0</v>
      </c>
      <c r="M5" s="2028">
        <f>F5/100</f>
        <v>0</v>
      </c>
      <c r="N5" s="2028">
        <f>G5/100</f>
        <v>0</v>
      </c>
      <c r="O5" s="2028">
        <f>H5/100</f>
        <v>0</v>
      </c>
      <c r="P5" s="2028">
        <f t="shared" ref="P5:P11" si="0">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 t="shared" ref="W5:W10" si="1">T5</f>
        <v>1.0107999999999999</v>
      </c>
      <c r="X5" s="2907"/>
      <c r="Y5" s="2028">
        <f t="shared" ref="Y5:AC6" si="2">IF(D5=0,0,ROUND(AVERAGE(D5:D18)/100,4))</f>
        <v>0</v>
      </c>
      <c r="Z5" s="2028">
        <f t="shared" si="2"/>
        <v>0</v>
      </c>
      <c r="AA5" s="2028">
        <f t="shared" si="2"/>
        <v>0</v>
      </c>
      <c r="AB5" s="2028">
        <f t="shared" si="2"/>
        <v>0</v>
      </c>
      <c r="AC5" s="2028">
        <f t="shared" si="2"/>
        <v>0</v>
      </c>
      <c r="AD5" s="2028">
        <f>AA5</f>
        <v>0</v>
      </c>
    </row>
    <row r="6" spans="1:30" s="2917" customFormat="1" ht="12.75">
      <c r="A6" s="2908" t="s">
        <v>3377</v>
      </c>
      <c r="B6" s="2909">
        <v>2024</v>
      </c>
      <c r="C6" s="2910">
        <v>2</v>
      </c>
      <c r="D6" s="2911">
        <v>-0.59</v>
      </c>
      <c r="E6" s="2911">
        <v>-0.21</v>
      </c>
      <c r="F6" s="2911">
        <v>-1.38</v>
      </c>
      <c r="G6" s="2911">
        <v>-1.24</v>
      </c>
      <c r="H6" s="2912">
        <v>0.34</v>
      </c>
      <c r="I6" s="2913">
        <f t="shared" ref="I6:I19" si="3">F6</f>
        <v>-1.38</v>
      </c>
      <c r="J6" s="2914"/>
      <c r="K6" s="2915">
        <f t="shared" ref="K6:O19" si="4">D6/100</f>
        <v>-5.8999999999999999E-3</v>
      </c>
      <c r="L6" s="2916">
        <f t="shared" si="4"/>
        <v>-2.0999999999999999E-3</v>
      </c>
      <c r="M6" s="2916">
        <f t="shared" si="4"/>
        <v>-1.38E-2</v>
      </c>
      <c r="N6" s="2916">
        <f t="shared" si="4"/>
        <v>-1.24E-2</v>
      </c>
      <c r="O6" s="2916">
        <f t="shared" si="4"/>
        <v>3.4000000000000002E-3</v>
      </c>
      <c r="P6" s="2916">
        <f t="shared" si="0"/>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 t="shared" si="1"/>
        <v>1.0107999999999999</v>
      </c>
      <c r="X6" s="2914"/>
      <c r="Y6" s="2916">
        <f t="shared" si="2"/>
        <v>5.8999999999999999E-3</v>
      </c>
      <c r="Z6" s="2916">
        <f t="shared" si="2"/>
        <v>3.5999999999999999E-3</v>
      </c>
      <c r="AA6" s="2916">
        <f t="shared" si="2"/>
        <v>5.9999999999999995E-4</v>
      </c>
      <c r="AB6" s="2916">
        <f t="shared" si="2"/>
        <v>6.0000000000000001E-3</v>
      </c>
      <c r="AC6" s="2916">
        <f t="shared" si="2"/>
        <v>6.0000000000000001E-3</v>
      </c>
      <c r="AD6" s="2916">
        <f t="shared" ref="AD6:AD18" si="5">AA6</f>
        <v>5.9999999999999995E-4</v>
      </c>
    </row>
    <row r="7" spans="1:30" s="2045" customFormat="1" ht="12.75">
      <c r="A7" s="2906" t="s">
        <v>3379</v>
      </c>
      <c r="B7" s="2031">
        <v>2024</v>
      </c>
      <c r="C7" s="2042">
        <v>1</v>
      </c>
      <c r="D7" s="2007">
        <v>0.08</v>
      </c>
      <c r="E7" s="2007">
        <v>0.46</v>
      </c>
      <c r="F7" s="2007">
        <v>-0.16</v>
      </c>
      <c r="G7" s="2007">
        <v>0.26</v>
      </c>
      <c r="H7" s="2918">
        <v>0.59</v>
      </c>
      <c r="I7" s="2008">
        <v>0</v>
      </c>
      <c r="J7" s="2907"/>
      <c r="K7" s="2043">
        <f>D7/100</f>
        <v>8.0000000000000004E-4</v>
      </c>
      <c r="L7" s="2028">
        <f>E7/100</f>
        <v>4.5999999999999999E-3</v>
      </c>
      <c r="M7" s="2028">
        <f>F7/100</f>
        <v>-1.6000000000000001E-3</v>
      </c>
      <c r="N7" s="2028">
        <f>G7/100</f>
        <v>2.5999999999999999E-3</v>
      </c>
      <c r="O7" s="2028">
        <f>H7/100</f>
        <v>5.8999999999999999E-3</v>
      </c>
      <c r="P7" s="2028">
        <f t="shared" si="0"/>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si="1"/>
        <v>1.0249999999999999</v>
      </c>
      <c r="X7" s="2907"/>
      <c r="Y7" s="2028"/>
      <c r="Z7" s="2028"/>
      <c r="AA7" s="2028"/>
      <c r="AB7" s="2028"/>
      <c r="AC7" s="2028"/>
      <c r="AD7" s="2028"/>
    </row>
    <row r="8" spans="1:30" s="2045" customFormat="1" ht="12.75">
      <c r="A8" s="2906" t="s">
        <v>3374</v>
      </c>
      <c r="B8" s="2031">
        <v>2023</v>
      </c>
      <c r="C8" s="2042">
        <v>4</v>
      </c>
      <c r="D8" s="2007">
        <v>0.19</v>
      </c>
      <c r="E8" s="2007">
        <v>0.24</v>
      </c>
      <c r="F8" s="2007">
        <v>-0.16</v>
      </c>
      <c r="G8" s="2007">
        <v>0.17</v>
      </c>
      <c r="H8" s="2918">
        <v>0.61</v>
      </c>
      <c r="I8" s="2008">
        <f>F8</f>
        <v>-0.16</v>
      </c>
      <c r="J8" s="2907"/>
      <c r="K8" s="2043">
        <f t="shared" si="4"/>
        <v>1.9E-3</v>
      </c>
      <c r="L8" s="2028">
        <f t="shared" si="4"/>
        <v>2.3999999999999998E-3</v>
      </c>
      <c r="M8" s="2028">
        <f t="shared" si="4"/>
        <v>-1.6000000000000001E-3</v>
      </c>
      <c r="N8" s="2028">
        <f t="shared" si="4"/>
        <v>1.7000000000000001E-3</v>
      </c>
      <c r="O8" s="2028">
        <f t="shared" si="4"/>
        <v>6.0999999999999995E-3</v>
      </c>
      <c r="P8" s="2028">
        <f t="shared" si="0"/>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si="1"/>
        <v>1.0266</v>
      </c>
      <c r="X8" s="2907"/>
      <c r="Y8" s="2028"/>
      <c r="Z8" s="2028"/>
      <c r="AA8" s="2028"/>
      <c r="AB8" s="2028"/>
      <c r="AC8" s="2028"/>
      <c r="AD8" s="2028"/>
    </row>
    <row r="9" spans="1:30" s="2045" customFormat="1" ht="12.75">
      <c r="A9" s="2906" t="s">
        <v>3373</v>
      </c>
      <c r="B9" s="2031">
        <v>2023</v>
      </c>
      <c r="C9" s="2042">
        <v>3</v>
      </c>
      <c r="D9" s="2007">
        <v>0.25</v>
      </c>
      <c r="E9" s="2007">
        <v>0.5</v>
      </c>
      <c r="F9" s="2007">
        <v>0.31</v>
      </c>
      <c r="G9" s="2007">
        <v>0.21</v>
      </c>
      <c r="H9" s="2918">
        <v>0.43</v>
      </c>
      <c r="I9" s="2008">
        <f t="shared" si="3"/>
        <v>0.31</v>
      </c>
      <c r="J9" s="2907"/>
      <c r="K9" s="2043">
        <f t="shared" ref="K9:O11" si="6">D9/100</f>
        <v>2.5000000000000001E-3</v>
      </c>
      <c r="L9" s="2028">
        <f t="shared" si="6"/>
        <v>5.0000000000000001E-3</v>
      </c>
      <c r="M9" s="2028">
        <f t="shared" si="6"/>
        <v>3.0999999999999999E-3</v>
      </c>
      <c r="N9" s="2028">
        <f t="shared" si="6"/>
        <v>2.0999999999999999E-3</v>
      </c>
      <c r="O9" s="2028">
        <f t="shared" si="6"/>
        <v>4.3E-3</v>
      </c>
      <c r="P9" s="2028">
        <f t="shared" si="0"/>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si="1"/>
        <v>1.0282</v>
      </c>
      <c r="X9" s="2907"/>
      <c r="Y9" s="2028"/>
      <c r="Z9" s="2028"/>
      <c r="AA9" s="2028"/>
      <c r="AB9" s="2028"/>
      <c r="AC9" s="2028"/>
      <c r="AD9" s="2028"/>
    </row>
    <row r="10" spans="1:30" s="2045" customFormat="1" ht="12.75">
      <c r="A10" s="2906" t="s">
        <v>3369</v>
      </c>
      <c r="B10" s="2031">
        <v>2023</v>
      </c>
      <c r="C10" s="2042">
        <v>2</v>
      </c>
      <c r="D10" s="2007">
        <v>0.91</v>
      </c>
      <c r="E10" s="2007">
        <v>0.66</v>
      </c>
      <c r="F10" s="2007">
        <v>0.47</v>
      </c>
      <c r="G10" s="2007">
        <v>0.96</v>
      </c>
      <c r="H10" s="2918">
        <v>0.71</v>
      </c>
      <c r="I10" s="2008">
        <f t="shared" si="3"/>
        <v>0.47</v>
      </c>
      <c r="J10" s="2907"/>
      <c r="K10" s="2043">
        <f t="shared" si="6"/>
        <v>9.1000000000000004E-3</v>
      </c>
      <c r="L10" s="2028">
        <f t="shared" si="6"/>
        <v>6.6E-3</v>
      </c>
      <c r="M10" s="2028">
        <f t="shared" si="6"/>
        <v>4.6999999999999993E-3</v>
      </c>
      <c r="N10" s="2028">
        <f t="shared" si="6"/>
        <v>9.5999999999999992E-3</v>
      </c>
      <c r="O10" s="2028">
        <f t="shared" si="6"/>
        <v>7.0999999999999995E-3</v>
      </c>
      <c r="P10" s="2028">
        <f t="shared" si="0"/>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1"/>
        <v>1.0250999999999999</v>
      </c>
      <c r="X10" s="2907"/>
      <c r="Y10" s="2028"/>
      <c r="Z10" s="2028"/>
      <c r="AA10" s="2028"/>
      <c r="AB10" s="2028"/>
      <c r="AC10" s="2028"/>
      <c r="AD10" s="2028"/>
    </row>
    <row r="11" spans="1:30" s="2045" customFormat="1" ht="12.75">
      <c r="A11" s="2906" t="s">
        <v>3368</v>
      </c>
      <c r="B11" s="2031">
        <v>2023</v>
      </c>
      <c r="C11" s="2042">
        <v>1</v>
      </c>
      <c r="D11" s="2007">
        <v>0.89</v>
      </c>
      <c r="E11" s="2007">
        <v>0.74</v>
      </c>
      <c r="F11" s="2007">
        <v>0.56999999999999995</v>
      </c>
      <c r="G11" s="2007">
        <v>0.92</v>
      </c>
      <c r="H11" s="2918">
        <v>0.5</v>
      </c>
      <c r="I11" s="2008">
        <f t="shared" si="3"/>
        <v>0.56999999999999995</v>
      </c>
      <c r="J11" s="2907"/>
      <c r="K11" s="2043">
        <f t="shared" si="6"/>
        <v>8.8999999999999999E-3</v>
      </c>
      <c r="L11" s="2028">
        <f t="shared" si="6"/>
        <v>7.4000000000000003E-3</v>
      </c>
      <c r="M11" s="2028">
        <f t="shared" si="6"/>
        <v>5.6999999999999993E-3</v>
      </c>
      <c r="N11" s="2028">
        <f t="shared" si="6"/>
        <v>9.1999999999999998E-3</v>
      </c>
      <c r="O11" s="2028">
        <f t="shared" si="6"/>
        <v>5.0000000000000001E-3</v>
      </c>
      <c r="P11" s="2028">
        <f t="shared" si="0"/>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7">T11</f>
        <v>1.0203</v>
      </c>
      <c r="X11" s="2907"/>
      <c r="Y11" s="2028"/>
      <c r="Z11" s="2028"/>
      <c r="AA11" s="2028"/>
      <c r="AB11" s="2028"/>
      <c r="AC11" s="2028"/>
      <c r="AD11" s="2028"/>
    </row>
    <row r="12" spans="1:30" s="2045" customFormat="1" ht="12.75">
      <c r="A12" s="2906" t="s">
        <v>3367</v>
      </c>
      <c r="B12" s="2031">
        <v>2022</v>
      </c>
      <c r="C12" s="2042">
        <v>4</v>
      </c>
      <c r="D12" s="2007">
        <v>0.62</v>
      </c>
      <c r="E12" s="2007">
        <v>0.2</v>
      </c>
      <c r="F12" s="2007">
        <v>0.11</v>
      </c>
      <c r="G12" s="2007">
        <v>0.69</v>
      </c>
      <c r="H12" s="2918">
        <v>0.53</v>
      </c>
      <c r="I12" s="2008">
        <f t="shared" si="3"/>
        <v>0.11</v>
      </c>
      <c r="J12" s="2907"/>
      <c r="K12" s="2043">
        <f t="shared" si="4"/>
        <v>6.1999999999999998E-3</v>
      </c>
      <c r="L12" s="2028">
        <f t="shared" si="4"/>
        <v>2E-3</v>
      </c>
      <c r="M12" s="2028">
        <f t="shared" si="4"/>
        <v>1.1000000000000001E-3</v>
      </c>
      <c r="N12" s="2028">
        <f t="shared" si="4"/>
        <v>6.8999999999999999E-3</v>
      </c>
      <c r="O12" s="2028">
        <f t="shared" si="4"/>
        <v>5.3E-3</v>
      </c>
      <c r="P12" s="2028">
        <f t="shared" ref="P12:P19" si="8">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7"/>
        <v>1.0145</v>
      </c>
      <c r="X12" s="2907"/>
      <c r="Y12" s="2028">
        <f>IF(D12=0,0,ROUND(AVERAGE(D12:D20)/100,4))</f>
        <v>8.0999999999999996E-3</v>
      </c>
      <c r="Z12" s="2028">
        <f>IF(E12=0,0,ROUND(AVERAGE(E12:E19)/100,4))</f>
        <v>3.3E-3</v>
      </c>
      <c r="AA12" s="2028">
        <f>IF(F12=0,0,ROUND(AVERAGE(F12:F19)/100,4))</f>
        <v>1.5E-3</v>
      </c>
      <c r="AB12" s="2028">
        <f>IF(G12=0,0,ROUND(AVERAGE(G12:G19)/100,4))</f>
        <v>8.8999999999999999E-3</v>
      </c>
      <c r="AC12" s="2028">
        <f>IF(H12=0,0,ROUND(AVERAGE(H12:H19)/100,4))</f>
        <v>6.6E-3</v>
      </c>
      <c r="AD12" s="2028">
        <f t="shared" si="5"/>
        <v>1.5E-3</v>
      </c>
    </row>
    <row r="13" spans="1:30" s="2045" customFormat="1" ht="12.75">
      <c r="A13" s="2906" t="s">
        <v>3363</v>
      </c>
      <c r="B13" s="2031">
        <v>2022</v>
      </c>
      <c r="C13" s="2042">
        <v>3</v>
      </c>
      <c r="D13" s="2007">
        <v>0.66</v>
      </c>
      <c r="E13" s="2007">
        <v>0.32</v>
      </c>
      <c r="F13" s="2007">
        <v>0.23</v>
      </c>
      <c r="G13" s="2007">
        <v>0.72</v>
      </c>
      <c r="H13" s="2918">
        <v>0.63</v>
      </c>
      <c r="I13" s="2008">
        <f t="shared" si="3"/>
        <v>0.23</v>
      </c>
      <c r="J13" s="2907"/>
      <c r="K13" s="2043">
        <f t="shared" si="4"/>
        <v>6.6E-3</v>
      </c>
      <c r="L13" s="2028">
        <f t="shared" si="4"/>
        <v>3.2000000000000002E-3</v>
      </c>
      <c r="M13" s="2028">
        <f t="shared" si="4"/>
        <v>2.3E-3</v>
      </c>
      <c r="N13" s="2028">
        <f t="shared" si="4"/>
        <v>7.1999999999999998E-3</v>
      </c>
      <c r="O13" s="2028">
        <f t="shared" si="4"/>
        <v>6.3E-3</v>
      </c>
      <c r="P13" s="2028">
        <f t="shared" si="8"/>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7"/>
        <v>1.0134000000000001</v>
      </c>
      <c r="X13" s="2907"/>
      <c r="Y13" s="2028">
        <f>IF(D13=0,0,ROUND(AVERAGE(D13:D19)/100,4))</f>
        <v>8.3999999999999995E-3</v>
      </c>
      <c r="Z13" s="2028">
        <f>IF(E13=0,0,ROUND(AVERAGE(E13:E19)/100,4))</f>
        <v>3.5000000000000001E-3</v>
      </c>
      <c r="AA13" s="2028">
        <f>IF(F13=0,0,ROUND(AVERAGE(F13:F19)/100,4))</f>
        <v>1.5E-3</v>
      </c>
      <c r="AB13" s="2028">
        <f>IF(G13=0,0,ROUND(AVERAGE(G13:G19)/100,4))</f>
        <v>9.1999999999999998E-3</v>
      </c>
      <c r="AC13" s="2028">
        <f>IF(H13=0,0,ROUND(AVERAGE(H13:H19)/100,4))</f>
        <v>6.7999999999999996E-3</v>
      </c>
      <c r="AD13" s="2028">
        <f t="shared" si="5"/>
        <v>1.5E-3</v>
      </c>
    </row>
    <row r="14" spans="1:30" s="2045" customFormat="1" ht="12.75">
      <c r="A14" s="2906" t="s">
        <v>3354</v>
      </c>
      <c r="B14" s="2031">
        <v>2022</v>
      </c>
      <c r="C14" s="2042">
        <v>2</v>
      </c>
      <c r="D14" s="2007">
        <v>0.93</v>
      </c>
      <c r="E14" s="2007">
        <v>0.15</v>
      </c>
      <c r="F14" s="2007">
        <v>0.01</v>
      </c>
      <c r="G14" s="2007">
        <v>1.05</v>
      </c>
      <c r="H14" s="2918">
        <v>1.08</v>
      </c>
      <c r="I14" s="2008">
        <f t="shared" si="3"/>
        <v>0.01</v>
      </c>
      <c r="J14" s="2907"/>
      <c r="K14" s="2043">
        <f t="shared" si="4"/>
        <v>9.300000000000001E-3</v>
      </c>
      <c r="L14" s="2028">
        <f t="shared" si="4"/>
        <v>1.5E-3</v>
      </c>
      <c r="M14" s="2028">
        <f t="shared" si="4"/>
        <v>1E-4</v>
      </c>
      <c r="N14" s="2028">
        <f t="shared" si="4"/>
        <v>1.0500000000000001E-2</v>
      </c>
      <c r="O14" s="2028">
        <f t="shared" si="4"/>
        <v>1.0800000000000001E-2</v>
      </c>
      <c r="P14" s="2028">
        <f t="shared" si="8"/>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7"/>
        <v>1.0109999999999999</v>
      </c>
      <c r="X14" s="2907"/>
      <c r="Y14" s="2028">
        <f>IF(D14=0,0,ROUND(AVERAGE(D14:D19)/100,4))</f>
        <v>8.6999999999999994E-3</v>
      </c>
      <c r="Z14" s="2028">
        <f>IF(E14=0,0,ROUND(AVERAGE(E14:E19)/100,4))</f>
        <v>3.5000000000000001E-3</v>
      </c>
      <c r="AA14" s="2028">
        <f>IF(F14=0,0,ROUND(AVERAGE(F14:F19)/100,4))</f>
        <v>1.4E-3</v>
      </c>
      <c r="AB14" s="2028">
        <f>IF(G14=0,0,ROUND(AVERAGE(G14:G19)/100,4))</f>
        <v>9.4999999999999998E-3</v>
      </c>
      <c r="AC14" s="2028">
        <f>IF(H14=0,0,ROUND(AVERAGE(H14:H19)/100,4))</f>
        <v>6.8999999999999999E-3</v>
      </c>
      <c r="AD14" s="2028">
        <f t="shared" si="5"/>
        <v>1.4E-3</v>
      </c>
    </row>
    <row r="15" spans="1:30" s="2045" customFormat="1" ht="12.75">
      <c r="A15" s="2906" t="s">
        <v>2820</v>
      </c>
      <c r="B15" s="2031">
        <v>2022</v>
      </c>
      <c r="C15" s="2042">
        <v>1</v>
      </c>
      <c r="D15" s="2007">
        <v>0.89</v>
      </c>
      <c r="E15" s="2007">
        <v>0.44</v>
      </c>
      <c r="F15" s="2007">
        <v>0.37</v>
      </c>
      <c r="G15" s="2007">
        <v>0.96</v>
      </c>
      <c r="H15" s="2918">
        <v>0.64</v>
      </c>
      <c r="I15" s="2008">
        <f t="shared" si="3"/>
        <v>0.37</v>
      </c>
      <c r="J15" s="2907"/>
      <c r="K15" s="2043">
        <f t="shared" si="4"/>
        <v>8.8999999999999999E-3</v>
      </c>
      <c r="L15" s="2028">
        <f t="shared" si="4"/>
        <v>4.4000000000000003E-3</v>
      </c>
      <c r="M15" s="2028">
        <f t="shared" si="4"/>
        <v>3.7000000000000002E-3</v>
      </c>
      <c r="N15" s="2028">
        <f t="shared" si="4"/>
        <v>9.5999999999999992E-3</v>
      </c>
      <c r="O15" s="2028">
        <f t="shared" si="4"/>
        <v>6.4000000000000003E-3</v>
      </c>
      <c r="P15" s="2028">
        <f t="shared" si="8"/>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7"/>
        <v>1.0108999999999999</v>
      </c>
      <c r="X15" s="2907"/>
      <c r="Y15" s="2028">
        <f>IF(D15=0,0,ROUND(AVERAGE(D15:D19)/100,4))</f>
        <v>8.6E-3</v>
      </c>
      <c r="Z15" s="2028">
        <f>IF(E15=0,0,ROUND(AVERAGE(E15:E19)/100,4))</f>
        <v>3.8999999999999998E-3</v>
      </c>
      <c r="AA15" s="2028">
        <f>IF(F15=0,0,ROUND(AVERAGE(F15:F19)/100,4))</f>
        <v>1.6999999999999999E-3</v>
      </c>
      <c r="AB15" s="2028">
        <f>IF(G15=0,0,ROUND(AVERAGE(G15:G19)/100,4))</f>
        <v>9.2999999999999992E-3</v>
      </c>
      <c r="AC15" s="2028">
        <f>IF(H15=0,0,ROUND(AVERAGE(H15:H19)/100,4))</f>
        <v>6.1000000000000004E-3</v>
      </c>
      <c r="AD15" s="2028">
        <f t="shared" si="5"/>
        <v>1.6999999999999999E-3</v>
      </c>
    </row>
    <row r="16" spans="1:30" s="2045" customFormat="1" ht="12.75">
      <c r="A16" s="2906" t="s">
        <v>2821</v>
      </c>
      <c r="B16" s="2031">
        <v>2021</v>
      </c>
      <c r="C16" s="2042">
        <v>4</v>
      </c>
      <c r="D16" s="2007">
        <v>1.03</v>
      </c>
      <c r="E16" s="2007">
        <v>0.24</v>
      </c>
      <c r="F16" s="2007">
        <v>7.0000000000000007E-2</v>
      </c>
      <c r="G16" s="2007">
        <v>1.17</v>
      </c>
      <c r="H16" s="2918">
        <v>0.55000000000000004</v>
      </c>
      <c r="I16" s="2008">
        <f t="shared" si="3"/>
        <v>7.0000000000000007E-2</v>
      </c>
      <c r="J16" s="2907"/>
      <c r="K16" s="2043">
        <f t="shared" si="4"/>
        <v>1.03E-2</v>
      </c>
      <c r="L16" s="2028">
        <f t="shared" si="4"/>
        <v>2.3999999999999998E-3</v>
      </c>
      <c r="M16" s="2028">
        <f t="shared" si="4"/>
        <v>7.000000000000001E-4</v>
      </c>
      <c r="N16" s="2028">
        <f t="shared" si="4"/>
        <v>1.1699999999999999E-2</v>
      </c>
      <c r="O16" s="2028">
        <f t="shared" si="4"/>
        <v>5.5000000000000005E-3</v>
      </c>
      <c r="P16" s="2028">
        <f t="shared" si="8"/>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7"/>
        <v>1.0072000000000001</v>
      </c>
      <c r="X16" s="2907"/>
      <c r="Y16" s="2028">
        <f>IF(D16=0,0,ROUND(AVERAGE(D16:D19)/100,4))</f>
        <v>8.5000000000000006E-3</v>
      </c>
      <c r="Z16" s="2028">
        <f>IF(E16=0,0,ROUND(AVERAGE(E16:E19)/100,4))</f>
        <v>3.8E-3</v>
      </c>
      <c r="AA16" s="2028">
        <f>IF(F16=0,0,ROUND(AVERAGE(F16:F19)/100,4))</f>
        <v>1.1999999999999999E-3</v>
      </c>
      <c r="AB16" s="2028">
        <f>IF(G16=0,0,ROUND(AVERAGE(G16:G19)/100,4))</f>
        <v>9.2999999999999992E-3</v>
      </c>
      <c r="AC16" s="2028">
        <f>IF(H16=0,0,ROUND(AVERAGE(H16:H19)/100,4))</f>
        <v>6.0000000000000001E-3</v>
      </c>
      <c r="AD16" s="2028">
        <f t="shared" si="5"/>
        <v>1.1999999999999999E-3</v>
      </c>
    </row>
    <row r="17" spans="1:30" s="2045" customFormat="1" ht="12.75">
      <c r="A17" s="2906" t="s">
        <v>2822</v>
      </c>
      <c r="B17" s="2031">
        <v>2021</v>
      </c>
      <c r="C17" s="2042">
        <v>3</v>
      </c>
      <c r="D17" s="2007">
        <v>0.47</v>
      </c>
      <c r="E17" s="2007">
        <v>0.41</v>
      </c>
      <c r="F17" s="2007">
        <v>0.24</v>
      </c>
      <c r="G17" s="2007">
        <v>0.48</v>
      </c>
      <c r="H17" s="2918">
        <v>0.48</v>
      </c>
      <c r="I17" s="2008">
        <f t="shared" si="3"/>
        <v>0.24</v>
      </c>
      <c r="J17" s="2907"/>
      <c r="K17" s="2043">
        <f t="shared" si="4"/>
        <v>4.6999999999999993E-3</v>
      </c>
      <c r="L17" s="2028">
        <f t="shared" si="4"/>
        <v>4.0999999999999995E-3</v>
      </c>
      <c r="M17" s="2028">
        <f t="shared" si="4"/>
        <v>2.3999999999999998E-3</v>
      </c>
      <c r="N17" s="2028">
        <f t="shared" si="4"/>
        <v>4.7999999999999996E-3</v>
      </c>
      <c r="O17" s="2028">
        <f t="shared" si="4"/>
        <v>4.7999999999999996E-3</v>
      </c>
      <c r="P17" s="2028">
        <f t="shared" si="8"/>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7"/>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5"/>
        <v>1.2999999999999999E-3</v>
      </c>
    </row>
    <row r="18" spans="1:30" s="2045" customFormat="1" ht="12.75">
      <c r="A18" s="2906" t="s">
        <v>2823</v>
      </c>
      <c r="B18" s="2031">
        <v>2021</v>
      </c>
      <c r="C18" s="2042">
        <v>2</v>
      </c>
      <c r="D18" s="2007">
        <v>0.92</v>
      </c>
      <c r="E18" s="2007">
        <v>0.72</v>
      </c>
      <c r="F18" s="2007">
        <v>0.41</v>
      </c>
      <c r="G18" s="2007">
        <v>0.95</v>
      </c>
      <c r="H18" s="2918">
        <v>1.01</v>
      </c>
      <c r="I18" s="2008">
        <f t="shared" si="3"/>
        <v>0.41</v>
      </c>
      <c r="J18" s="2907"/>
      <c r="K18" s="2043">
        <f t="shared" si="4"/>
        <v>9.1999999999999998E-3</v>
      </c>
      <c r="L18" s="2028">
        <f t="shared" si="4"/>
        <v>7.1999999999999998E-3</v>
      </c>
      <c r="M18" s="2028">
        <f t="shared" si="4"/>
        <v>4.0999999999999995E-3</v>
      </c>
      <c r="N18" s="2028">
        <f t="shared" si="4"/>
        <v>9.4999999999999998E-3</v>
      </c>
      <c r="O18" s="2028">
        <f t="shared" si="4"/>
        <v>1.01E-2</v>
      </c>
      <c r="P18" s="2028">
        <f t="shared" si="8"/>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7"/>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5"/>
        <v>8.0000000000000004E-4</v>
      </c>
    </row>
    <row r="19" spans="1:30" s="2929" customFormat="1" thickBot="1">
      <c r="A19" s="2919" t="s">
        <v>2824</v>
      </c>
      <c r="B19" s="2920">
        <v>2021</v>
      </c>
      <c r="C19" s="2921">
        <v>1</v>
      </c>
      <c r="D19" s="2922">
        <v>0.97</v>
      </c>
      <c r="E19" s="2922">
        <v>0.16</v>
      </c>
      <c r="F19" s="2922">
        <v>-0.25</v>
      </c>
      <c r="G19" s="2922">
        <v>1.1100000000000001</v>
      </c>
      <c r="H19" s="2923">
        <v>0.36</v>
      </c>
      <c r="I19" s="2924">
        <f t="shared" si="3"/>
        <v>-0.25</v>
      </c>
      <c r="J19" s="2925"/>
      <c r="K19" s="2926">
        <f t="shared" si="4"/>
        <v>9.7000000000000003E-3</v>
      </c>
      <c r="L19" s="2927">
        <f t="shared" si="4"/>
        <v>1.6000000000000001E-3</v>
      </c>
      <c r="M19" s="2927">
        <f>F19/100</f>
        <v>-2.5000000000000001E-3</v>
      </c>
      <c r="N19" s="2927">
        <f t="shared" si="4"/>
        <v>1.11E-2</v>
      </c>
      <c r="O19" s="2927">
        <f t="shared" si="4"/>
        <v>3.5999999999999999E-3</v>
      </c>
      <c r="P19" s="2927">
        <f t="shared" si="8"/>
        <v>-2.5000000000000001E-3</v>
      </c>
      <c r="Q19" s="2925"/>
      <c r="R19" s="2928">
        <v>1</v>
      </c>
      <c r="S19" s="2928">
        <v>1</v>
      </c>
      <c r="T19" s="2928">
        <v>1</v>
      </c>
      <c r="U19" s="2928">
        <v>1</v>
      </c>
      <c r="V19" s="2928">
        <v>1</v>
      </c>
      <c r="W19" s="2928">
        <f>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3365</v>
      </c>
    </row>
    <row r="22" spans="1:30">
      <c r="I22" s="1405" t="s">
        <v>2825</v>
      </c>
    </row>
    <row r="24" spans="1:30" s="2009" customFormat="1" ht="12.75">
      <c r="B24" s="2930" t="s">
        <v>3371</v>
      </c>
      <c r="C24" s="2931"/>
      <c r="D24" s="2931"/>
      <c r="E24" s="2931"/>
      <c r="F24" s="2931"/>
      <c r="G24" s="2931"/>
      <c r="H24" s="2931"/>
      <c r="I24" s="2931"/>
      <c r="J24" s="2897"/>
      <c r="K24" s="2931" t="s">
        <v>2826</v>
      </c>
      <c r="L24" s="2931"/>
      <c r="M24" s="2931"/>
      <c r="N24" s="2931"/>
      <c r="O24" s="2931"/>
      <c r="P24" s="2931"/>
      <c r="Q24" s="2897"/>
      <c r="R24" s="3469" t="s">
        <v>2827</v>
      </c>
      <c r="S24" s="3470"/>
      <c r="T24" s="3470"/>
      <c r="U24" s="3470"/>
      <c r="V24" s="3470"/>
      <c r="W24" s="3470"/>
      <c r="X24" s="2897"/>
      <c r="Y24" s="3469" t="s">
        <v>2828</v>
      </c>
      <c r="Z24" s="3470"/>
      <c r="AA24" s="3470"/>
      <c r="AB24" s="3470"/>
      <c r="AC24" s="3470"/>
      <c r="AD24" s="3470"/>
    </row>
    <row r="25" spans="1:30" s="2010" customFormat="1" ht="14.25" thickBot="1">
      <c r="B25" s="2882"/>
      <c r="C25" s="2883"/>
      <c r="D25" s="2011" t="s">
        <v>2829</v>
      </c>
      <c r="E25" s="2012" t="s">
        <v>2830</v>
      </c>
      <c r="F25" s="2012" t="s">
        <v>2831</v>
      </c>
      <c r="G25" s="2012" t="s">
        <v>2832</v>
      </c>
      <c r="H25" s="2012"/>
      <c r="I25" s="2012" t="s">
        <v>2833</v>
      </c>
      <c r="J25" s="2884"/>
      <c r="K25" s="2011" t="s">
        <v>2829</v>
      </c>
      <c r="L25" s="2012" t="s">
        <v>2830</v>
      </c>
      <c r="M25" s="2012" t="s">
        <v>2831</v>
      </c>
      <c r="N25" s="2012" t="s">
        <v>2832</v>
      </c>
      <c r="O25" s="2012"/>
      <c r="P25" s="2012" t="s">
        <v>2833</v>
      </c>
      <c r="Q25" s="2884"/>
      <c r="R25" s="2011" t="s">
        <v>2829</v>
      </c>
      <c r="S25" s="2012" t="s">
        <v>2830</v>
      </c>
      <c r="T25" s="2012" t="s">
        <v>2831</v>
      </c>
      <c r="U25" s="2012" t="s">
        <v>2832</v>
      </c>
      <c r="V25" s="2012"/>
      <c r="W25" s="2012" t="s">
        <v>2833</v>
      </c>
      <c r="X25" s="2884"/>
      <c r="Y25" s="2011" t="s">
        <v>2829</v>
      </c>
      <c r="Z25" s="2012" t="s">
        <v>2830</v>
      </c>
      <c r="AA25" s="2012" t="s">
        <v>2831</v>
      </c>
      <c r="AB25" s="2012" t="s">
        <v>2832</v>
      </c>
      <c r="AC25" s="2012"/>
      <c r="AD25" s="2012" t="s">
        <v>2833</v>
      </c>
    </row>
    <row r="26" spans="1:30" s="2887" customFormat="1" ht="12.75">
      <c r="A26" s="2885" t="s">
        <v>2834</v>
      </c>
      <c r="B26" s="2886"/>
      <c r="E26" s="2887">
        <f>ROUND(AVERAGEIF(E27:E42,"&lt;&gt;0"),2)</f>
        <v>0.33</v>
      </c>
      <c r="F26" s="2887">
        <f>ROUND(AVERAGEIF(F27:F42,"&lt;&gt;0"),2)</f>
        <v>0.24</v>
      </c>
      <c r="G26" s="2887">
        <f>ROUND(AVERAGEIF(G27:G42,"&lt;&gt;0"),2)</f>
        <v>0.62</v>
      </c>
      <c r="I26" s="2887">
        <f>F26</f>
        <v>0.24</v>
      </c>
      <c r="J26" s="2888"/>
      <c r="K26" s="2889"/>
      <c r="L26" s="2890">
        <f>ROUND(AVERAGEIF(L27:L42,"&lt;&gt;0"),4)</f>
        <v>3.3E-3</v>
      </c>
      <c r="M26" s="2890">
        <f>ROUND(AVERAGEIF(M27:M42,"&lt;&gt;0"),4)</f>
        <v>2.3999999999999998E-3</v>
      </c>
      <c r="N26" s="2890">
        <f>ROUND(AVERAGEIF(N27:N42,"&lt;&gt;0"),4)</f>
        <v>6.1999999999999998E-3</v>
      </c>
      <c r="O26" s="2890"/>
      <c r="P26" s="2890">
        <f>M26</f>
        <v>2.3999999999999998E-3</v>
      </c>
      <c r="Q26" s="2888"/>
      <c r="R26" s="2891"/>
      <c r="S26" s="2892">
        <f>ROUND(SUMPRODUCT(PRODUCT(1+L27:L42)),4)</f>
        <v>1.0468999999999999</v>
      </c>
      <c r="T26" s="2892">
        <f>ROUND(SUMPRODUCT(PRODUCT(1+M27:M42)),4)</f>
        <v>1.0347</v>
      </c>
      <c r="U26" s="2892">
        <f>ROUND(SUMPRODUCT(PRODUCT(1+N27:N42)),4)</f>
        <v>1.0895999999999999</v>
      </c>
      <c r="V26" s="2892"/>
      <c r="W26" s="2891">
        <f>T26</f>
        <v>1.0347</v>
      </c>
      <c r="X26" s="2888"/>
      <c r="Y26" s="2893"/>
      <c r="Z26" s="2894">
        <f>ROUND(AVERAGEIF(Z27:Z42,"&lt;&gt;0"),4)</f>
        <v>4.1999999999999997E-3</v>
      </c>
      <c r="AA26" s="2895">
        <f>ROUND(AVERAGEIF(AA27:AA42,"&lt;&gt;0"),4)</f>
        <v>3.3999999999999998E-3</v>
      </c>
      <c r="AB26" s="2893">
        <f>ROUND(AVERAGEIF(AB27:AB42,"&lt;&gt;0"),4)</f>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3376</v>
      </c>
      <c r="B28" s="2031">
        <v>2024</v>
      </c>
      <c r="C28" s="2042">
        <v>3</v>
      </c>
      <c r="D28" s="2007"/>
      <c r="E28" s="2007">
        <v>0</v>
      </c>
      <c r="F28" s="2007">
        <v>0</v>
      </c>
      <c r="G28" s="2007">
        <v>0</v>
      </c>
      <c r="H28" s="2007"/>
      <c r="I28" s="2008">
        <f>F28</f>
        <v>0</v>
      </c>
      <c r="J28" s="2907"/>
      <c r="K28" s="2043"/>
      <c r="L28" s="2028">
        <f>E28/100</f>
        <v>0</v>
      </c>
      <c r="M28" s="2028">
        <f>F28/100</f>
        <v>0</v>
      </c>
      <c r="N28" s="2028">
        <f>G28/100</f>
        <v>0</v>
      </c>
      <c r="O28" s="2028"/>
      <c r="P28" s="2028">
        <f t="shared" ref="P28:P34" si="9">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 t="shared" ref="W28:W34" si="10">T28</f>
        <v>1.0298</v>
      </c>
      <c r="X28" s="2907"/>
      <c r="Y28" s="2028"/>
      <c r="Z28" s="2903">
        <f t="shared" ref="Z28:AB29" si="11">IF(E28=0,0,ROUND(AVERAGE(E28:E41)/100,4))</f>
        <v>0</v>
      </c>
      <c r="AA28" s="2903">
        <f t="shared" si="11"/>
        <v>0</v>
      </c>
      <c r="AB28" s="2903">
        <f t="shared" si="11"/>
        <v>0</v>
      </c>
      <c r="AC28" s="2905"/>
      <c r="AD28" s="2028">
        <f>IF(I28=0,0,ROUND(AVERAGE(I28:I41)/100,4))</f>
        <v>0</v>
      </c>
    </row>
    <row r="29" spans="1:30" s="2917" customFormat="1" ht="12.75">
      <c r="A29" s="2908" t="s">
        <v>3377</v>
      </c>
      <c r="B29" s="2909">
        <v>2024</v>
      </c>
      <c r="C29" s="2910">
        <v>2</v>
      </c>
      <c r="D29" s="2911"/>
      <c r="E29" s="2911">
        <v>-0.31</v>
      </c>
      <c r="F29" s="2911">
        <v>-0.39</v>
      </c>
      <c r="G29" s="2911">
        <v>1.23</v>
      </c>
      <c r="H29" s="2912"/>
      <c r="I29" s="2913">
        <f t="shared" ref="I29:I42" si="12">F29</f>
        <v>-0.39</v>
      </c>
      <c r="J29" s="2914"/>
      <c r="K29" s="2915"/>
      <c r="L29" s="2916">
        <f t="shared" ref="L29:N42" si="13">E29/100</f>
        <v>-3.0999999999999999E-3</v>
      </c>
      <c r="M29" s="2916">
        <f t="shared" si="13"/>
        <v>-3.9000000000000003E-3</v>
      </c>
      <c r="N29" s="2916">
        <f t="shared" si="13"/>
        <v>1.23E-2</v>
      </c>
      <c r="O29" s="2916"/>
      <c r="P29" s="2916">
        <f t="shared" si="9"/>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 t="shared" si="10"/>
        <v>1.0298</v>
      </c>
      <c r="X29" s="2914"/>
      <c r="Y29" s="2916"/>
      <c r="Z29" s="2932">
        <f t="shared" si="11"/>
        <v>3.3E-3</v>
      </c>
      <c r="AA29" s="2933">
        <f t="shared" si="11"/>
        <v>2.3999999999999998E-3</v>
      </c>
      <c r="AB29" s="2916">
        <f t="shared" si="11"/>
        <v>6.1999999999999998E-3</v>
      </c>
      <c r="AC29" s="2934"/>
      <c r="AD29" s="2916">
        <f>IF(I29=0,0,ROUND(AVERAGE(I29:I42)/100,4))</f>
        <v>2.3999999999999998E-3</v>
      </c>
    </row>
    <row r="30" spans="1:30" s="2045" customFormat="1" ht="12.75">
      <c r="A30" s="2906" t="s">
        <v>3378</v>
      </c>
      <c r="B30" s="2031">
        <v>2024</v>
      </c>
      <c r="C30" s="2042">
        <v>1</v>
      </c>
      <c r="D30" s="2007"/>
      <c r="E30" s="2007">
        <v>0.25</v>
      </c>
      <c r="F30" s="2007">
        <v>0.4</v>
      </c>
      <c r="G30" s="2007">
        <v>-0.63</v>
      </c>
      <c r="H30" s="2918"/>
      <c r="I30" s="2008">
        <f>F30</f>
        <v>0.4</v>
      </c>
      <c r="J30" s="2907"/>
      <c r="K30" s="2043"/>
      <c r="L30" s="2028">
        <f>E30/100</f>
        <v>2.5000000000000001E-3</v>
      </c>
      <c r="M30" s="2028">
        <f>F30/100</f>
        <v>4.0000000000000001E-3</v>
      </c>
      <c r="N30" s="2028">
        <f>G30/100</f>
        <v>-6.3E-3</v>
      </c>
      <c r="O30" s="2028"/>
      <c r="P30" s="2028">
        <f t="shared" si="9"/>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si="10"/>
        <v>1.0338000000000001</v>
      </c>
      <c r="X30" s="2907"/>
      <c r="Y30" s="2028"/>
      <c r="Z30" s="2903"/>
      <c r="AA30" s="2904"/>
      <c r="AB30" s="2028"/>
      <c r="AC30" s="2905"/>
      <c r="AD30" s="2028"/>
    </row>
    <row r="31" spans="1:30" s="2045" customFormat="1" ht="12.75">
      <c r="A31" s="2906" t="s">
        <v>3375</v>
      </c>
      <c r="B31" s="2031">
        <v>2023</v>
      </c>
      <c r="C31" s="2042">
        <v>4</v>
      </c>
      <c r="D31" s="2007"/>
      <c r="E31" s="2007">
        <v>7.0000000000000007E-2</v>
      </c>
      <c r="F31" s="2007">
        <v>0.09</v>
      </c>
      <c r="G31" s="2007">
        <v>0.03</v>
      </c>
      <c r="H31" s="2918"/>
      <c r="I31" s="2008">
        <f>F31</f>
        <v>0.09</v>
      </c>
      <c r="J31" s="2907"/>
      <c r="K31" s="2043"/>
      <c r="L31" s="2028">
        <f t="shared" si="13"/>
        <v>7.000000000000001E-4</v>
      </c>
      <c r="M31" s="2028">
        <f t="shared" si="13"/>
        <v>8.9999999999999998E-4</v>
      </c>
      <c r="N31" s="2028">
        <f t="shared" si="13"/>
        <v>2.9999999999999997E-4</v>
      </c>
      <c r="O31" s="2028"/>
      <c r="P31" s="2028">
        <f t="shared" si="9"/>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si="10"/>
        <v>1.0297000000000001</v>
      </c>
      <c r="X31" s="2907"/>
      <c r="Y31" s="2028"/>
      <c r="Z31" s="2903"/>
      <c r="AA31" s="2904"/>
      <c r="AB31" s="2028"/>
      <c r="AC31" s="2905"/>
      <c r="AD31" s="2028"/>
    </row>
    <row r="32" spans="1:30" s="2045" customFormat="1" ht="12.75">
      <c r="A32" s="2906" t="s">
        <v>3373</v>
      </c>
      <c r="B32" s="2031">
        <v>2023</v>
      </c>
      <c r="C32" s="2042">
        <v>3</v>
      </c>
      <c r="D32" s="2007"/>
      <c r="E32" s="2007">
        <v>0.35</v>
      </c>
      <c r="F32" s="2007">
        <v>0.17</v>
      </c>
      <c r="G32" s="2007">
        <v>0.52</v>
      </c>
      <c r="H32" s="2918"/>
      <c r="I32" s="2008">
        <f t="shared" si="12"/>
        <v>0.17</v>
      </c>
      <c r="J32" s="2907"/>
      <c r="K32" s="2043"/>
      <c r="L32" s="2028">
        <f t="shared" ref="L32:N34" si="14">E32/100</f>
        <v>3.4999999999999996E-3</v>
      </c>
      <c r="M32" s="2028">
        <f t="shared" si="14"/>
        <v>1.7000000000000001E-3</v>
      </c>
      <c r="N32" s="2028">
        <f t="shared" si="14"/>
        <v>5.1999999999999998E-3</v>
      </c>
      <c r="O32" s="2028"/>
      <c r="P32" s="2028">
        <f t="shared" si="9"/>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si="10"/>
        <v>1.0286999999999999</v>
      </c>
      <c r="X32" s="2907"/>
      <c r="Y32" s="2028"/>
      <c r="Z32" s="2903"/>
      <c r="AA32" s="2904"/>
      <c r="AB32" s="2028"/>
      <c r="AC32" s="2905"/>
      <c r="AD32" s="2028"/>
    </row>
    <row r="33" spans="1:30" s="2045" customFormat="1" ht="12.75">
      <c r="A33" s="2906" t="s">
        <v>3372</v>
      </c>
      <c r="B33" s="2031">
        <v>2023</v>
      </c>
      <c r="C33" s="2042">
        <v>2</v>
      </c>
      <c r="D33" s="2007"/>
      <c r="E33" s="2007">
        <v>0.5</v>
      </c>
      <c r="F33" s="2007">
        <v>0.45</v>
      </c>
      <c r="G33" s="2007">
        <v>0.89</v>
      </c>
      <c r="H33" s="2918"/>
      <c r="I33" s="2008">
        <f t="shared" si="12"/>
        <v>0.45</v>
      </c>
      <c r="J33" s="2907"/>
      <c r="K33" s="2043"/>
      <c r="L33" s="2028">
        <f t="shared" si="14"/>
        <v>5.0000000000000001E-3</v>
      </c>
      <c r="M33" s="2028">
        <f t="shared" si="14"/>
        <v>4.5000000000000005E-3</v>
      </c>
      <c r="N33" s="2028">
        <f t="shared" si="14"/>
        <v>8.8999999999999999E-3</v>
      </c>
      <c r="O33" s="2028"/>
      <c r="P33" s="2028">
        <f t="shared" si="9"/>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10"/>
        <v>1.0269999999999999</v>
      </c>
      <c r="X33" s="2907"/>
      <c r="Y33" s="2028"/>
      <c r="Z33" s="2903"/>
      <c r="AA33" s="2904"/>
      <c r="AB33" s="2028"/>
      <c r="AC33" s="2905"/>
      <c r="AD33" s="2028"/>
    </row>
    <row r="34" spans="1:30" s="2045" customFormat="1" ht="12.75">
      <c r="A34" s="2906" t="s">
        <v>3368</v>
      </c>
      <c r="B34" s="2031">
        <v>2023</v>
      </c>
      <c r="C34" s="2042">
        <v>1</v>
      </c>
      <c r="D34" s="2007"/>
      <c r="E34" s="2007">
        <v>0.55000000000000004</v>
      </c>
      <c r="F34" s="2007">
        <v>0.59</v>
      </c>
      <c r="G34" s="2007">
        <v>0.64</v>
      </c>
      <c r="H34" s="2918"/>
      <c r="I34" s="2008">
        <f t="shared" si="12"/>
        <v>0.59</v>
      </c>
      <c r="J34" s="2907"/>
      <c r="K34" s="2043"/>
      <c r="L34" s="2028">
        <f t="shared" si="14"/>
        <v>5.5000000000000005E-3</v>
      </c>
      <c r="M34" s="2028">
        <f t="shared" si="14"/>
        <v>5.8999999999999999E-3</v>
      </c>
      <c r="N34" s="2028">
        <f t="shared" si="14"/>
        <v>6.4000000000000003E-3</v>
      </c>
      <c r="O34" s="2028"/>
      <c r="P34" s="2028">
        <f t="shared" si="9"/>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10"/>
        <v>1.0224</v>
      </c>
      <c r="X34" s="2907"/>
      <c r="Y34" s="2028"/>
      <c r="Z34" s="2903"/>
      <c r="AA34" s="2904"/>
      <c r="AB34" s="2028"/>
      <c r="AC34" s="2905"/>
      <c r="AD34" s="2028"/>
    </row>
    <row r="35" spans="1:30" s="2045" customFormat="1" ht="12.75">
      <c r="A35" s="2906" t="s">
        <v>3367</v>
      </c>
      <c r="B35" s="2031">
        <v>2022</v>
      </c>
      <c r="C35" s="2042">
        <v>4</v>
      </c>
      <c r="D35" s="2007"/>
      <c r="E35" s="2007">
        <v>0.45</v>
      </c>
      <c r="F35" s="2007">
        <v>0.2</v>
      </c>
      <c r="G35" s="2007">
        <v>0.38</v>
      </c>
      <c r="H35" s="2918"/>
      <c r="I35" s="2008">
        <f t="shared" si="12"/>
        <v>0.2</v>
      </c>
      <c r="J35" s="2907"/>
      <c r="K35" s="2043"/>
      <c r="L35" s="2028">
        <f t="shared" si="13"/>
        <v>4.5000000000000005E-3</v>
      </c>
      <c r="M35" s="2028">
        <f t="shared" si="13"/>
        <v>2E-3</v>
      </c>
      <c r="N35" s="2028">
        <f t="shared" si="13"/>
        <v>3.8E-3</v>
      </c>
      <c r="O35" s="2028"/>
      <c r="P35" s="2028">
        <f t="shared" ref="P35:P42" si="15">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16">T35</f>
        <v>1.0164</v>
      </c>
      <c r="X35" s="2907"/>
      <c r="Y35" s="2028"/>
      <c r="Z35" s="2903">
        <f t="shared" ref="Z35:AD42" si="17">IF(E35=0,0,ROUND(AVERAGE(E35:E43)/100,4))</f>
        <v>4.0000000000000001E-3</v>
      </c>
      <c r="AA35" s="2904">
        <f t="shared" si="17"/>
        <v>2.5999999999999999E-3</v>
      </c>
      <c r="AB35" s="2028">
        <f t="shared" si="17"/>
        <v>7.4000000000000003E-3</v>
      </c>
      <c r="AC35" s="2905"/>
      <c r="AD35" s="2028">
        <f t="shared" si="17"/>
        <v>2.5999999999999999E-3</v>
      </c>
    </row>
    <row r="36" spans="1:30" s="2045" customFormat="1" ht="12.75">
      <c r="A36" s="2906" t="s">
        <v>3364</v>
      </c>
      <c r="B36" s="2031">
        <v>2022</v>
      </c>
      <c r="C36" s="2042">
        <v>3</v>
      </c>
      <c r="D36" s="2007"/>
      <c r="E36" s="2007">
        <v>0.3</v>
      </c>
      <c r="F36" s="2007">
        <v>0.28999999999999998</v>
      </c>
      <c r="G36" s="2007">
        <v>0.83</v>
      </c>
      <c r="H36" s="2918"/>
      <c r="I36" s="2008">
        <f t="shared" si="12"/>
        <v>0.28999999999999998</v>
      </c>
      <c r="J36" s="2907"/>
      <c r="K36" s="2043"/>
      <c r="L36" s="2028">
        <f t="shared" si="13"/>
        <v>3.0000000000000001E-3</v>
      </c>
      <c r="M36" s="2028">
        <f t="shared" si="13"/>
        <v>2.8999999999999998E-3</v>
      </c>
      <c r="N36" s="2028">
        <f t="shared" si="13"/>
        <v>8.3000000000000001E-3</v>
      </c>
      <c r="O36" s="2028"/>
      <c r="P36" s="2028">
        <f t="shared" si="15"/>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16"/>
        <v>1.0144</v>
      </c>
      <c r="X36" s="2907"/>
      <c r="Y36" s="2028"/>
      <c r="Z36" s="2903">
        <f t="shared" si="17"/>
        <v>3.8999999999999998E-3</v>
      </c>
      <c r="AA36" s="2904">
        <f t="shared" si="17"/>
        <v>2.7000000000000001E-3</v>
      </c>
      <c r="AB36" s="2028">
        <f t="shared" si="17"/>
        <v>7.9000000000000008E-3</v>
      </c>
      <c r="AC36" s="2905"/>
      <c r="AD36" s="2028">
        <f t="shared" si="17"/>
        <v>2.7000000000000001E-3</v>
      </c>
    </row>
    <row r="37" spans="1:30" s="2045" customFormat="1" ht="12.75">
      <c r="A37" s="2906" t="s">
        <v>3354</v>
      </c>
      <c r="B37" s="2031">
        <v>2022</v>
      </c>
      <c r="C37" s="2042">
        <v>2</v>
      </c>
      <c r="D37" s="2007"/>
      <c r="E37" s="2007">
        <v>-0.11</v>
      </c>
      <c r="F37" s="2007">
        <v>-0.13</v>
      </c>
      <c r="G37" s="2007">
        <v>0.53</v>
      </c>
      <c r="H37" s="2918"/>
      <c r="I37" s="2008">
        <f t="shared" si="12"/>
        <v>-0.13</v>
      </c>
      <c r="J37" s="2907"/>
      <c r="K37" s="2043"/>
      <c r="L37" s="2028">
        <f t="shared" si="13"/>
        <v>-1.1000000000000001E-3</v>
      </c>
      <c r="M37" s="2028">
        <f t="shared" si="13"/>
        <v>-1.2999999999999999E-3</v>
      </c>
      <c r="N37" s="2028">
        <f t="shared" si="13"/>
        <v>5.3E-3</v>
      </c>
      <c r="O37" s="2028"/>
      <c r="P37" s="2028">
        <f t="shared" si="15"/>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16"/>
        <v>1.0114000000000001</v>
      </c>
      <c r="X37" s="2907"/>
      <c r="Y37" s="2028"/>
      <c r="Z37" s="2903">
        <f t="shared" si="17"/>
        <v>4.1000000000000003E-3</v>
      </c>
      <c r="AA37" s="2904">
        <f t="shared" si="17"/>
        <v>2.7000000000000001E-3</v>
      </c>
      <c r="AB37" s="2028">
        <f t="shared" si="17"/>
        <v>7.9000000000000008E-3</v>
      </c>
      <c r="AC37" s="2905"/>
      <c r="AD37" s="2028">
        <f t="shared" si="17"/>
        <v>2.7000000000000001E-3</v>
      </c>
    </row>
    <row r="38" spans="1:30" s="2045" customFormat="1" ht="12.75">
      <c r="A38" s="2906" t="s">
        <v>2835</v>
      </c>
      <c r="B38" s="2031">
        <v>2022</v>
      </c>
      <c r="C38" s="2042">
        <v>1</v>
      </c>
      <c r="D38" s="2007"/>
      <c r="E38" s="2007">
        <v>0.6</v>
      </c>
      <c r="F38" s="2007">
        <v>0.45</v>
      </c>
      <c r="G38" s="2007">
        <v>0.53</v>
      </c>
      <c r="H38" s="2918"/>
      <c r="I38" s="2008">
        <f t="shared" si="12"/>
        <v>0.45</v>
      </c>
      <c r="J38" s="2907"/>
      <c r="K38" s="2043"/>
      <c r="L38" s="2028">
        <f t="shared" si="13"/>
        <v>6.0000000000000001E-3</v>
      </c>
      <c r="M38" s="2028">
        <f t="shared" si="13"/>
        <v>4.5000000000000005E-3</v>
      </c>
      <c r="N38" s="2028">
        <f t="shared" si="13"/>
        <v>5.3E-3</v>
      </c>
      <c r="O38" s="2028"/>
      <c r="P38" s="2028">
        <f t="shared" si="15"/>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16"/>
        <v>1.0127999999999999</v>
      </c>
      <c r="X38" s="2907"/>
      <c r="Y38" s="2028"/>
      <c r="Z38" s="2903">
        <f t="shared" si="17"/>
        <v>5.1000000000000004E-3</v>
      </c>
      <c r="AA38" s="2904">
        <f t="shared" si="17"/>
        <v>3.5000000000000001E-3</v>
      </c>
      <c r="AB38" s="2028">
        <f t="shared" si="17"/>
        <v>8.3999999999999995E-3</v>
      </c>
      <c r="AC38" s="2905"/>
      <c r="AD38" s="2028">
        <f t="shared" si="17"/>
        <v>3.5000000000000001E-3</v>
      </c>
    </row>
    <row r="39" spans="1:30" s="2045" customFormat="1" ht="12.75">
      <c r="A39" s="2906" t="s">
        <v>2836</v>
      </c>
      <c r="B39" s="2031">
        <v>2021</v>
      </c>
      <c r="C39" s="2042">
        <v>4</v>
      </c>
      <c r="D39" s="2007"/>
      <c r="E39" s="2007">
        <v>0.57999999999999996</v>
      </c>
      <c r="F39" s="2007">
        <v>0.08</v>
      </c>
      <c r="G39" s="2007">
        <v>0.68</v>
      </c>
      <c r="H39" s="2918"/>
      <c r="I39" s="2008">
        <f t="shared" si="12"/>
        <v>0.08</v>
      </c>
      <c r="J39" s="2907"/>
      <c r="K39" s="2043"/>
      <c r="L39" s="2028">
        <f t="shared" si="13"/>
        <v>5.7999999999999996E-3</v>
      </c>
      <c r="M39" s="2028">
        <f t="shared" si="13"/>
        <v>8.0000000000000004E-4</v>
      </c>
      <c r="N39" s="2028">
        <f t="shared" si="13"/>
        <v>6.8000000000000005E-3</v>
      </c>
      <c r="O39" s="2028"/>
      <c r="P39" s="2028">
        <f t="shared" si="15"/>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16"/>
        <v>1.0082</v>
      </c>
      <c r="X39" s="2907"/>
      <c r="Y39" s="2028"/>
      <c r="Z39" s="2903">
        <f t="shared" si="17"/>
        <v>4.8999999999999998E-3</v>
      </c>
      <c r="AA39" s="2904">
        <f t="shared" si="17"/>
        <v>3.3E-3</v>
      </c>
      <c r="AB39" s="2028">
        <f t="shared" si="17"/>
        <v>9.1999999999999998E-3</v>
      </c>
      <c r="AC39" s="2905"/>
      <c r="AD39" s="2028">
        <f t="shared" si="17"/>
        <v>3.3E-3</v>
      </c>
    </row>
    <row r="40" spans="1:30" s="2045" customFormat="1" ht="12.75">
      <c r="A40" s="2906" t="s">
        <v>2837</v>
      </c>
      <c r="B40" s="2031">
        <v>2021</v>
      </c>
      <c r="C40" s="2042">
        <v>3</v>
      </c>
      <c r="D40" s="2007"/>
      <c r="E40" s="2007">
        <v>0.47</v>
      </c>
      <c r="F40" s="2007">
        <v>0.28000000000000003</v>
      </c>
      <c r="G40" s="2007">
        <v>0.91</v>
      </c>
      <c r="H40" s="2918"/>
      <c r="I40" s="2008">
        <f t="shared" si="12"/>
        <v>0.28000000000000003</v>
      </c>
      <c r="J40" s="2907"/>
      <c r="K40" s="2043"/>
      <c r="L40" s="2028">
        <f t="shared" si="13"/>
        <v>4.6999999999999993E-3</v>
      </c>
      <c r="M40" s="2028">
        <f t="shared" si="13"/>
        <v>2.8000000000000004E-3</v>
      </c>
      <c r="N40" s="2028">
        <f t="shared" si="13"/>
        <v>9.1000000000000004E-3</v>
      </c>
      <c r="O40" s="2028"/>
      <c r="P40" s="2028">
        <f t="shared" si="15"/>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16"/>
        <v>1.0074000000000001</v>
      </c>
      <c r="X40" s="2907"/>
      <c r="Y40" s="2028"/>
      <c r="Z40" s="2903">
        <f t="shared" si="17"/>
        <v>4.5999999999999999E-3</v>
      </c>
      <c r="AA40" s="2904">
        <f t="shared" si="17"/>
        <v>4.1000000000000003E-3</v>
      </c>
      <c r="AB40" s="2028">
        <f t="shared" si="17"/>
        <v>0.01</v>
      </c>
      <c r="AC40" s="2905"/>
      <c r="AD40" s="2028">
        <f t="shared" si="17"/>
        <v>4.1000000000000003E-3</v>
      </c>
    </row>
    <row r="41" spans="1:30" s="2045" customFormat="1" ht="12.75">
      <c r="A41" s="2906" t="s">
        <v>2838</v>
      </c>
      <c r="B41" s="2031">
        <v>2021</v>
      </c>
      <c r="C41" s="2042">
        <v>2</v>
      </c>
      <c r="D41" s="2007"/>
      <c r="E41" s="2007">
        <v>0.55000000000000004</v>
      </c>
      <c r="F41" s="2007">
        <v>0.46</v>
      </c>
      <c r="G41" s="2007">
        <v>1.1000000000000001</v>
      </c>
      <c r="H41" s="2918"/>
      <c r="I41" s="2008">
        <f t="shared" si="12"/>
        <v>0.46</v>
      </c>
      <c r="J41" s="2907"/>
      <c r="K41" s="2043"/>
      <c r="L41" s="2028">
        <f t="shared" si="13"/>
        <v>5.5000000000000005E-3</v>
      </c>
      <c r="M41" s="2028">
        <f t="shared" si="13"/>
        <v>4.5999999999999999E-3</v>
      </c>
      <c r="N41" s="2028">
        <f t="shared" si="13"/>
        <v>1.1000000000000001E-2</v>
      </c>
      <c r="O41" s="2028"/>
      <c r="P41" s="2028">
        <f t="shared" si="15"/>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16"/>
        <v>1.0045999999999999</v>
      </c>
      <c r="X41" s="2907"/>
      <c r="Y41" s="2028"/>
      <c r="Z41" s="2903">
        <f t="shared" si="17"/>
        <v>4.4999999999999997E-3</v>
      </c>
      <c r="AA41" s="2904">
        <f t="shared" si="17"/>
        <v>4.7000000000000002E-3</v>
      </c>
      <c r="AB41" s="2028">
        <f t="shared" si="17"/>
        <v>1.04E-2</v>
      </c>
      <c r="AC41" s="2905"/>
      <c r="AD41" s="2028">
        <f t="shared" si="17"/>
        <v>4.7000000000000002E-3</v>
      </c>
    </row>
    <row r="42" spans="1:30" s="2929" customFormat="1" thickBot="1">
      <c r="A42" s="2919" t="s">
        <v>2824</v>
      </c>
      <c r="B42" s="2920">
        <v>2021</v>
      </c>
      <c r="C42" s="2921">
        <v>1</v>
      </c>
      <c r="D42" s="2922"/>
      <c r="E42" s="2922">
        <v>0.35</v>
      </c>
      <c r="F42" s="2922">
        <v>0.48</v>
      </c>
      <c r="G42" s="2922">
        <v>0.98</v>
      </c>
      <c r="H42" s="2923"/>
      <c r="I42" s="2924">
        <f t="shared" si="12"/>
        <v>0.48</v>
      </c>
      <c r="J42" s="2925"/>
      <c r="K42" s="2926"/>
      <c r="L42" s="2927">
        <f t="shared" si="13"/>
        <v>3.4999999999999996E-3</v>
      </c>
      <c r="M42" s="2927">
        <f>F42/100</f>
        <v>4.7999999999999996E-3</v>
      </c>
      <c r="N42" s="2927">
        <f t="shared" si="13"/>
        <v>9.7999999999999997E-3</v>
      </c>
      <c r="O42" s="2927"/>
      <c r="P42" s="2927">
        <f t="shared" si="15"/>
        <v>4.7999999999999996E-3</v>
      </c>
      <c r="Q42" s="2925"/>
      <c r="R42" s="2928"/>
      <c r="S42" s="2928">
        <v>1</v>
      </c>
      <c r="T42" s="2928">
        <v>1</v>
      </c>
      <c r="U42" s="2928">
        <v>1</v>
      </c>
      <c r="V42" s="2928"/>
      <c r="W42" s="2928">
        <f t="shared" si="16"/>
        <v>1</v>
      </c>
      <c r="X42" s="2925"/>
      <c r="Y42" s="2927"/>
      <c r="Z42" s="2935">
        <f t="shared" si="17"/>
        <v>3.5000000000000001E-3</v>
      </c>
      <c r="AA42" s="2936">
        <f t="shared" si="17"/>
        <v>4.7999999999999996E-3</v>
      </c>
      <c r="AB42" s="2927">
        <f t="shared" si="17"/>
        <v>9.7999999999999997E-3</v>
      </c>
      <c r="AC42" s="2937"/>
      <c r="AD42" s="2927">
        <f t="shared" si="17"/>
        <v>4.7999999999999996E-3</v>
      </c>
    </row>
    <row r="43" spans="1:30" ht="14.25" thickTop="1"/>
    <row r="44" spans="1:30">
      <c r="A44" s="3144"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B24" si="0">B6*(1+N5)</f>
        <v>510.07089659554606</v>
      </c>
      <c r="C5" s="2041">
        <f t="shared" ref="C5:C24" si="1">C6*(1+O5)</f>
        <v>352.55593185737411</v>
      </c>
      <c r="D5" s="2041">
        <f t="shared" ref="D5:D29" si="2">C5</f>
        <v>352.55593185737411</v>
      </c>
      <c r="E5" s="2041">
        <f t="shared" ref="E5:E24" si="3">E6*(1+P5)</f>
        <v>737.27992463403655</v>
      </c>
      <c r="F5" s="2041">
        <f t="shared" ref="F5:F24" si="4">F6*(1+Q5)</f>
        <v>335.88319198297864</v>
      </c>
      <c r="G5" s="2031">
        <v>2022</v>
      </c>
      <c r="H5" s="2042">
        <v>1</v>
      </c>
      <c r="I5" s="2007">
        <v>0</v>
      </c>
      <c r="J5" s="2007">
        <v>0</v>
      </c>
      <c r="K5" s="2007">
        <v>0</v>
      </c>
      <c r="L5" s="2008">
        <v>0</v>
      </c>
      <c r="M5" s="2027"/>
      <c r="N5" s="2043">
        <f t="shared" ref="N5:N16" si="5">I5/100</f>
        <v>0</v>
      </c>
      <c r="O5" s="2028">
        <f t="shared" ref="O5:O16" si="6">J5/100</f>
        <v>0</v>
      </c>
      <c r="P5" s="2028">
        <f t="shared" ref="P5:P16" si="7">K5/100</f>
        <v>0</v>
      </c>
      <c r="Q5" s="2028">
        <f t="shared" ref="Q5:Q16" si="8">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Z39" si="9">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AF40" si="10">AE5</f>
        <v>9.7000000000000003E-3</v>
      </c>
      <c r="AG5" s="2028">
        <f>ROUND(AVERAGE(K5:K$40)/100,4)</f>
        <v>1.66E-2</v>
      </c>
      <c r="AH5" s="2028">
        <f>ROUND(AVERAGE(L5:L$40)/100,4)</f>
        <v>1.0999999999999999E-2</v>
      </c>
    </row>
    <row r="6" spans="1:34" s="2034" customFormat="1">
      <c r="A6" s="2029" t="s">
        <v>3359</v>
      </c>
      <c r="B6" s="2030">
        <f t="shared" si="0"/>
        <v>510.07089659554606</v>
      </c>
      <c r="C6" s="2030">
        <f t="shared" si="1"/>
        <v>352.55593185737411</v>
      </c>
      <c r="D6" s="2030">
        <f t="shared" si="2"/>
        <v>352.55593185737411</v>
      </c>
      <c r="E6" s="2030">
        <f t="shared" si="3"/>
        <v>737.27992463403655</v>
      </c>
      <c r="F6" s="2030">
        <f t="shared" si="4"/>
        <v>335.88319198297864</v>
      </c>
      <c r="G6" s="2031">
        <v>2022</v>
      </c>
      <c r="H6" s="2032">
        <v>1</v>
      </c>
      <c r="I6" s="2033">
        <v>0</v>
      </c>
      <c r="J6" s="2033">
        <v>0</v>
      </c>
      <c r="K6" s="2033">
        <v>0</v>
      </c>
      <c r="L6" s="2033">
        <v>0</v>
      </c>
      <c r="N6" s="2035">
        <f t="shared" si="5"/>
        <v>0</v>
      </c>
      <c r="O6" s="2035">
        <f t="shared" si="6"/>
        <v>0</v>
      </c>
      <c r="P6" s="2035">
        <f t="shared" si="7"/>
        <v>0</v>
      </c>
      <c r="Q6" s="2035">
        <f t="shared" si="8"/>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si="9"/>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si="10"/>
        <v>0.01</v>
      </c>
      <c r="AG6" s="2039">
        <f>ROUND(AVERAGE(K6:K$40)/100,4)</f>
        <v>1.7100000000000001E-2</v>
      </c>
      <c r="AH6" s="2039">
        <f>ROUND(AVERAGE(L6:L$40)/100,4)</f>
        <v>1.1299999999999999E-2</v>
      </c>
    </row>
    <row r="7" spans="1:34" s="2045" customFormat="1">
      <c r="A7" s="2040" t="s">
        <v>3360</v>
      </c>
      <c r="B7" s="2041">
        <f t="shared" si="0"/>
        <v>510.07089659554606</v>
      </c>
      <c r="C7" s="2041">
        <f t="shared" si="1"/>
        <v>352.55593185737411</v>
      </c>
      <c r="D7" s="2041">
        <f t="shared" si="2"/>
        <v>352.55593185737411</v>
      </c>
      <c r="E7" s="2041">
        <f t="shared" si="3"/>
        <v>737.27992463403655</v>
      </c>
      <c r="F7" s="2041">
        <f t="shared" si="4"/>
        <v>335.88319198297864</v>
      </c>
      <c r="G7" s="2031">
        <v>2022</v>
      </c>
      <c r="H7" s="2042">
        <v>1</v>
      </c>
      <c r="I7" s="2007">
        <v>0</v>
      </c>
      <c r="J7" s="2007">
        <v>0</v>
      </c>
      <c r="K7" s="2007">
        <v>0</v>
      </c>
      <c r="L7" s="2008">
        <v>0</v>
      </c>
      <c r="M7" s="2027"/>
      <c r="N7" s="2043">
        <f t="shared" si="5"/>
        <v>0</v>
      </c>
      <c r="O7" s="2028">
        <f t="shared" si="6"/>
        <v>0</v>
      </c>
      <c r="P7" s="2028">
        <f t="shared" si="7"/>
        <v>0</v>
      </c>
      <c r="Q7" s="2028">
        <f t="shared" si="8"/>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si="9"/>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si="10"/>
        <v>1.03E-2</v>
      </c>
      <c r="AG7" s="2028">
        <f>ROUND(AVERAGE(K7:K$40)/100,4)</f>
        <v>1.7600000000000001E-2</v>
      </c>
      <c r="AH7" s="2028">
        <f>ROUND(AVERAGE(L7:L$40)/100,4)</f>
        <v>1.1599999999999999E-2</v>
      </c>
    </row>
    <row r="8" spans="1:34" s="2045" customFormat="1">
      <c r="A8" s="2040" t="s">
        <v>3361</v>
      </c>
      <c r="B8" s="2041">
        <f t="shared" si="0"/>
        <v>510.07089659554606</v>
      </c>
      <c r="C8" s="2041">
        <f t="shared" si="1"/>
        <v>352.55593185737411</v>
      </c>
      <c r="D8" s="2041">
        <f t="shared" si="2"/>
        <v>352.55593185737411</v>
      </c>
      <c r="E8" s="2041">
        <f t="shared" si="3"/>
        <v>737.27992463403655</v>
      </c>
      <c r="F8" s="2041">
        <f t="shared" si="4"/>
        <v>335.88319198297864</v>
      </c>
      <c r="G8" s="2031">
        <v>2022</v>
      </c>
      <c r="H8" s="2042">
        <v>1</v>
      </c>
      <c r="I8" s="2007"/>
      <c r="J8" s="2007"/>
      <c r="K8" s="2007">
        <v>0</v>
      </c>
      <c r="L8" s="2008">
        <v>0</v>
      </c>
      <c r="M8" s="2027"/>
      <c r="N8" s="2043">
        <f t="shared" si="5"/>
        <v>0</v>
      </c>
      <c r="O8" s="2028">
        <f t="shared" si="6"/>
        <v>0</v>
      </c>
      <c r="P8" s="2028">
        <f t="shared" si="7"/>
        <v>0</v>
      </c>
      <c r="Q8" s="2028">
        <f t="shared" si="8"/>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si="9"/>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si="10"/>
        <v>1.06E-2</v>
      </c>
      <c r="AG8" s="2028">
        <f>ROUND(AVERAGE(K8:K$40)/100,4)</f>
        <v>1.8100000000000002E-2</v>
      </c>
      <c r="AH8" s="2028">
        <f>ROUND(AVERAGE(L8:L$40)/100,4)</f>
        <v>1.2E-2</v>
      </c>
    </row>
    <row r="9" spans="1:34" s="2045" customFormat="1">
      <c r="A9" s="2040" t="s">
        <v>2436</v>
      </c>
      <c r="B9" s="2041">
        <f t="shared" si="0"/>
        <v>510.07089659554606</v>
      </c>
      <c r="C9" s="2041">
        <f t="shared" si="1"/>
        <v>352.55593185737411</v>
      </c>
      <c r="D9" s="2041">
        <f t="shared" si="2"/>
        <v>352.55593185737411</v>
      </c>
      <c r="E9" s="2041">
        <f t="shared" si="3"/>
        <v>737.27992463403655</v>
      </c>
      <c r="F9" s="2041">
        <f t="shared" si="4"/>
        <v>335.88319198297864</v>
      </c>
      <c r="G9" s="2031">
        <v>2021</v>
      </c>
      <c r="H9" s="2042">
        <v>4</v>
      </c>
      <c r="I9" s="2007">
        <v>1.03</v>
      </c>
      <c r="J9" s="2007">
        <v>0.24</v>
      </c>
      <c r="K9" s="2007">
        <v>1.17</v>
      </c>
      <c r="L9" s="2008">
        <v>0.55000000000000004</v>
      </c>
      <c r="M9" s="2027"/>
      <c r="N9" s="2043">
        <f t="shared" si="5"/>
        <v>1.03E-2</v>
      </c>
      <c r="O9" s="2028">
        <f t="shared" si="6"/>
        <v>2.3999999999999998E-3</v>
      </c>
      <c r="P9" s="2028">
        <f t="shared" si="7"/>
        <v>1.1699999999999999E-2</v>
      </c>
      <c r="Q9" s="2028">
        <f t="shared" si="8"/>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si="9"/>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si="10"/>
        <v>1.06E-2</v>
      </c>
      <c r="AG9" s="2028">
        <f>ROUND(AVERAGE(K9:K$40)/100,4)</f>
        <v>1.8700000000000001E-2</v>
      </c>
      <c r="AH9" s="2028">
        <f>ROUND(AVERAGE(L9:L$40)/100,4)</f>
        <v>1.24E-2</v>
      </c>
    </row>
    <row r="10" spans="1:34" s="2045" customFormat="1">
      <c r="A10" s="2040" t="s">
        <v>2315</v>
      </c>
      <c r="B10" s="2041">
        <f t="shared" si="0"/>
        <v>504.87072809615569</v>
      </c>
      <c r="C10" s="2041">
        <f t="shared" si="1"/>
        <v>351.71182348101968</v>
      </c>
      <c r="D10" s="2041">
        <f t="shared" si="2"/>
        <v>351.71182348101968</v>
      </c>
      <c r="E10" s="2041">
        <f t="shared" si="3"/>
        <v>728.75350858360832</v>
      </c>
      <c r="F10" s="2041">
        <f t="shared" si="4"/>
        <v>334.04593931673656</v>
      </c>
      <c r="G10" s="2031">
        <v>2021</v>
      </c>
      <c r="H10" s="2042">
        <v>3</v>
      </c>
      <c r="I10" s="2007">
        <v>0.47</v>
      </c>
      <c r="J10" s="2007">
        <v>0.41</v>
      </c>
      <c r="K10" s="2007">
        <v>0.48</v>
      </c>
      <c r="L10" s="2008">
        <v>0.48</v>
      </c>
      <c r="M10" s="2027"/>
      <c r="N10" s="2043">
        <f t="shared" si="5"/>
        <v>4.6999999999999993E-3</v>
      </c>
      <c r="O10" s="2028">
        <f t="shared" si="6"/>
        <v>4.0999999999999995E-3</v>
      </c>
      <c r="P10" s="2028">
        <f t="shared" si="7"/>
        <v>4.7999999999999996E-3</v>
      </c>
      <c r="Q10" s="2028">
        <f t="shared" si="8"/>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si="9"/>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si="10"/>
        <v>1.09E-2</v>
      </c>
      <c r="AG10" s="2028">
        <f>ROUND(AVERAGE(K10:K$40)/100,4)</f>
        <v>1.89E-2</v>
      </c>
      <c r="AH10" s="2028">
        <f>ROUND(AVERAGE(L10:L$40)/100,4)</f>
        <v>1.26E-2</v>
      </c>
    </row>
    <row r="11" spans="1:34" s="2045" customFormat="1">
      <c r="A11" s="2040" t="s">
        <v>2314</v>
      </c>
      <c r="B11" s="2041">
        <f t="shared" si="0"/>
        <v>502.50893609650217</v>
      </c>
      <c r="C11" s="2041">
        <f t="shared" si="1"/>
        <v>350.27569313914915</v>
      </c>
      <c r="D11" s="2041">
        <f t="shared" si="2"/>
        <v>350.27569313914915</v>
      </c>
      <c r="E11" s="2041">
        <f t="shared" si="3"/>
        <v>725.27220201394141</v>
      </c>
      <c r="F11" s="2041">
        <f t="shared" si="4"/>
        <v>332.45017846012797</v>
      </c>
      <c r="G11" s="2031">
        <v>2021</v>
      </c>
      <c r="H11" s="2042">
        <v>2</v>
      </c>
      <c r="I11" s="2007">
        <v>0.92</v>
      </c>
      <c r="J11" s="2007">
        <v>0.72</v>
      </c>
      <c r="K11" s="2007">
        <v>0.95</v>
      </c>
      <c r="L11" s="2008">
        <v>1.01</v>
      </c>
      <c r="M11" s="2027"/>
      <c r="N11" s="2043">
        <f t="shared" si="5"/>
        <v>9.1999999999999998E-3</v>
      </c>
      <c r="O11" s="2028">
        <f t="shared" si="6"/>
        <v>7.1999999999999998E-3</v>
      </c>
      <c r="P11" s="2028">
        <f t="shared" si="7"/>
        <v>9.4999999999999998E-3</v>
      </c>
      <c r="Q11" s="2028">
        <f t="shared" si="8"/>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si="9"/>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si="10"/>
        <v>1.11E-2</v>
      </c>
      <c r="AG11" s="2028">
        <f>ROUND(AVERAGE(K11:K$40)/100,4)</f>
        <v>1.9400000000000001E-2</v>
      </c>
      <c r="AH11" s="2028">
        <f>ROUND(AVERAGE(L11:L$40)/100,4)</f>
        <v>1.2800000000000001E-2</v>
      </c>
    </row>
    <row r="12" spans="1:34" s="2045" customFormat="1">
      <c r="A12" s="2040" t="s">
        <v>2313</v>
      </c>
      <c r="B12" s="2041">
        <f t="shared" si="0"/>
        <v>497.92799851020823</v>
      </c>
      <c r="C12" s="2041">
        <f t="shared" si="1"/>
        <v>347.77173663537445</v>
      </c>
      <c r="D12" s="2041">
        <f t="shared" si="2"/>
        <v>347.77173663537445</v>
      </c>
      <c r="E12" s="2041">
        <f t="shared" si="3"/>
        <v>718.44695593258189</v>
      </c>
      <c r="F12" s="2041">
        <f t="shared" si="4"/>
        <v>329.12600580153247</v>
      </c>
      <c r="G12" s="2031">
        <v>2021</v>
      </c>
      <c r="H12" s="2042">
        <v>1</v>
      </c>
      <c r="I12" s="2007">
        <v>0.97</v>
      </c>
      <c r="J12" s="2007">
        <v>0.16</v>
      </c>
      <c r="K12" s="2007">
        <v>1.1100000000000001</v>
      </c>
      <c r="L12" s="2008">
        <v>0.36</v>
      </c>
      <c r="M12" s="2027"/>
      <c r="N12" s="2043">
        <f t="shared" si="5"/>
        <v>9.7000000000000003E-3</v>
      </c>
      <c r="O12" s="2028">
        <f t="shared" si="6"/>
        <v>1.6000000000000001E-3</v>
      </c>
      <c r="P12" s="2028">
        <f t="shared" si="7"/>
        <v>1.11E-2</v>
      </c>
      <c r="Q12" s="2028">
        <f t="shared" si="8"/>
        <v>3.5999999999999999E-3</v>
      </c>
      <c r="R12" s="2044"/>
      <c r="S12" s="2043">
        <f>B12/B13-1</f>
        <v>9.7000000000000419E-3</v>
      </c>
      <c r="T12" s="2028">
        <f>C12/C13-1</f>
        <v>1.6000000000000458E-3</v>
      </c>
      <c r="U12" s="2028">
        <f>D12/D13-1</f>
        <v>1.6000000000000458E-3</v>
      </c>
      <c r="V12" s="2028">
        <f>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si="9"/>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si="10"/>
        <v>1.12E-2</v>
      </c>
      <c r="AG12" s="2028">
        <f>ROUND(AVERAGE(K12:K$40)/100,4)</f>
        <v>1.9699999999999999E-2</v>
      </c>
      <c r="AH12" s="2028">
        <f>ROUND(AVERAGE(L12:L$40)/100,4)</f>
        <v>1.29E-2</v>
      </c>
    </row>
    <row r="13" spans="1:34" s="2045" customFormat="1">
      <c r="A13" s="2040" t="s">
        <v>2310</v>
      </c>
      <c r="B13" s="2041">
        <f t="shared" si="0"/>
        <v>493.14449689037161</v>
      </c>
      <c r="C13" s="2041">
        <f t="shared" si="1"/>
        <v>347.21619073020611</v>
      </c>
      <c r="D13" s="2041">
        <f t="shared" si="2"/>
        <v>347.21619073020611</v>
      </c>
      <c r="E13" s="2041">
        <f t="shared" si="3"/>
        <v>710.55974278763904</v>
      </c>
      <c r="F13" s="2041">
        <f t="shared" si="4"/>
        <v>327.94540235306141</v>
      </c>
      <c r="G13" s="2031">
        <v>2020</v>
      </c>
      <c r="H13" s="2042">
        <v>4</v>
      </c>
      <c r="I13" s="2007">
        <v>2.0699999999999998</v>
      </c>
      <c r="J13" s="2007">
        <v>0.37</v>
      </c>
      <c r="K13" s="2007">
        <v>2.35</v>
      </c>
      <c r="L13" s="2008">
        <v>2.69</v>
      </c>
      <c r="M13" s="2027"/>
      <c r="N13" s="2043">
        <f t="shared" si="5"/>
        <v>2.07E-2</v>
      </c>
      <c r="O13" s="2028">
        <f t="shared" si="6"/>
        <v>3.7000000000000002E-3</v>
      </c>
      <c r="P13" s="2028">
        <f t="shared" si="7"/>
        <v>2.35E-2</v>
      </c>
      <c r="Q13" s="2028">
        <f t="shared" si="8"/>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si="9"/>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si="10"/>
        <v>1.1599999999999999E-2</v>
      </c>
      <c r="AG13" s="2028">
        <f>ROUND(AVERAGE(K13:K$40)/100,4)</f>
        <v>0.02</v>
      </c>
      <c r="AH13" s="2028">
        <f>ROUND(AVERAGE(L13:L$40)/100,4)</f>
        <v>1.3299999999999999E-2</v>
      </c>
    </row>
    <row r="14" spans="1:34" s="2045" customFormat="1">
      <c r="A14" s="2040" t="s">
        <v>2309</v>
      </c>
      <c r="B14" s="2041">
        <f t="shared" si="0"/>
        <v>483.1434279321756</v>
      </c>
      <c r="C14" s="2041">
        <f t="shared" si="1"/>
        <v>345.93622669144776</v>
      </c>
      <c r="D14" s="2041">
        <f t="shared" si="2"/>
        <v>345.93622669144776</v>
      </c>
      <c r="E14" s="2041">
        <f t="shared" si="3"/>
        <v>694.24498562544113</v>
      </c>
      <c r="F14" s="2041">
        <f t="shared" si="4"/>
        <v>319.35475932716082</v>
      </c>
      <c r="G14" s="2031">
        <v>2020</v>
      </c>
      <c r="H14" s="2042">
        <v>3</v>
      </c>
      <c r="I14" s="2007">
        <v>0.36</v>
      </c>
      <c r="J14" s="2007">
        <v>-0.39</v>
      </c>
      <c r="K14" s="2007">
        <v>0.49</v>
      </c>
      <c r="L14" s="2008">
        <v>7.0000000000000007E-2</v>
      </c>
      <c r="M14" s="2027"/>
      <c r="N14" s="2043">
        <f t="shared" si="5"/>
        <v>3.5999999999999999E-3</v>
      </c>
      <c r="O14" s="2028">
        <f t="shared" si="6"/>
        <v>-3.9000000000000003E-3</v>
      </c>
      <c r="P14" s="2028">
        <f t="shared" si="7"/>
        <v>4.8999999999999998E-3</v>
      </c>
      <c r="Q14" s="2028">
        <f t="shared" si="8"/>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si="9"/>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si="10"/>
        <v>1.1900000000000001E-2</v>
      </c>
      <c r="AG14" s="2028">
        <f>ROUND(AVERAGE(K14:K$40)/100,4)</f>
        <v>1.9900000000000001E-2</v>
      </c>
      <c r="AH14" s="2028">
        <f>ROUND(AVERAGE(L14:L$40)/100,4)</f>
        <v>1.2800000000000001E-2</v>
      </c>
    </row>
    <row r="15" spans="1:34" s="2045" customFormat="1">
      <c r="A15" s="2040" t="s">
        <v>2130</v>
      </c>
      <c r="B15" s="2041">
        <f t="shared" si="0"/>
        <v>481.4103506697644</v>
      </c>
      <c r="C15" s="2041">
        <f t="shared" si="1"/>
        <v>347.29066026648707</v>
      </c>
      <c r="D15" s="2041">
        <f t="shared" si="2"/>
        <v>347.29066026648707</v>
      </c>
      <c r="E15" s="2041">
        <f t="shared" si="3"/>
        <v>690.85977273901995</v>
      </c>
      <c r="F15" s="2041">
        <f t="shared" si="4"/>
        <v>319.13136737000184</v>
      </c>
      <c r="G15" s="2031">
        <v>2020</v>
      </c>
      <c r="H15" s="2042">
        <v>2</v>
      </c>
      <c r="I15" s="2007">
        <v>0.31</v>
      </c>
      <c r="J15" s="2007">
        <v>-0.78</v>
      </c>
      <c r="K15" s="2007">
        <v>0.5</v>
      </c>
      <c r="L15" s="2008">
        <v>0.47</v>
      </c>
      <c r="M15" s="2027"/>
      <c r="N15" s="2043">
        <f t="shared" si="5"/>
        <v>3.0999999999999999E-3</v>
      </c>
      <c r="O15" s="2028">
        <f t="shared" si="6"/>
        <v>-7.8000000000000005E-3</v>
      </c>
      <c r="P15" s="2028">
        <f t="shared" si="7"/>
        <v>5.0000000000000001E-3</v>
      </c>
      <c r="Q15" s="2028">
        <f t="shared" si="8"/>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si="9"/>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si="10"/>
        <v>1.2500000000000001E-2</v>
      </c>
      <c r="AG15" s="2028">
        <f>ROUND(AVERAGE(K15:K$40)/100,4)</f>
        <v>2.0400000000000001E-2</v>
      </c>
      <c r="AH15" s="2028">
        <f>ROUND(AVERAGE(L15:L$40)/100,4)</f>
        <v>1.32E-2</v>
      </c>
    </row>
    <row r="16" spans="1:34" s="2045" customFormat="1">
      <c r="A16" s="2040" t="s">
        <v>2128</v>
      </c>
      <c r="B16" s="2041">
        <f t="shared" si="0"/>
        <v>479.92259063878413</v>
      </c>
      <c r="C16" s="2041">
        <f t="shared" si="1"/>
        <v>350.02082268341775</v>
      </c>
      <c r="D16" s="2041">
        <f t="shared" si="2"/>
        <v>350.02082268341775</v>
      </c>
      <c r="E16" s="2041">
        <f t="shared" si="3"/>
        <v>687.42265944181099</v>
      </c>
      <c r="F16" s="2041">
        <f t="shared" si="4"/>
        <v>317.63846657708956</v>
      </c>
      <c r="G16" s="2031">
        <v>2020</v>
      </c>
      <c r="H16" s="2042">
        <v>1</v>
      </c>
      <c r="I16" s="2007">
        <v>0.12</v>
      </c>
      <c r="J16" s="2007">
        <v>-0.4</v>
      </c>
      <c r="K16" s="2007">
        <v>0.21</v>
      </c>
      <c r="L16" s="2008">
        <v>0.27</v>
      </c>
      <c r="M16" s="2027"/>
      <c r="N16" s="2043">
        <f t="shared" si="5"/>
        <v>1.1999999999999999E-3</v>
      </c>
      <c r="O16" s="2028">
        <f t="shared" si="6"/>
        <v>-4.0000000000000001E-3</v>
      </c>
      <c r="P16" s="2028">
        <f t="shared" si="7"/>
        <v>2.0999999999999999E-3</v>
      </c>
      <c r="Q16" s="2028">
        <f t="shared" si="8"/>
        <v>2.7000000000000001E-3</v>
      </c>
      <c r="R16" s="2044"/>
      <c r="S16" s="2043">
        <f>B16/B17-1</f>
        <v>1.2000000000000899E-3</v>
      </c>
      <c r="T16" s="2028">
        <f>C16/C17-1</f>
        <v>-4.0000000000000036E-3</v>
      </c>
      <c r="U16" s="2028">
        <f>D16/D17-1</f>
        <v>-4.0000000000000036E-3</v>
      </c>
      <c r="V16" s="2028">
        <f>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si="9"/>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si="10"/>
        <v>1.3299999999999999E-2</v>
      </c>
      <c r="AG16" s="2028">
        <f>ROUND(AVERAGE(K16:K$40)/100,4)</f>
        <v>2.1100000000000001E-2</v>
      </c>
      <c r="AH16" s="2028">
        <f>ROUND(AVERAGE(L16:L$40)/100,4)</f>
        <v>1.3599999999999999E-2</v>
      </c>
    </row>
    <row r="17" spans="1:34" s="2045" customFormat="1">
      <c r="A17" s="2040" t="s">
        <v>2127</v>
      </c>
      <c r="B17" s="2041">
        <f t="shared" si="0"/>
        <v>479.34737379023579</v>
      </c>
      <c r="C17" s="2041">
        <f t="shared" si="1"/>
        <v>351.4265287986122</v>
      </c>
      <c r="D17" s="2041">
        <f t="shared" si="2"/>
        <v>351.4265287986122</v>
      </c>
      <c r="E17" s="2041">
        <f t="shared" si="3"/>
        <v>685.98209703803116</v>
      </c>
      <c r="F17" s="2041">
        <f t="shared" si="4"/>
        <v>316.78315206651001</v>
      </c>
      <c r="G17" s="2031">
        <v>2019</v>
      </c>
      <c r="H17" s="2042">
        <v>4</v>
      </c>
      <c r="I17" s="2042">
        <v>0.45</v>
      </c>
      <c r="J17" s="2042">
        <v>-0.12</v>
      </c>
      <c r="K17" s="2042">
        <v>0.54</v>
      </c>
      <c r="L17" s="2046">
        <v>0.48</v>
      </c>
      <c r="M17" s="2027"/>
      <c r="N17" s="2043">
        <f t="shared" ref="N17:N22" si="11">I17/100</f>
        <v>4.5000000000000005E-3</v>
      </c>
      <c r="O17" s="2028">
        <f t="shared" ref="O17:O27" si="12">J17/100</f>
        <v>-1.1999999999999999E-3</v>
      </c>
      <c r="P17" s="2028">
        <f t="shared" ref="P17:P27" si="13">K17/100</f>
        <v>5.4000000000000003E-3</v>
      </c>
      <c r="Q17" s="2028">
        <f t="shared" ref="Q17:Q27" si="14">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si="9"/>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si="10"/>
        <v>1.4E-2</v>
      </c>
      <c r="AG17" s="2028">
        <f>ROUND(AVERAGE(K17:K$40)/100,4)</f>
        <v>2.1899999999999999E-2</v>
      </c>
      <c r="AH17" s="2028">
        <f>ROUND(AVERAGE(L17:L$40)/100,4)</f>
        <v>1.4E-2</v>
      </c>
    </row>
    <row r="18" spans="1:34" s="2045" customFormat="1" ht="13.5" thickBot="1">
      <c r="A18" s="2040" t="s">
        <v>2126</v>
      </c>
      <c r="B18" s="2041">
        <f t="shared" si="0"/>
        <v>477.19997390765138</v>
      </c>
      <c r="C18" s="2041">
        <f t="shared" si="1"/>
        <v>351.84874729536665</v>
      </c>
      <c r="D18" s="2041">
        <f t="shared" si="2"/>
        <v>351.84874729536665</v>
      </c>
      <c r="E18" s="2041">
        <f t="shared" si="3"/>
        <v>682.29768951465201</v>
      </c>
      <c r="F18" s="2041">
        <f t="shared" si="4"/>
        <v>315.26985675409043</v>
      </c>
      <c r="G18" s="2031">
        <v>2019</v>
      </c>
      <c r="H18" s="2042">
        <v>3</v>
      </c>
      <c r="I18" s="2042">
        <v>0.61</v>
      </c>
      <c r="J18" s="2042">
        <v>0.67</v>
      </c>
      <c r="K18" s="2042">
        <v>0.6</v>
      </c>
      <c r="L18" s="2046">
        <v>1.03</v>
      </c>
      <c r="M18" s="2027"/>
      <c r="N18" s="2043">
        <f t="shared" si="11"/>
        <v>6.0999999999999995E-3</v>
      </c>
      <c r="O18" s="2028">
        <f t="shared" si="12"/>
        <v>6.7000000000000002E-3</v>
      </c>
      <c r="P18" s="2028">
        <f t="shared" si="13"/>
        <v>6.0000000000000001E-3</v>
      </c>
      <c r="Q18" s="2028">
        <f t="shared" si="14"/>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si="9"/>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si="10"/>
        <v>1.47E-2</v>
      </c>
      <c r="AG18" s="2028">
        <f>ROUND(AVERAGE(K18:K$40)/100,4)</f>
        <v>2.2599999999999999E-2</v>
      </c>
      <c r="AH18" s="2028">
        <f>ROUND(AVERAGE(L18:L$40)/100,4)</f>
        <v>1.44E-2</v>
      </c>
    </row>
    <row r="19" spans="1:34" s="2045" customFormat="1">
      <c r="A19" s="2040" t="s">
        <v>2124</v>
      </c>
      <c r="B19" s="2041">
        <f t="shared" si="0"/>
        <v>474.30670301923408</v>
      </c>
      <c r="C19" s="2041">
        <f t="shared" si="1"/>
        <v>349.50705005996491</v>
      </c>
      <c r="D19" s="2041">
        <f t="shared" si="2"/>
        <v>349.50705005996491</v>
      </c>
      <c r="E19" s="2041">
        <f t="shared" si="3"/>
        <v>678.22831959706957</v>
      </c>
      <c r="F19" s="2041">
        <f t="shared" si="4"/>
        <v>312.0556832169558</v>
      </c>
      <c r="G19" s="2031">
        <v>2019</v>
      </c>
      <c r="H19" s="2047">
        <v>2</v>
      </c>
      <c r="I19" s="2047">
        <v>1.53</v>
      </c>
      <c r="J19" s="2047">
        <v>1.01</v>
      </c>
      <c r="K19" s="2047">
        <v>1.62</v>
      </c>
      <c r="L19" s="2048">
        <v>1.25</v>
      </c>
      <c r="M19" s="2027"/>
      <c r="N19" s="2043">
        <f t="shared" si="11"/>
        <v>1.5300000000000001E-2</v>
      </c>
      <c r="O19" s="2028">
        <f t="shared" si="12"/>
        <v>1.01E-2</v>
      </c>
      <c r="P19" s="2028">
        <f t="shared" si="13"/>
        <v>1.6200000000000003E-2</v>
      </c>
      <c r="Q19" s="2028">
        <f t="shared" si="14"/>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si="9"/>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si="10"/>
        <v>1.4999999999999999E-2</v>
      </c>
      <c r="AG19" s="2028">
        <f>ROUND(AVERAGE(K19:K$40)/100,4)</f>
        <v>2.3300000000000001E-2</v>
      </c>
      <c r="AH19" s="2028">
        <f>ROUND(AVERAGE(L19:L$40)/100,4)</f>
        <v>1.46E-2</v>
      </c>
    </row>
    <row r="20" spans="1:34" s="2045" customFormat="1" ht="13.5" thickBot="1">
      <c r="A20" s="2040" t="s">
        <v>2123</v>
      </c>
      <c r="B20" s="2041">
        <f t="shared" si="0"/>
        <v>467.15916775261894</v>
      </c>
      <c r="C20" s="2041">
        <f t="shared" si="1"/>
        <v>346.01232557169084</v>
      </c>
      <c r="D20" s="2041">
        <f t="shared" si="2"/>
        <v>346.01232557169084</v>
      </c>
      <c r="E20" s="2041">
        <f t="shared" si="3"/>
        <v>667.41617752122568</v>
      </c>
      <c r="F20" s="2041">
        <f t="shared" si="4"/>
        <v>308.20314391798104</v>
      </c>
      <c r="G20" s="2031">
        <v>2019</v>
      </c>
      <c r="H20" s="2042">
        <v>1</v>
      </c>
      <c r="I20" s="2042">
        <v>0.6</v>
      </c>
      <c r="J20" s="2042">
        <v>0.37</v>
      </c>
      <c r="K20" s="2042">
        <v>0.63</v>
      </c>
      <c r="L20" s="2046">
        <v>1.1299999999999999</v>
      </c>
      <c r="M20" s="2027"/>
      <c r="N20" s="2043">
        <f t="shared" si="11"/>
        <v>6.0000000000000001E-3</v>
      </c>
      <c r="O20" s="2028">
        <f t="shared" si="12"/>
        <v>3.7000000000000002E-3</v>
      </c>
      <c r="P20" s="2028">
        <f t="shared" si="13"/>
        <v>6.3E-3</v>
      </c>
      <c r="Q20" s="2028">
        <f t="shared" si="14"/>
        <v>1.1299999999999999E-2</v>
      </c>
      <c r="R20" s="2044"/>
      <c r="S20" s="2043">
        <f>B20/B21-1</f>
        <v>6.0000000000000053E-3</v>
      </c>
      <c r="T20" s="2028">
        <f>C20/C21-1</f>
        <v>3.7000000000000366E-3</v>
      </c>
      <c r="U20" s="2028">
        <f>D20/D21-1</f>
        <v>3.7000000000000366E-3</v>
      </c>
      <c r="V20" s="2028">
        <f>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si="9"/>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si="10"/>
        <v>1.5299999999999999E-2</v>
      </c>
      <c r="AG20" s="2028">
        <f>ROUND(AVERAGE(K20:K$40)/100,4)</f>
        <v>2.3699999999999999E-2</v>
      </c>
      <c r="AH20" s="2028">
        <f>ROUND(AVERAGE(L20:L$40)/100,4)</f>
        <v>1.47E-2</v>
      </c>
    </row>
    <row r="21" spans="1:34" s="2045" customFormat="1">
      <c r="A21" s="2040" t="s">
        <v>2125</v>
      </c>
      <c r="B21" s="2049">
        <f t="shared" si="0"/>
        <v>464.37293017158942</v>
      </c>
      <c r="C21" s="2049">
        <f t="shared" si="1"/>
        <v>344.73679941385956</v>
      </c>
      <c r="D21" s="2049">
        <f t="shared" si="2"/>
        <v>344.73679941385956</v>
      </c>
      <c r="E21" s="2049">
        <f t="shared" si="3"/>
        <v>663.2377795103107</v>
      </c>
      <c r="F21" s="2050">
        <f t="shared" si="4"/>
        <v>304.75936311478398</v>
      </c>
      <c r="G21" s="3472">
        <v>2018</v>
      </c>
      <c r="H21" s="2047">
        <v>4</v>
      </c>
      <c r="I21" s="2047">
        <v>0.96</v>
      </c>
      <c r="J21" s="2047">
        <v>1.03</v>
      </c>
      <c r="K21" s="2047">
        <v>0.92</v>
      </c>
      <c r="L21" s="2048">
        <v>1.29</v>
      </c>
      <c r="M21" s="2027"/>
      <c r="N21" s="2043">
        <f t="shared" si="11"/>
        <v>9.5999999999999992E-3</v>
      </c>
      <c r="O21" s="2028">
        <f t="shared" si="12"/>
        <v>1.03E-2</v>
      </c>
      <c r="P21" s="2028">
        <f t="shared" si="13"/>
        <v>9.1999999999999998E-3</v>
      </c>
      <c r="Q21" s="2028">
        <f t="shared" si="14"/>
        <v>1.29E-2</v>
      </c>
      <c r="R21" s="2044"/>
      <c r="S21" s="2043"/>
      <c r="T21" s="2028"/>
      <c r="U21" s="2028"/>
      <c r="V21" s="2028"/>
      <c r="W21" s="2027"/>
      <c r="X21" s="2027">
        <f>ROUND(SUMPRODUCT(PRODUCT(1+N21:N$39)),4)</f>
        <v>1.5099</v>
      </c>
      <c r="Y21" s="2027">
        <f>ROUND(SUMPRODUCT(PRODUCT(1+O21:O$39)),4)</f>
        <v>1.3372999999999999</v>
      </c>
      <c r="Z21" s="2027">
        <f t="shared" si="9"/>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si="10"/>
        <v>1.5800000000000002E-2</v>
      </c>
      <c r="AG21" s="2028">
        <f>ROUND(AVERAGE(K21:K$40)/100,4)</f>
        <v>2.4500000000000001E-2</v>
      </c>
      <c r="AH21" s="2028">
        <f>ROUND(AVERAGE(L21:L$40)/100,4)</f>
        <v>1.49E-2</v>
      </c>
    </row>
    <row r="22" spans="1:34" s="2045" customFormat="1" ht="14.45" customHeight="1">
      <c r="A22" s="2040" t="s">
        <v>2121</v>
      </c>
      <c r="B22" s="2041">
        <f t="shared" si="0"/>
        <v>459.95733971036987</v>
      </c>
      <c r="C22" s="2041">
        <f t="shared" si="1"/>
        <v>341.22221064422405</v>
      </c>
      <c r="D22" s="2041">
        <f t="shared" si="2"/>
        <v>341.22221064422405</v>
      </c>
      <c r="E22" s="2041">
        <f t="shared" si="3"/>
        <v>657.19161663724799</v>
      </c>
      <c r="F22" s="2041">
        <f t="shared" si="4"/>
        <v>300.87803644464805</v>
      </c>
      <c r="G22" s="3472"/>
      <c r="H22" s="2042">
        <v>3</v>
      </c>
      <c r="I22" s="2042">
        <v>1.51</v>
      </c>
      <c r="J22" s="2042">
        <v>1.41</v>
      </c>
      <c r="K22" s="2042">
        <v>1.52</v>
      </c>
      <c r="L22" s="2046">
        <v>1.74</v>
      </c>
      <c r="M22" s="2027"/>
      <c r="N22" s="2043">
        <f t="shared" si="11"/>
        <v>1.5100000000000001E-2</v>
      </c>
      <c r="O22" s="2028">
        <f t="shared" si="12"/>
        <v>1.41E-2</v>
      </c>
      <c r="P22" s="2028">
        <f t="shared" si="13"/>
        <v>1.52E-2</v>
      </c>
      <c r="Q22" s="2028">
        <f t="shared" si="14"/>
        <v>1.7399999999999999E-2</v>
      </c>
      <c r="R22" s="2044"/>
      <c r="S22" s="2043"/>
      <c r="T22" s="2028"/>
      <c r="U22" s="2028"/>
      <c r="V22" s="2028"/>
      <c r="W22" s="2027"/>
      <c r="X22" s="2027">
        <f>ROUND(SUMPRODUCT(PRODUCT(1+N22:N$39)),4)</f>
        <v>1.4956</v>
      </c>
      <c r="Y22" s="2027">
        <f>ROUND(SUMPRODUCT(PRODUCT(1+O22:O$39)),4)</f>
        <v>1.3237000000000001</v>
      </c>
      <c r="Z22" s="2027">
        <f t="shared" si="9"/>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si="10"/>
        <v>1.61E-2</v>
      </c>
      <c r="AG22" s="2028">
        <f>ROUND(AVERAGE(K22:K$40)/100,4)</f>
        <v>2.53E-2</v>
      </c>
      <c r="AH22" s="2028">
        <f>ROUND(AVERAGE(L22:L$40)/100,4)</f>
        <v>1.4999999999999999E-2</v>
      </c>
    </row>
    <row r="23" spans="1:34" s="2045" customFormat="1" ht="14.45" customHeight="1">
      <c r="A23" s="2040" t="s">
        <v>2120</v>
      </c>
      <c r="B23" s="2041">
        <f t="shared" si="0"/>
        <v>453.11529869999993</v>
      </c>
      <c r="C23" s="2041">
        <f t="shared" si="1"/>
        <v>336.47787264000004</v>
      </c>
      <c r="D23" s="2041">
        <f t="shared" si="2"/>
        <v>336.47787264000004</v>
      </c>
      <c r="E23" s="2041">
        <f t="shared" si="3"/>
        <v>647.35186823999993</v>
      </c>
      <c r="F23" s="2041">
        <f t="shared" si="4"/>
        <v>295.73229452000004</v>
      </c>
      <c r="G23" s="3472"/>
      <c r="H23" s="2051">
        <v>2</v>
      </c>
      <c r="I23" s="2051">
        <v>1.49</v>
      </c>
      <c r="J23" s="2051">
        <v>0.96</v>
      </c>
      <c r="K23" s="2051">
        <v>1.58</v>
      </c>
      <c r="L23" s="2052">
        <v>2.44</v>
      </c>
      <c r="M23" s="2027"/>
      <c r="N23" s="2043">
        <f>I23/100</f>
        <v>1.49E-2</v>
      </c>
      <c r="O23" s="2028">
        <f t="shared" si="12"/>
        <v>9.5999999999999992E-3</v>
      </c>
      <c r="P23" s="2028">
        <f t="shared" si="13"/>
        <v>1.5800000000000002E-2</v>
      </c>
      <c r="Q23" s="2028">
        <f t="shared" si="14"/>
        <v>2.4399999999999998E-2</v>
      </c>
      <c r="R23" s="2044"/>
      <c r="S23" s="2043"/>
      <c r="T23" s="2028"/>
      <c r="U23" s="2028"/>
      <c r="V23" s="2028"/>
      <c r="W23" s="2027"/>
      <c r="X23" s="2027">
        <f>ROUND(SUMPRODUCT(PRODUCT(1+N23:N$39)),4)</f>
        <v>1.4733000000000001</v>
      </c>
      <c r="Y23" s="2027">
        <f>ROUND(SUMPRODUCT(PRODUCT(1+O23:O$39)),4)</f>
        <v>1.3052999999999999</v>
      </c>
      <c r="Z23" s="2027">
        <f t="shared" si="9"/>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si="10"/>
        <v>1.6199999999999999E-2</v>
      </c>
      <c r="AG23" s="2028">
        <f>ROUND(AVERAGE(K23:K$40)/100,4)</f>
        <v>2.5899999999999999E-2</v>
      </c>
      <c r="AH23" s="2028">
        <f>ROUND(AVERAGE(L23:L$40)/100,4)</f>
        <v>1.49E-2</v>
      </c>
    </row>
    <row r="24" spans="1:34" s="2045" customFormat="1" ht="15" customHeight="1" thickBot="1">
      <c r="A24" s="2040" t="s">
        <v>2113</v>
      </c>
      <c r="B24" s="2041">
        <f t="shared" si="0"/>
        <v>446.46299999999997</v>
      </c>
      <c r="C24" s="2041">
        <f t="shared" si="1"/>
        <v>333.27840000000003</v>
      </c>
      <c r="D24" s="2041">
        <f t="shared" si="2"/>
        <v>333.27840000000003</v>
      </c>
      <c r="E24" s="2041">
        <f t="shared" si="3"/>
        <v>637.28279999999995</v>
      </c>
      <c r="F24" s="2041">
        <f t="shared" si="4"/>
        <v>288.68830000000003</v>
      </c>
      <c r="G24" s="3479"/>
      <c r="H24" s="2042">
        <v>1</v>
      </c>
      <c r="I24" s="2042">
        <v>1.7</v>
      </c>
      <c r="J24" s="2042">
        <v>1.92</v>
      </c>
      <c r="K24" s="2042">
        <v>1.64</v>
      </c>
      <c r="L24" s="2046">
        <v>2.0099999999999998</v>
      </c>
      <c r="M24" s="2027"/>
      <c r="N24" s="2043">
        <f t="shared" ref="N24:N29" si="15">I24/100</f>
        <v>1.7000000000000001E-2</v>
      </c>
      <c r="O24" s="2028">
        <f t="shared" si="12"/>
        <v>1.9199999999999998E-2</v>
      </c>
      <c r="P24" s="2028">
        <f t="shared" si="13"/>
        <v>1.6399999999999998E-2</v>
      </c>
      <c r="Q24" s="2028">
        <f t="shared" si="14"/>
        <v>2.0099999999999996E-2</v>
      </c>
      <c r="R24" s="2044"/>
      <c r="S24" s="2043">
        <f>B24/B25-1</f>
        <v>1.6999999999999904E-2</v>
      </c>
      <c r="T24" s="2028">
        <f>C24/C25-1</f>
        <v>1.9200000000000106E-2</v>
      </c>
      <c r="U24" s="2028">
        <f>D24/D25-1</f>
        <v>1.9200000000000106E-2</v>
      </c>
      <c r="V24" s="2028">
        <f>E24/E25-1</f>
        <v>1.639999999999997E-2</v>
      </c>
      <c r="W24" s="2027"/>
      <c r="X24" s="2027">
        <f>ROUND(SUMPRODUCT(PRODUCT(1+N24:N$39)),4)</f>
        <v>1.4517</v>
      </c>
      <c r="Y24" s="2027">
        <f>ROUND(SUMPRODUCT(PRODUCT(1+O24:O$39)),4)</f>
        <v>1.2928999999999999</v>
      </c>
      <c r="Z24" s="2027">
        <f t="shared" si="9"/>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si="10"/>
        <v>1.66E-2</v>
      </c>
      <c r="AG24" s="2028">
        <f>ROUND(AVERAGE(K24:K$40)/100,4)</f>
        <v>2.6499999999999999E-2</v>
      </c>
      <c r="AH24" s="2028">
        <f>ROUND(AVERAGE(L24:L$40)/100,4)</f>
        <v>1.43E-2</v>
      </c>
    </row>
    <row r="25" spans="1:34">
      <c r="A25" s="2040" t="s">
        <v>2111</v>
      </c>
      <c r="B25" s="2049">
        <v>439</v>
      </c>
      <c r="C25" s="2049">
        <v>327</v>
      </c>
      <c r="D25" s="2049">
        <f t="shared" si="2"/>
        <v>327</v>
      </c>
      <c r="E25" s="2049">
        <v>627</v>
      </c>
      <c r="F25" s="2050">
        <v>283</v>
      </c>
      <c r="G25" s="3475">
        <v>2017</v>
      </c>
      <c r="H25" s="2047">
        <v>4</v>
      </c>
      <c r="I25" s="2047">
        <v>1.71</v>
      </c>
      <c r="J25" s="2047">
        <v>1.78</v>
      </c>
      <c r="K25" s="2047">
        <v>1.71</v>
      </c>
      <c r="L25" s="2048">
        <v>1.43</v>
      </c>
      <c r="N25" s="2043">
        <f t="shared" si="15"/>
        <v>1.7100000000000001E-2</v>
      </c>
      <c r="O25" s="2028">
        <f t="shared" si="12"/>
        <v>1.78E-2</v>
      </c>
      <c r="P25" s="2028">
        <f t="shared" si="13"/>
        <v>1.7100000000000001E-2</v>
      </c>
      <c r="Q25" s="2028">
        <f t="shared" si="14"/>
        <v>1.43E-2</v>
      </c>
      <c r="R25" s="2044"/>
      <c r="S25" s="2053"/>
      <c r="T25" s="2054"/>
      <c r="U25" s="2054"/>
      <c r="V25" s="2054"/>
      <c r="X25" s="2027">
        <f>ROUND(SUMPRODUCT(PRODUCT(1+N25:N$39)),4)</f>
        <v>1.4274</v>
      </c>
      <c r="Y25" s="2027">
        <f>ROUND(SUMPRODUCT(PRODUCT(1+O25:O$39)),4)</f>
        <v>1.2685</v>
      </c>
      <c r="Z25" s="2027">
        <f t="shared" si="9"/>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0"/>
        <v>1.6500000000000001E-2</v>
      </c>
      <c r="AG25" s="2028">
        <f>ROUND(AVERAGE(K25:K$40)/100,4)</f>
        <v>2.7099999999999999E-2</v>
      </c>
      <c r="AH25" s="2028">
        <f>ROUND(AVERAGE(L25:L$40)/100,4)</f>
        <v>1.3899999999999999E-2</v>
      </c>
    </row>
    <row r="26" spans="1:34" s="2045" customFormat="1" ht="14.45" customHeight="1">
      <c r="A26" s="2040" t="s">
        <v>2112</v>
      </c>
      <c r="B26" s="2041">
        <f t="shared" ref="B26:C28" si="16">B27*(1+N26)</f>
        <v>431.80730811680002</v>
      </c>
      <c r="C26" s="2041">
        <f t="shared" si="16"/>
        <v>320.57880516480003</v>
      </c>
      <c r="D26" s="2041">
        <f t="shared" si="2"/>
        <v>320.57880516480003</v>
      </c>
      <c r="E26" s="2041">
        <f t="shared" ref="E26:F28" si="17">E27*(1+P26)</f>
        <v>615.96110553196797</v>
      </c>
      <c r="F26" s="2041">
        <f t="shared" si="17"/>
        <v>279.46777300108801</v>
      </c>
      <c r="G26" s="3472"/>
      <c r="H26" s="2042">
        <v>3</v>
      </c>
      <c r="I26" s="2042">
        <v>2.98</v>
      </c>
      <c r="J26" s="2042">
        <v>2.11</v>
      </c>
      <c r="K26" s="2042">
        <v>3.24</v>
      </c>
      <c r="L26" s="2046">
        <v>1.72</v>
      </c>
      <c r="M26" s="2027"/>
      <c r="N26" s="2043">
        <f t="shared" si="15"/>
        <v>2.98E-2</v>
      </c>
      <c r="O26" s="2028">
        <f t="shared" si="12"/>
        <v>2.1099999999999997E-2</v>
      </c>
      <c r="P26" s="2028">
        <f t="shared" si="13"/>
        <v>3.2400000000000005E-2</v>
      </c>
      <c r="Q26" s="2028">
        <f t="shared" si="14"/>
        <v>1.72E-2</v>
      </c>
      <c r="R26" s="2044"/>
      <c r="S26" s="2043"/>
      <c r="T26" s="2028"/>
      <c r="U26" s="2028"/>
      <c r="V26" s="2028"/>
      <c r="W26" s="2027"/>
      <c r="X26" s="2027">
        <f>ROUND(SUMPRODUCT(PRODUCT(1+N26:N$39)),4)</f>
        <v>1.4034</v>
      </c>
      <c r="Y26" s="2027">
        <f>ROUND(SUMPRODUCT(PRODUCT(1+O26:O$39)),4)</f>
        <v>1.2463</v>
      </c>
      <c r="Z26" s="2027">
        <f t="shared" si="9"/>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0"/>
        <v>1.6400000000000001E-2</v>
      </c>
      <c r="AG26" s="2028">
        <f>ROUND(AVERAGE(K26:K$40)/100,4)</f>
        <v>2.7799999999999998E-2</v>
      </c>
      <c r="AH26" s="2028">
        <f>ROUND(AVERAGE(L26:L$40)/100,4)</f>
        <v>1.3899999999999999E-2</v>
      </c>
    </row>
    <row r="27" spans="1:34" s="2034" customFormat="1" ht="14.45" customHeight="1">
      <c r="A27" s="2040" t="s">
        <v>677</v>
      </c>
      <c r="B27" s="2041">
        <f t="shared" si="16"/>
        <v>419.31181600000002</v>
      </c>
      <c r="C27" s="2041">
        <f t="shared" si="16"/>
        <v>313.95436800000004</v>
      </c>
      <c r="D27" s="2041">
        <f t="shared" si="2"/>
        <v>313.95436800000004</v>
      </c>
      <c r="E27" s="2041">
        <f t="shared" si="17"/>
        <v>596.63028431999999</v>
      </c>
      <c r="F27" s="2041">
        <f t="shared" si="17"/>
        <v>274.74220703999998</v>
      </c>
      <c r="G27" s="3472"/>
      <c r="H27" s="2051">
        <v>2</v>
      </c>
      <c r="I27" s="2051">
        <v>3.4</v>
      </c>
      <c r="J27" s="2051">
        <v>2</v>
      </c>
      <c r="K27" s="2051">
        <v>3.82</v>
      </c>
      <c r="L27" s="2052">
        <v>1.68</v>
      </c>
      <c r="M27" s="2027"/>
      <c r="N27" s="2043">
        <f t="shared" si="15"/>
        <v>3.4000000000000002E-2</v>
      </c>
      <c r="O27" s="2028">
        <f t="shared" si="12"/>
        <v>0.02</v>
      </c>
      <c r="P27" s="2028">
        <f t="shared" si="13"/>
        <v>3.8199999999999998E-2</v>
      </c>
      <c r="Q27" s="2028">
        <f t="shared" si="14"/>
        <v>1.6799999999999999E-2</v>
      </c>
      <c r="R27" s="2044"/>
      <c r="S27" s="2053"/>
      <c r="T27" s="2054"/>
      <c r="U27" s="2054"/>
      <c r="V27" s="2054"/>
      <c r="W27" s="2009"/>
      <c r="X27" s="2027">
        <f>ROUND(SUMPRODUCT(PRODUCT(1+N27:N$39)),4)</f>
        <v>1.3628</v>
      </c>
      <c r="Y27" s="2027">
        <f>ROUND(SUMPRODUCT(PRODUCT(1+O27:O$39)),4)</f>
        <v>1.2205999999999999</v>
      </c>
      <c r="Z27" s="2027">
        <f t="shared" si="9"/>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0"/>
        <v>1.6E-2</v>
      </c>
      <c r="AG27" s="2028">
        <f>ROUND(AVERAGE(K27:K$40)/100,4)</f>
        <v>2.75E-2</v>
      </c>
      <c r="AH27" s="2028">
        <f>ROUND(AVERAGE(L27:L$40)/100,4)</f>
        <v>1.37E-2</v>
      </c>
    </row>
    <row r="28" spans="1:34" s="2045" customFormat="1" ht="15" customHeight="1" thickBot="1">
      <c r="A28" s="2040" t="s">
        <v>463</v>
      </c>
      <c r="B28" s="2041">
        <f t="shared" si="16"/>
        <v>405.524</v>
      </c>
      <c r="C28" s="2041">
        <f t="shared" si="16"/>
        <v>307.79840000000002</v>
      </c>
      <c r="D28" s="2041">
        <f t="shared" si="2"/>
        <v>307.79840000000002</v>
      </c>
      <c r="E28" s="2041">
        <f t="shared" si="17"/>
        <v>574.67759999999998</v>
      </c>
      <c r="F28" s="2041">
        <f t="shared" si="17"/>
        <v>270.20280000000002</v>
      </c>
      <c r="G28" s="3479"/>
      <c r="H28" s="2042">
        <v>1</v>
      </c>
      <c r="I28" s="2042">
        <v>3.45</v>
      </c>
      <c r="J28" s="2042">
        <v>1.92</v>
      </c>
      <c r="K28" s="2042">
        <v>3.92</v>
      </c>
      <c r="L28" s="2046">
        <v>1.58</v>
      </c>
      <c r="M28" s="2027"/>
      <c r="N28" s="2043">
        <f t="shared" si="15"/>
        <v>3.4500000000000003E-2</v>
      </c>
      <c r="O28" s="2028">
        <f t="shared" ref="O28:Q43" si="18">J28/100</f>
        <v>1.9199999999999998E-2</v>
      </c>
      <c r="P28" s="2028">
        <f t="shared" si="18"/>
        <v>3.9199999999999999E-2</v>
      </c>
      <c r="Q28" s="2028">
        <f t="shared" si="18"/>
        <v>1.5800000000000002E-2</v>
      </c>
      <c r="R28" s="2044"/>
      <c r="S28" s="2043">
        <f>B28/B29-1</f>
        <v>3.4499999999999975E-2</v>
      </c>
      <c r="T28" s="2028">
        <f>C28/C29-1</f>
        <v>1.9200000000000106E-2</v>
      </c>
      <c r="U28" s="2028">
        <f>D28/D29-1</f>
        <v>1.9200000000000106E-2</v>
      </c>
      <c r="V28" s="2028">
        <f>E28/E29-1</f>
        <v>3.9199999999999902E-2</v>
      </c>
      <c r="W28" s="2027"/>
      <c r="X28" s="2027">
        <f>ROUND(SUMPRODUCT(PRODUCT(1+N28:N$39)),4)</f>
        <v>1.3180000000000001</v>
      </c>
      <c r="Y28" s="2027">
        <f>ROUND(SUMPRODUCT(PRODUCT(1+O28:O$39)),4)</f>
        <v>1.1966000000000001</v>
      </c>
      <c r="Z28" s="2027">
        <f t="shared" si="9"/>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0"/>
        <v>1.5699999999999999E-2</v>
      </c>
      <c r="AG28" s="2028">
        <f>ROUND(AVERAGE(K28:K$40)/100,4)</f>
        <v>2.6599999999999999E-2</v>
      </c>
      <c r="AH28" s="2028">
        <f>ROUND(AVERAGE(L28:L$40)/100,4)</f>
        <v>1.34E-2</v>
      </c>
    </row>
    <row r="29" spans="1:34">
      <c r="A29" s="2040" t="s">
        <v>127</v>
      </c>
      <c r="B29" s="2049">
        <v>392</v>
      </c>
      <c r="C29" s="2049">
        <v>302</v>
      </c>
      <c r="D29" s="2049">
        <f t="shared" si="2"/>
        <v>302</v>
      </c>
      <c r="E29" s="2049">
        <v>553</v>
      </c>
      <c r="F29" s="2050">
        <v>266</v>
      </c>
      <c r="G29" s="3475">
        <v>2016</v>
      </c>
      <c r="H29" s="2047">
        <v>4</v>
      </c>
      <c r="I29" s="2047">
        <v>4.5599999999999996</v>
      </c>
      <c r="J29" s="2047">
        <v>2.15</v>
      </c>
      <c r="K29" s="2047">
        <v>5.32</v>
      </c>
      <c r="L29" s="2048">
        <v>1.57</v>
      </c>
      <c r="N29" s="2043">
        <f t="shared" si="15"/>
        <v>4.5599999999999995E-2</v>
      </c>
      <c r="O29" s="2028">
        <f t="shared" si="18"/>
        <v>2.1499999999999998E-2</v>
      </c>
      <c r="P29" s="2028">
        <f t="shared" si="18"/>
        <v>5.3200000000000004E-2</v>
      </c>
      <c r="Q29" s="2028">
        <f t="shared" si="18"/>
        <v>1.5700000000000002E-2</v>
      </c>
      <c r="R29" s="2044"/>
      <c r="S29" s="2053"/>
      <c r="T29" s="2054"/>
      <c r="U29" s="2054"/>
      <c r="V29" s="2054"/>
      <c r="X29" s="2027">
        <f>ROUND(SUMPRODUCT(PRODUCT(1+N29:N$39)),4)</f>
        <v>1.274</v>
      </c>
      <c r="Y29" s="2027">
        <f>ROUND(SUMPRODUCT(PRODUCT(1+O29:O$39)),4)</f>
        <v>1.1740999999999999</v>
      </c>
      <c r="Z29" s="2027">
        <f t="shared" si="9"/>
        <v>1.1740999999999999</v>
      </c>
      <c r="AA29" s="2027">
        <f>ROUND(SUMPRODUCT(PRODUCT(1+P29:P$39)),4)</f>
        <v>1.3087</v>
      </c>
      <c r="AB29" s="2027">
        <f>ROUND(SUMPRODUCT(PRODUCT(1+Q29:Q$39)),4)</f>
        <v>1.1551</v>
      </c>
      <c r="AD29" s="2028">
        <f>ROUND(AVERAGE(I29:I$40)/100,4)</f>
        <v>2.3E-2</v>
      </c>
      <c r="AE29" s="2028">
        <f>ROUND(AVERAGE(J29:J$40)/100,4)</f>
        <v>1.55E-2</v>
      </c>
      <c r="AF29" s="2028">
        <f t="shared" si="10"/>
        <v>1.55E-2</v>
      </c>
      <c r="AG29" s="2028">
        <f>ROUND(AVERAGE(K29:K$40)/100,4)</f>
        <v>2.5600000000000001E-2</v>
      </c>
      <c r="AH29" s="2028">
        <f>ROUND(AVERAGE(L29:L$40)/100,4)</f>
        <v>1.32E-2</v>
      </c>
    </row>
    <row r="30" spans="1:34">
      <c r="A30" s="2040" t="s">
        <v>126</v>
      </c>
      <c r="B30" s="2041">
        <f t="shared" ref="B30:C32" si="19">B29/(1+N29)</f>
        <v>374.90436113236416</v>
      </c>
      <c r="C30" s="2041">
        <f t="shared" si="19"/>
        <v>295.64366128242779</v>
      </c>
      <c r="D30" s="2041">
        <f t="shared" ref="D30:D89" si="20">C30</f>
        <v>295.64366128242779</v>
      </c>
      <c r="E30" s="2041">
        <f t="shared" ref="E30:F32" si="21">E29/(1+P29)</f>
        <v>525.06646410938095</v>
      </c>
      <c r="F30" s="2041">
        <f t="shared" si="21"/>
        <v>261.88835286009646</v>
      </c>
      <c r="G30" s="3472"/>
      <c r="H30" s="2042">
        <v>3</v>
      </c>
      <c r="I30" s="2042">
        <v>4.12</v>
      </c>
      <c r="J30" s="2042">
        <v>2</v>
      </c>
      <c r="K30" s="2042">
        <v>4.79</v>
      </c>
      <c r="L30" s="2046">
        <v>1.97</v>
      </c>
      <c r="N30" s="2043">
        <f t="shared" ref="N30:Q64" si="22">I30/100</f>
        <v>4.1200000000000001E-2</v>
      </c>
      <c r="O30" s="2028">
        <f t="shared" si="18"/>
        <v>0.02</v>
      </c>
      <c r="P30" s="2028">
        <f t="shared" si="18"/>
        <v>4.7899999999999998E-2</v>
      </c>
      <c r="Q30" s="2028">
        <f t="shared" si="18"/>
        <v>1.9699999999999999E-2</v>
      </c>
      <c r="R30" s="2044"/>
      <c r="S30" s="2043"/>
      <c r="T30" s="2028"/>
      <c r="U30" s="2028"/>
      <c r="V30" s="2028"/>
      <c r="X30" s="2027">
        <f>ROUND(SUMPRODUCT(PRODUCT(1+N30:N$39)),4)</f>
        <v>1.2184999999999999</v>
      </c>
      <c r="Y30" s="2027">
        <f>ROUND(SUMPRODUCT(PRODUCT(1+O30:O$39)),4)</f>
        <v>1.1494</v>
      </c>
      <c r="Z30" s="2027">
        <f t="shared" si="9"/>
        <v>1.1494</v>
      </c>
      <c r="AA30" s="2027">
        <f>ROUND(SUMPRODUCT(PRODUCT(1+P30:P$39)),4)</f>
        <v>1.2425999999999999</v>
      </c>
      <c r="AB30" s="2027">
        <f>ROUND(SUMPRODUCT(PRODUCT(1+Q30:Q$39)),4)</f>
        <v>1.1372</v>
      </c>
      <c r="AD30" s="2028">
        <f>ROUND(AVERAGE(I30:I$40)/100,4)</f>
        <v>2.0899999999999998E-2</v>
      </c>
      <c r="AE30" s="2028">
        <f>ROUND(AVERAGE(J30:J$40)/100,4)</f>
        <v>1.49E-2</v>
      </c>
      <c r="AF30" s="2028">
        <f t="shared" si="10"/>
        <v>1.49E-2</v>
      </c>
      <c r="AG30" s="2028">
        <f>ROUND(AVERAGE(K30:K$40)/100,4)</f>
        <v>2.3099999999999999E-2</v>
      </c>
      <c r="AH30" s="2028">
        <f>ROUND(AVERAGE(L30:L$40)/100,4)</f>
        <v>1.2999999999999999E-2</v>
      </c>
    </row>
    <row r="31" spans="1:34">
      <c r="A31" s="2040" t="s">
        <v>116</v>
      </c>
      <c r="B31" s="2041">
        <f t="shared" si="19"/>
        <v>360.06949782209392</v>
      </c>
      <c r="C31" s="2041">
        <f t="shared" si="19"/>
        <v>289.84672674747821</v>
      </c>
      <c r="D31" s="2041">
        <f t="shared" si="20"/>
        <v>289.84672674747821</v>
      </c>
      <c r="E31" s="2041">
        <f t="shared" si="21"/>
        <v>501.06543001181495</v>
      </c>
      <c r="F31" s="2041">
        <f t="shared" si="21"/>
        <v>256.82882500744967</v>
      </c>
      <c r="G31" s="3472"/>
      <c r="H31" s="2051">
        <v>2</v>
      </c>
      <c r="I31" s="2051">
        <v>3.85</v>
      </c>
      <c r="J31" s="2051">
        <v>1.95</v>
      </c>
      <c r="K31" s="2051">
        <v>4.4800000000000004</v>
      </c>
      <c r="L31" s="2052">
        <v>1.41</v>
      </c>
      <c r="N31" s="2043">
        <f t="shared" si="22"/>
        <v>3.85E-2</v>
      </c>
      <c r="O31" s="2028">
        <f t="shared" si="18"/>
        <v>1.95E-2</v>
      </c>
      <c r="P31" s="2028">
        <f t="shared" si="18"/>
        <v>4.4800000000000006E-2</v>
      </c>
      <c r="Q31" s="2028">
        <f t="shared" si="18"/>
        <v>1.41E-2</v>
      </c>
      <c r="R31" s="2044"/>
      <c r="S31" s="2043"/>
      <c r="T31" s="2028"/>
      <c r="U31" s="2028"/>
      <c r="V31" s="2028"/>
      <c r="X31" s="2027">
        <f>ROUND(SUMPRODUCT(PRODUCT(1+N31:N$39)),4)</f>
        <v>1.1702999999999999</v>
      </c>
      <c r="Y31" s="2027">
        <f>ROUND(SUMPRODUCT(PRODUCT(1+O31:O$39)),4)</f>
        <v>1.1269</v>
      </c>
      <c r="Z31" s="2027">
        <f t="shared" si="9"/>
        <v>1.1269</v>
      </c>
      <c r="AA31" s="2027">
        <f>ROUND(SUMPRODUCT(PRODUCT(1+P31:P$39)),4)</f>
        <v>1.1858</v>
      </c>
      <c r="AB31" s="2027">
        <f>ROUND(SUMPRODUCT(PRODUCT(1+Q31:Q$39)),4)</f>
        <v>1.1152</v>
      </c>
      <c r="AD31" s="2028">
        <f>ROUND(AVERAGE(I31:I$40)/100,4)</f>
        <v>1.89E-2</v>
      </c>
      <c r="AE31" s="2028">
        <f>ROUND(AVERAGE(J31:J$40)/100,4)</f>
        <v>1.44E-2</v>
      </c>
      <c r="AF31" s="2028">
        <f t="shared" si="10"/>
        <v>1.44E-2</v>
      </c>
      <c r="AG31" s="2028">
        <f>ROUND(AVERAGE(K31:K$40)/100,4)</f>
        <v>2.06E-2</v>
      </c>
      <c r="AH31" s="2028">
        <f>ROUND(AVERAGE(L31:L$40)/100,4)</f>
        <v>1.23E-2</v>
      </c>
    </row>
    <row r="32" spans="1:34" ht="13.5" thickBot="1">
      <c r="A32" s="2040" t="s">
        <v>125</v>
      </c>
      <c r="B32" s="2041">
        <f t="shared" si="19"/>
        <v>346.720748986128</v>
      </c>
      <c r="C32" s="2041">
        <f t="shared" si="19"/>
        <v>284.30282172386285</v>
      </c>
      <c r="D32" s="2041">
        <f t="shared" si="20"/>
        <v>284.30282172386285</v>
      </c>
      <c r="E32" s="2041">
        <f t="shared" si="21"/>
        <v>479.58023546306947</v>
      </c>
      <c r="F32" s="2041">
        <f t="shared" si="21"/>
        <v>253.25788877571213</v>
      </c>
      <c r="G32" s="3473"/>
      <c r="H32" s="2042">
        <v>1</v>
      </c>
      <c r="I32" s="2042">
        <v>4.09</v>
      </c>
      <c r="J32" s="2042">
        <v>2.93</v>
      </c>
      <c r="K32" s="2042">
        <v>4.54</v>
      </c>
      <c r="L32" s="2046">
        <v>1.48</v>
      </c>
      <c r="N32" s="2043">
        <f t="shared" si="22"/>
        <v>4.0899999999999999E-2</v>
      </c>
      <c r="O32" s="2028">
        <f t="shared" si="18"/>
        <v>2.9300000000000003E-2</v>
      </c>
      <c r="P32" s="2028">
        <f t="shared" si="18"/>
        <v>4.5400000000000003E-2</v>
      </c>
      <c r="Q32" s="2028">
        <f t="shared" si="18"/>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9"/>
        <v>1.1052999999999999</v>
      </c>
      <c r="AA32" s="2027">
        <f>ROUND(SUMPRODUCT(PRODUCT(1+P32:P$39)),4)</f>
        <v>1.1349</v>
      </c>
      <c r="AB32" s="2027">
        <f>ROUND(SUMPRODUCT(PRODUCT(1+Q32:Q$39)),4)</f>
        <v>1.0996999999999999</v>
      </c>
      <c r="AD32" s="2028">
        <f>ROUND(AVERAGE(I32:I$40)/100,4)</f>
        <v>1.67E-2</v>
      </c>
      <c r="AE32" s="2028">
        <f>ROUND(AVERAGE(J32:J$40)/100,4)</f>
        <v>1.38E-2</v>
      </c>
      <c r="AF32" s="2028">
        <f t="shared" si="10"/>
        <v>1.38E-2</v>
      </c>
      <c r="AG32" s="2028">
        <f>ROUND(AVERAGE(K32:K$40)/100,4)</f>
        <v>1.7899999999999999E-2</v>
      </c>
      <c r="AH32" s="2028">
        <f>ROUND(AVERAGE(L32:L$40)/100,4)</f>
        <v>1.21E-2</v>
      </c>
    </row>
    <row r="33" spans="1:34" ht="13.5" thickBot="1">
      <c r="A33" s="2040" t="s">
        <v>124</v>
      </c>
      <c r="B33" s="2049">
        <v>333</v>
      </c>
      <c r="C33" s="2049">
        <v>277</v>
      </c>
      <c r="D33" s="2049">
        <f t="shared" si="20"/>
        <v>277</v>
      </c>
      <c r="E33" s="2049">
        <v>459</v>
      </c>
      <c r="F33" s="2050">
        <v>249</v>
      </c>
      <c r="G33" s="3471">
        <v>2015</v>
      </c>
      <c r="H33" s="2057">
        <v>4</v>
      </c>
      <c r="I33" s="2057">
        <v>1.63</v>
      </c>
      <c r="J33" s="2057">
        <v>1.1100000000000001</v>
      </c>
      <c r="K33" s="2057">
        <v>1.77</v>
      </c>
      <c r="L33" s="2058">
        <v>1.89</v>
      </c>
      <c r="N33" s="2059">
        <f t="shared" si="22"/>
        <v>1.6299999999999999E-2</v>
      </c>
      <c r="O33" s="2060">
        <f t="shared" si="18"/>
        <v>1.11E-2</v>
      </c>
      <c r="P33" s="2060">
        <f t="shared" si="18"/>
        <v>1.77E-2</v>
      </c>
      <c r="Q33" s="2060">
        <f t="shared" si="18"/>
        <v>1.89E-2</v>
      </c>
      <c r="R33" s="2044"/>
      <c r="X33" s="2027">
        <f>ROUND(SUMPRODUCT(PRODUCT(1+N33:N$39)),4)</f>
        <v>1.0826</v>
      </c>
      <c r="Y33" s="2027">
        <f>ROUND(SUMPRODUCT(PRODUCT(1+O33:O$39)),4)</f>
        <v>1.0738000000000001</v>
      </c>
      <c r="Z33" s="2027">
        <f t="shared" si="9"/>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0"/>
        <v>1.1900000000000001E-2</v>
      </c>
      <c r="AG33" s="2028">
        <f>ROUND(AVERAGE(K33:K$40)/100,4)</f>
        <v>1.4500000000000001E-2</v>
      </c>
      <c r="AH33" s="2028">
        <f>ROUND(AVERAGE(L33:L$40)/100,4)</f>
        <v>1.18E-2</v>
      </c>
    </row>
    <row r="34" spans="1:34">
      <c r="A34" s="2040" t="s">
        <v>123</v>
      </c>
      <c r="B34" s="2041">
        <f t="shared" ref="B34:C36" si="23">B33/(1+N33)</f>
        <v>327.65915576109415</v>
      </c>
      <c r="C34" s="2041">
        <f t="shared" si="23"/>
        <v>273.95905449510434</v>
      </c>
      <c r="D34" s="2041">
        <f t="shared" si="20"/>
        <v>273.95905449510434</v>
      </c>
      <c r="E34" s="2041">
        <f t="shared" ref="E34:F36" si="24">E33/(1+P33)</f>
        <v>451.01699911565294</v>
      </c>
      <c r="F34" s="2041">
        <f t="shared" si="24"/>
        <v>244.38119540681129</v>
      </c>
      <c r="G34" s="3472"/>
      <c r="H34" s="2062">
        <v>3</v>
      </c>
      <c r="I34" s="2062">
        <v>1.65</v>
      </c>
      <c r="J34" s="2062">
        <v>0.92</v>
      </c>
      <c r="K34" s="2062">
        <v>1.88</v>
      </c>
      <c r="L34" s="2063">
        <v>1.26</v>
      </c>
      <c r="N34" s="2043">
        <f t="shared" si="22"/>
        <v>1.6500000000000001E-2</v>
      </c>
      <c r="O34" s="2028">
        <f t="shared" si="18"/>
        <v>9.1999999999999998E-3</v>
      </c>
      <c r="P34" s="2028">
        <f t="shared" si="18"/>
        <v>1.8799999999999997E-2</v>
      </c>
      <c r="Q34" s="2028">
        <f t="shared" si="18"/>
        <v>1.26E-2</v>
      </c>
      <c r="R34" s="2044"/>
      <c r="S34" s="2043"/>
      <c r="T34" s="2028"/>
      <c r="U34" s="2028"/>
      <c r="V34" s="2028"/>
      <c r="X34" s="2027">
        <f>ROUND(SUMPRODUCT(PRODUCT(1+N34:N$39)),4)</f>
        <v>1.0651999999999999</v>
      </c>
      <c r="Y34" s="2027">
        <f>ROUND(SUMPRODUCT(PRODUCT(1+O34:O$39)),4)</f>
        <v>1.0621</v>
      </c>
      <c r="Z34" s="2027">
        <f t="shared" si="9"/>
        <v>1.0621</v>
      </c>
      <c r="AA34" s="2027">
        <f>ROUND(SUMPRODUCT(PRODUCT(1+P34:P$39)),4)</f>
        <v>1.0668</v>
      </c>
      <c r="AB34" s="2027">
        <f>ROUND(SUMPRODUCT(PRODUCT(1+Q34:Q$39)),4)</f>
        <v>1.0636000000000001</v>
      </c>
      <c r="AD34" s="2028">
        <f>ROUND(AVERAGE(I34:I$40)/100,4)</f>
        <v>1.3299999999999999E-2</v>
      </c>
      <c r="AE34" s="2028">
        <f>ROUND(AVERAGE(J34:J$40)/100,4)</f>
        <v>1.2E-2</v>
      </c>
      <c r="AF34" s="2028">
        <f t="shared" si="10"/>
        <v>1.2E-2</v>
      </c>
      <c r="AG34" s="2028">
        <f>ROUND(AVERAGE(K34:K$40)/100,4)</f>
        <v>1.4E-2</v>
      </c>
      <c r="AH34" s="2028">
        <f>ROUND(AVERAGE(L34:L$40)/100,4)</f>
        <v>1.0800000000000001E-2</v>
      </c>
    </row>
    <row r="35" spans="1:34">
      <c r="A35" s="2040" t="s">
        <v>122</v>
      </c>
      <c r="B35" s="2041">
        <f t="shared" si="23"/>
        <v>322.34053690220776</v>
      </c>
      <c r="C35" s="2041">
        <f t="shared" si="23"/>
        <v>271.46160770422546</v>
      </c>
      <c r="D35" s="2041">
        <f t="shared" si="20"/>
        <v>271.46160770422546</v>
      </c>
      <c r="E35" s="2041">
        <f t="shared" si="24"/>
        <v>442.69434542172456</v>
      </c>
      <c r="F35" s="2041">
        <f t="shared" si="24"/>
        <v>241.34030753190925</v>
      </c>
      <c r="G35" s="3472"/>
      <c r="H35" s="2051">
        <v>2</v>
      </c>
      <c r="I35" s="2051">
        <v>0.77</v>
      </c>
      <c r="J35" s="2051">
        <v>0.69</v>
      </c>
      <c r="K35" s="2051">
        <v>0.8</v>
      </c>
      <c r="L35" s="2052">
        <v>0.88</v>
      </c>
      <c r="N35" s="2043">
        <f t="shared" si="22"/>
        <v>7.7000000000000002E-3</v>
      </c>
      <c r="O35" s="2028">
        <f t="shared" si="18"/>
        <v>6.8999999999999999E-3</v>
      </c>
      <c r="P35" s="2028">
        <f t="shared" si="18"/>
        <v>8.0000000000000002E-3</v>
      </c>
      <c r="Q35" s="2028">
        <f t="shared" si="18"/>
        <v>8.8000000000000005E-3</v>
      </c>
      <c r="R35" s="2044"/>
      <c r="S35" s="2043"/>
      <c r="T35" s="2028"/>
      <c r="U35" s="2028"/>
      <c r="V35" s="2028"/>
      <c r="X35" s="2027">
        <f>ROUND(SUMPRODUCT(PRODUCT(1+N35:N$39)),4)</f>
        <v>1.048</v>
      </c>
      <c r="Y35" s="2027">
        <f>ROUND(SUMPRODUCT(PRODUCT(1+O35:O$39)),4)</f>
        <v>1.0524</v>
      </c>
      <c r="Z35" s="2027">
        <f t="shared" si="9"/>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0"/>
        <v>1.2500000000000001E-2</v>
      </c>
      <c r="AG35" s="2028">
        <f>ROUND(AVERAGE(K35:K$40)/100,4)</f>
        <v>1.32E-2</v>
      </c>
      <c r="AH35" s="2028">
        <f>ROUND(AVERAGE(L35:L$40)/100,4)</f>
        <v>1.0500000000000001E-2</v>
      </c>
    </row>
    <row r="36" spans="1:34">
      <c r="A36" s="2040" t="s">
        <v>121</v>
      </c>
      <c r="B36" s="2041">
        <f t="shared" si="23"/>
        <v>319.87748030386797</v>
      </c>
      <c r="C36" s="2041">
        <f t="shared" si="23"/>
        <v>269.60135833173649</v>
      </c>
      <c r="D36" s="2041">
        <f t="shared" si="20"/>
        <v>269.60135833173649</v>
      </c>
      <c r="E36" s="2041">
        <f t="shared" si="24"/>
        <v>439.18089823583784</v>
      </c>
      <c r="F36" s="2041">
        <f t="shared" si="24"/>
        <v>239.23503918706311</v>
      </c>
      <c r="G36" s="3473"/>
      <c r="H36" s="2042">
        <v>1</v>
      </c>
      <c r="I36" s="2042">
        <v>0.51</v>
      </c>
      <c r="J36" s="2042">
        <v>0.54</v>
      </c>
      <c r="K36" s="2042">
        <v>0.48</v>
      </c>
      <c r="L36" s="2046">
        <v>0.93</v>
      </c>
      <c r="N36" s="2055">
        <f t="shared" si="22"/>
        <v>5.1000000000000004E-3</v>
      </c>
      <c r="O36" s="2056">
        <f t="shared" si="18"/>
        <v>5.4000000000000003E-3</v>
      </c>
      <c r="P36" s="2056">
        <f t="shared" si="18"/>
        <v>4.7999999999999996E-3</v>
      </c>
      <c r="Q36" s="2056">
        <f t="shared" si="18"/>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9"/>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0"/>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0"/>
        <v>268</v>
      </c>
      <c r="E37" s="2064">
        <v>437</v>
      </c>
      <c r="F37" s="2065">
        <v>237</v>
      </c>
      <c r="G37" s="3471">
        <v>2014</v>
      </c>
      <c r="H37" s="2057">
        <v>4</v>
      </c>
      <c r="I37" s="2057">
        <v>0.21</v>
      </c>
      <c r="J37" s="2057">
        <v>0.41</v>
      </c>
      <c r="K37" s="2057">
        <v>0.12</v>
      </c>
      <c r="L37" s="2058">
        <v>0.89</v>
      </c>
      <c r="N37" s="2043">
        <f t="shared" si="22"/>
        <v>2.0999999999999999E-3</v>
      </c>
      <c r="O37" s="2028">
        <f t="shared" si="18"/>
        <v>4.0999999999999995E-3</v>
      </c>
      <c r="P37" s="2028">
        <f t="shared" si="18"/>
        <v>1.1999999999999999E-3</v>
      </c>
      <c r="Q37" s="2028">
        <f t="shared" si="18"/>
        <v>8.8999999999999999E-3</v>
      </c>
      <c r="R37" s="2044"/>
      <c r="S37" s="2053"/>
      <c r="T37" s="2054"/>
      <c r="U37" s="2054"/>
      <c r="V37" s="2054"/>
      <c r="X37" s="2027">
        <f>ROUND(SUMPRODUCT(PRODUCT(1+N37:N$39)),4)</f>
        <v>1.0347</v>
      </c>
      <c r="Y37" s="2027">
        <f>ROUND(SUMPRODUCT(PRODUCT(1+O37:O$39)),4)</f>
        <v>1.0395000000000001</v>
      </c>
      <c r="Z37" s="2027">
        <f t="shared" si="9"/>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0"/>
        <v>1.5599999999999999E-2</v>
      </c>
      <c r="AG37" s="2028">
        <f>ROUND(AVERAGE(K37:K$40)/100,4)</f>
        <v>1.66E-2</v>
      </c>
      <c r="AH37" s="2028">
        <f>ROUND(AVERAGE(L37:L$40)/100,4)</f>
        <v>1.12E-2</v>
      </c>
    </row>
    <row r="38" spans="1:34">
      <c r="A38" s="2040" t="s">
        <v>119</v>
      </c>
      <c r="B38" s="2041">
        <f t="shared" ref="B38:C40" si="25">B37/(1+N37)</f>
        <v>317.33359944117353</v>
      </c>
      <c r="C38" s="2041">
        <f t="shared" si="25"/>
        <v>266.90568668459315</v>
      </c>
      <c r="D38" s="2041">
        <f t="shared" si="20"/>
        <v>266.90568668459315</v>
      </c>
      <c r="E38" s="2041">
        <f t="shared" ref="E38:F40" si="26">E37/(1+P37)</f>
        <v>436.47622852576905</v>
      </c>
      <c r="F38" s="2041">
        <f t="shared" si="26"/>
        <v>234.90930716622066</v>
      </c>
      <c r="G38" s="3472"/>
      <c r="H38" s="2066">
        <v>3</v>
      </c>
      <c r="I38" s="2066">
        <v>0.83</v>
      </c>
      <c r="J38" s="2066">
        <v>1.47</v>
      </c>
      <c r="K38" s="2066">
        <v>0.65</v>
      </c>
      <c r="L38" s="2067">
        <v>0.72</v>
      </c>
      <c r="N38" s="2043">
        <f t="shared" si="22"/>
        <v>8.3000000000000001E-3</v>
      </c>
      <c r="O38" s="2028">
        <f t="shared" si="18"/>
        <v>1.47E-2</v>
      </c>
      <c r="P38" s="2028">
        <f t="shared" si="18"/>
        <v>6.5000000000000006E-3</v>
      </c>
      <c r="Q38" s="2028">
        <f t="shared" si="18"/>
        <v>7.1999999999999998E-3</v>
      </c>
      <c r="R38" s="2044"/>
      <c r="S38" s="2043"/>
      <c r="T38" s="2028"/>
      <c r="U38" s="2028"/>
      <c r="V38" s="2028"/>
      <c r="X38" s="2027">
        <f>ROUND(SUMPRODUCT(PRODUCT(1+N38:N$39)),4)</f>
        <v>1.0325</v>
      </c>
      <c r="Y38" s="2027">
        <f>ROUND(SUMPRODUCT(PRODUCT(1+O38:O$39)),4)</f>
        <v>1.0353000000000001</v>
      </c>
      <c r="Z38" s="2027">
        <f t="shared" si="9"/>
        <v>1.0353000000000001</v>
      </c>
      <c r="AA38" s="2027">
        <f>ROUND(SUMPRODUCT(PRODUCT(1+P38:P$39)),4)</f>
        <v>1.0326</v>
      </c>
      <c r="AB38" s="2027">
        <f>ROUND(SUMPRODUCT(PRODUCT(1+Q38:Q$39)),4)</f>
        <v>1.0225</v>
      </c>
      <c r="AD38" s="2028">
        <f>ROUND(AVERAGE(I38:I$40)/100,4)</f>
        <v>2.07E-2</v>
      </c>
      <c r="AE38" s="2028">
        <f>ROUND(AVERAGE(J38:J$40)/100,4)</f>
        <v>1.95E-2</v>
      </c>
      <c r="AF38" s="2028">
        <f t="shared" si="10"/>
        <v>1.95E-2</v>
      </c>
      <c r="AG38" s="2028">
        <f>ROUND(AVERAGE(K38:K$40)/100,4)</f>
        <v>2.1700000000000001E-2</v>
      </c>
      <c r="AH38" s="2028">
        <f>ROUND(AVERAGE(L38:L$40)/100,4)</f>
        <v>1.2E-2</v>
      </c>
    </row>
    <row r="39" spans="1:34" ht="13.5" thickBot="1">
      <c r="A39" s="2040" t="s">
        <v>118</v>
      </c>
      <c r="B39" s="2041">
        <f t="shared" si="25"/>
        <v>314.72141172386546</v>
      </c>
      <c r="C39" s="2041">
        <f t="shared" si="25"/>
        <v>263.03901319069001</v>
      </c>
      <c r="D39" s="2041">
        <f t="shared" si="20"/>
        <v>263.03901319069001</v>
      </c>
      <c r="E39" s="2041">
        <f t="shared" si="26"/>
        <v>433.65745506782821</v>
      </c>
      <c r="F39" s="2041">
        <f t="shared" si="26"/>
        <v>233.23005080045735</v>
      </c>
      <c r="G39" s="3472"/>
      <c r="H39" s="2057">
        <v>2</v>
      </c>
      <c r="I39" s="2057">
        <v>2.4</v>
      </c>
      <c r="J39" s="2057">
        <v>2.0299999999999998</v>
      </c>
      <c r="K39" s="2057">
        <v>2.59</v>
      </c>
      <c r="L39" s="2058">
        <v>1.52</v>
      </c>
      <c r="N39" s="2043">
        <f t="shared" si="22"/>
        <v>2.4E-2</v>
      </c>
      <c r="O39" s="2028">
        <f t="shared" si="18"/>
        <v>2.0299999999999999E-2</v>
      </c>
      <c r="P39" s="2028">
        <f t="shared" si="18"/>
        <v>2.5899999999999999E-2</v>
      </c>
      <c r="Q39" s="2028">
        <f t="shared" si="18"/>
        <v>1.52E-2</v>
      </c>
      <c r="R39" s="2044"/>
      <c r="S39" s="2043"/>
      <c r="T39" s="2028"/>
      <c r="U39" s="2028"/>
      <c r="V39" s="2028"/>
      <c r="X39" s="2027">
        <f>1+N39</f>
        <v>1.024</v>
      </c>
      <c r="Y39" s="2027">
        <f>1+O39</f>
        <v>1.0203</v>
      </c>
      <c r="Z39" s="2027">
        <f t="shared" si="9"/>
        <v>1.0203</v>
      </c>
      <c r="AA39" s="2027">
        <f>1+P39</f>
        <v>1.0259</v>
      </c>
      <c r="AB39" s="2027">
        <f>1+Q39</f>
        <v>1.0152000000000001</v>
      </c>
      <c r="AD39" s="2028">
        <f>ROUND(AVERAGE(I39:I$40)/100,4)</f>
        <v>2.69E-2</v>
      </c>
      <c r="AE39" s="2028">
        <f>ROUND(AVERAGE(J39:J$40)/100,4)</f>
        <v>2.1899999999999999E-2</v>
      </c>
      <c r="AF39" s="2028">
        <f t="shared" si="10"/>
        <v>2.1899999999999999E-2</v>
      </c>
      <c r="AG39" s="2028">
        <f>ROUND(AVERAGE(K39:K$40)/100,4)</f>
        <v>2.9399999999999999E-2</v>
      </c>
      <c r="AH39" s="2028">
        <f>ROUND(AVERAGE(L39:L$40)/100,4)</f>
        <v>1.44E-2</v>
      </c>
    </row>
    <row r="40" spans="1:34" s="2072" customFormat="1" ht="13.5" thickBot="1">
      <c r="A40" s="2068" t="s">
        <v>117</v>
      </c>
      <c r="B40" s="2069">
        <f t="shared" si="25"/>
        <v>307.34512863658733</v>
      </c>
      <c r="C40" s="2069">
        <f t="shared" si="25"/>
        <v>257.80556031626975</v>
      </c>
      <c r="D40" s="2069">
        <f t="shared" si="20"/>
        <v>257.80556031626975</v>
      </c>
      <c r="E40" s="2069">
        <f t="shared" si="26"/>
        <v>422.70928459677179</v>
      </c>
      <c r="F40" s="2069">
        <f t="shared" si="26"/>
        <v>229.73803270336617</v>
      </c>
      <c r="G40" s="3473"/>
      <c r="H40" s="2070">
        <v>1</v>
      </c>
      <c r="I40" s="2070">
        <v>2.97</v>
      </c>
      <c r="J40" s="2070">
        <v>2.34</v>
      </c>
      <c r="K40" s="2070">
        <v>3.28</v>
      </c>
      <c r="L40" s="2071">
        <v>1.36</v>
      </c>
      <c r="N40" s="2073">
        <f t="shared" si="22"/>
        <v>2.9700000000000001E-2</v>
      </c>
      <c r="O40" s="2074">
        <f t="shared" si="18"/>
        <v>2.3399999999999997E-2</v>
      </c>
      <c r="P40" s="2074">
        <f t="shared" si="18"/>
        <v>3.2799999999999996E-2</v>
      </c>
      <c r="Q40" s="2074">
        <f t="shared" si="18"/>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 t="shared" si="10"/>
        <v>2.3399999999999997E-2</v>
      </c>
      <c r="AG40" s="2074">
        <f>K40/100</f>
        <v>3.2799999999999996E-2</v>
      </c>
      <c r="AH40" s="2074">
        <f>L40/100</f>
        <v>1.3600000000000001E-2</v>
      </c>
    </row>
    <row r="41" spans="1:34" ht="13.5" thickBot="1">
      <c r="A41" s="2040" t="s">
        <v>465</v>
      </c>
      <c r="B41" s="2049">
        <v>299</v>
      </c>
      <c r="C41" s="2049">
        <v>252</v>
      </c>
      <c r="D41" s="2049">
        <f t="shared" si="20"/>
        <v>252</v>
      </c>
      <c r="E41" s="2049">
        <v>409</v>
      </c>
      <c r="F41" s="2050">
        <v>227</v>
      </c>
      <c r="G41" s="3476">
        <v>2013</v>
      </c>
      <c r="H41" s="2079">
        <v>4</v>
      </c>
      <c r="I41" s="2079">
        <v>1.83</v>
      </c>
      <c r="J41" s="2079">
        <v>1.68</v>
      </c>
      <c r="K41" s="2079">
        <v>1.97</v>
      </c>
      <c r="L41" s="2080">
        <v>0.87</v>
      </c>
      <c r="N41" s="2059">
        <f t="shared" si="22"/>
        <v>1.83E-2</v>
      </c>
      <c r="O41" s="2060">
        <f t="shared" si="18"/>
        <v>1.6799999999999999E-2</v>
      </c>
      <c r="P41" s="2060">
        <f t="shared" si="18"/>
        <v>1.9699999999999999E-2</v>
      </c>
      <c r="Q41" s="2060">
        <f t="shared" si="18"/>
        <v>8.6999999999999994E-3</v>
      </c>
      <c r="R41" s="2044"/>
      <c r="S41" s="2053"/>
      <c r="T41" s="2054"/>
      <c r="U41" s="2054"/>
      <c r="V41" s="2054"/>
      <c r="X41" s="2054"/>
      <c r="Y41" s="2054"/>
      <c r="Z41" s="2054"/>
    </row>
    <row r="42" spans="1:34">
      <c r="A42" s="2040" t="s">
        <v>466</v>
      </c>
      <c r="B42" s="2041">
        <f t="shared" ref="B42:C44" si="27">B41/(1+N41)</f>
        <v>293.62663262299913</v>
      </c>
      <c r="C42" s="2041">
        <f t="shared" si="27"/>
        <v>247.83634933123525</v>
      </c>
      <c r="D42" s="2041">
        <f t="shared" si="20"/>
        <v>247.83634933123525</v>
      </c>
      <c r="E42" s="2041">
        <f t="shared" ref="E42:F44" si="28">E41/(1+P41)</f>
        <v>401.09836226341076</v>
      </c>
      <c r="F42" s="2041">
        <f t="shared" si="28"/>
        <v>225.04213343908003</v>
      </c>
      <c r="G42" s="3477"/>
      <c r="H42" s="2062">
        <v>3</v>
      </c>
      <c r="I42" s="2062">
        <v>1.86</v>
      </c>
      <c r="J42" s="2062">
        <v>1.72</v>
      </c>
      <c r="K42" s="2062">
        <v>1.98</v>
      </c>
      <c r="L42" s="2063">
        <v>0.88</v>
      </c>
      <c r="N42" s="2043">
        <f t="shared" si="22"/>
        <v>1.8600000000000002E-2</v>
      </c>
      <c r="O42" s="2028">
        <f t="shared" si="18"/>
        <v>1.72E-2</v>
      </c>
      <c r="P42" s="2028">
        <f t="shared" si="18"/>
        <v>1.9799999999999998E-2</v>
      </c>
      <c r="Q42" s="2028">
        <f t="shared" si="18"/>
        <v>8.8000000000000005E-3</v>
      </c>
      <c r="R42" s="2044"/>
      <c r="S42" s="2043"/>
      <c r="T42" s="2028"/>
      <c r="U42" s="2028"/>
      <c r="V42" s="2028"/>
    </row>
    <row r="43" spans="1:34">
      <c r="A43" s="2040" t="s">
        <v>467</v>
      </c>
      <c r="B43" s="2041">
        <f t="shared" si="27"/>
        <v>288.2649053828776</v>
      </c>
      <c r="C43" s="2041">
        <f t="shared" si="27"/>
        <v>243.64564425013293</v>
      </c>
      <c r="D43" s="2041">
        <f t="shared" si="20"/>
        <v>243.64564425013293</v>
      </c>
      <c r="E43" s="2041">
        <f t="shared" si="28"/>
        <v>393.31080825986544</v>
      </c>
      <c r="F43" s="2041">
        <f t="shared" si="28"/>
        <v>223.07903790551154</v>
      </c>
      <c r="G43" s="3477"/>
      <c r="H43" s="2051">
        <v>2</v>
      </c>
      <c r="I43" s="2051">
        <v>2.04</v>
      </c>
      <c r="J43" s="2051">
        <v>2.33</v>
      </c>
      <c r="K43" s="2051">
        <v>2.0699999999999998</v>
      </c>
      <c r="L43" s="2052">
        <v>0.69</v>
      </c>
      <c r="N43" s="2043">
        <f t="shared" si="22"/>
        <v>2.0400000000000001E-2</v>
      </c>
      <c r="O43" s="2028">
        <f t="shared" si="18"/>
        <v>2.3300000000000001E-2</v>
      </c>
      <c r="P43" s="2028">
        <f t="shared" si="18"/>
        <v>2.07E-2</v>
      </c>
      <c r="Q43" s="2028">
        <f t="shared" si="18"/>
        <v>6.8999999999999999E-3</v>
      </c>
      <c r="R43" s="2044"/>
      <c r="S43" s="2043"/>
      <c r="T43" s="2028"/>
      <c r="U43" s="2028"/>
      <c r="V43" s="2028"/>
      <c r="X43" s="2081"/>
      <c r="Y43" s="2082"/>
    </row>
    <row r="44" spans="1:34">
      <c r="A44" s="2040" t="s">
        <v>468</v>
      </c>
      <c r="B44" s="2041">
        <f t="shared" si="27"/>
        <v>282.50186729015837</v>
      </c>
      <c r="C44" s="2041">
        <f t="shared" si="27"/>
        <v>238.09796174155468</v>
      </c>
      <c r="D44" s="2041">
        <f t="shared" si="20"/>
        <v>238.09796174155468</v>
      </c>
      <c r="E44" s="2041">
        <f t="shared" si="28"/>
        <v>385.33438646014054</v>
      </c>
      <c r="F44" s="2041">
        <f t="shared" si="28"/>
        <v>221.55034055567739</v>
      </c>
      <c r="G44" s="3478"/>
      <c r="H44" s="2042">
        <v>1</v>
      </c>
      <c r="I44" s="2042">
        <v>1.67</v>
      </c>
      <c r="J44" s="2042">
        <v>1.31</v>
      </c>
      <c r="K44" s="2042">
        <v>1.85</v>
      </c>
      <c r="L44" s="2046">
        <v>0.96</v>
      </c>
      <c r="N44" s="2055">
        <f t="shared" si="22"/>
        <v>1.67E-2</v>
      </c>
      <c r="O44" s="2056">
        <f t="shared" si="22"/>
        <v>1.3100000000000001E-2</v>
      </c>
      <c r="P44" s="2056">
        <f t="shared" si="22"/>
        <v>1.8500000000000003E-2</v>
      </c>
      <c r="Q44" s="2056">
        <f t="shared" si="22"/>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0"/>
        <v>234</v>
      </c>
      <c r="E45" s="2083">
        <v>379</v>
      </c>
      <c r="F45" s="2084">
        <v>220</v>
      </c>
      <c r="G45" s="3471">
        <v>2012</v>
      </c>
      <c r="H45" s="2057">
        <v>4</v>
      </c>
      <c r="I45" s="2057">
        <v>0.91</v>
      </c>
      <c r="J45" s="2057">
        <v>0.68</v>
      </c>
      <c r="K45" s="2057">
        <v>0.98</v>
      </c>
      <c r="L45" s="2058">
        <v>0.9</v>
      </c>
      <c r="N45" s="2043">
        <f t="shared" si="22"/>
        <v>9.1000000000000004E-3</v>
      </c>
      <c r="O45" s="2028">
        <f t="shared" si="22"/>
        <v>6.8000000000000005E-3</v>
      </c>
      <c r="P45" s="2028">
        <f t="shared" si="22"/>
        <v>9.7999999999999997E-3</v>
      </c>
      <c r="Q45" s="2028">
        <f t="shared" si="22"/>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0"/>
        <v>232.41954707985698</v>
      </c>
      <c r="E46" s="2041">
        <f t="shared" ref="E46:F48" si="29">E45/(1+P45)</f>
        <v>375.32184591008121</v>
      </c>
      <c r="F46" s="2041">
        <f t="shared" si="29"/>
        <v>218.03766105054513</v>
      </c>
      <c r="G46" s="3472"/>
      <c r="H46" s="2062">
        <v>3</v>
      </c>
      <c r="I46" s="2062">
        <v>0.09</v>
      </c>
      <c r="J46" s="2062">
        <v>0.28999999999999998</v>
      </c>
      <c r="K46" s="2062">
        <v>-0.01</v>
      </c>
      <c r="L46" s="2063">
        <v>0.57999999999999996</v>
      </c>
      <c r="N46" s="2043">
        <f t="shared" si="22"/>
        <v>8.9999999999999998E-4</v>
      </c>
      <c r="O46" s="2028">
        <f t="shared" si="22"/>
        <v>2.8999999999999998E-3</v>
      </c>
      <c r="P46" s="2028">
        <f t="shared" si="22"/>
        <v>-1E-4</v>
      </c>
      <c r="Q46" s="2028">
        <f t="shared" si="22"/>
        <v>5.7999999999999996E-3</v>
      </c>
      <c r="R46" s="2044"/>
      <c r="S46" s="2043"/>
      <c r="T46" s="2028"/>
      <c r="U46" s="2028"/>
      <c r="V46" s="2028"/>
    </row>
    <row r="47" spans="1:34">
      <c r="A47" s="2040" t="s">
        <v>471</v>
      </c>
      <c r="B47" s="2041">
        <f>B46/(1+N46)</f>
        <v>275.24529281292263</v>
      </c>
      <c r="C47" s="2041">
        <f>C46/(1+O46)</f>
        <v>231.74747938962707</v>
      </c>
      <c r="D47" s="2041">
        <f t="shared" si="20"/>
        <v>231.74747938962707</v>
      </c>
      <c r="E47" s="2041">
        <f t="shared" si="29"/>
        <v>375.35938184826603</v>
      </c>
      <c r="F47" s="2041">
        <f t="shared" si="29"/>
        <v>216.78033510692495</v>
      </c>
      <c r="G47" s="3472"/>
      <c r="H47" s="2051">
        <v>2</v>
      </c>
      <c r="I47" s="2051">
        <v>0.02</v>
      </c>
      <c r="J47" s="2051">
        <v>0.12</v>
      </c>
      <c r="K47" s="2051">
        <v>-0.08</v>
      </c>
      <c r="L47" s="2052">
        <v>1.24</v>
      </c>
      <c r="N47" s="2043">
        <f t="shared" si="22"/>
        <v>2.0000000000000001E-4</v>
      </c>
      <c r="O47" s="2028">
        <f t="shared" si="22"/>
        <v>1.1999999999999999E-3</v>
      </c>
      <c r="P47" s="2028">
        <f t="shared" si="22"/>
        <v>-8.0000000000000004E-4</v>
      </c>
      <c r="Q47" s="2028">
        <f t="shared" si="22"/>
        <v>1.24E-2</v>
      </c>
      <c r="R47" s="2044"/>
      <c r="S47" s="2043"/>
      <c r="T47" s="2028"/>
      <c r="U47" s="2028"/>
      <c r="V47" s="2028"/>
    </row>
    <row r="48" spans="1:34" ht="13.5" thickBot="1">
      <c r="A48" s="2040" t="s">
        <v>472</v>
      </c>
      <c r="B48" s="2041">
        <f>B47/(1+N47)</f>
        <v>275.19025476197027</v>
      </c>
      <c r="C48" s="2085">
        <v>232</v>
      </c>
      <c r="D48" s="2085">
        <f t="shared" si="20"/>
        <v>232</v>
      </c>
      <c r="E48" s="2041">
        <f t="shared" si="29"/>
        <v>375.65990977608692</v>
      </c>
      <c r="F48" s="2041">
        <f t="shared" si="29"/>
        <v>214.12518283971252</v>
      </c>
      <c r="G48" s="3473"/>
      <c r="H48" s="2042">
        <v>1</v>
      </c>
      <c r="I48" s="2042">
        <v>0.02</v>
      </c>
      <c r="J48" s="2042">
        <v>0.13</v>
      </c>
      <c r="K48" s="2042">
        <v>-0.04</v>
      </c>
      <c r="L48" s="2046">
        <v>0.46</v>
      </c>
      <c r="N48" s="2043">
        <f t="shared" si="22"/>
        <v>2.0000000000000001E-4</v>
      </c>
      <c r="O48" s="2028">
        <f t="shared" si="22"/>
        <v>1.2999999999999999E-3</v>
      </c>
      <c r="P48" s="2028">
        <f t="shared" si="22"/>
        <v>-4.0000000000000002E-4</v>
      </c>
      <c r="Q48" s="2028">
        <f t="shared" si="22"/>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0"/>
        <v>232</v>
      </c>
      <c r="E49" s="2049">
        <v>376</v>
      </c>
      <c r="F49" s="2050">
        <v>213</v>
      </c>
      <c r="G49" s="3471">
        <v>2011</v>
      </c>
      <c r="H49" s="2057">
        <v>4</v>
      </c>
      <c r="I49" s="2057">
        <v>-0.2</v>
      </c>
      <c r="J49" s="2057">
        <v>0.04</v>
      </c>
      <c r="K49" s="2057">
        <v>-0.34</v>
      </c>
      <c r="L49" s="2058">
        <v>0.46</v>
      </c>
      <c r="N49" s="2059">
        <f t="shared" si="22"/>
        <v>-2E-3</v>
      </c>
      <c r="O49" s="2060">
        <f t="shared" si="22"/>
        <v>4.0000000000000002E-4</v>
      </c>
      <c r="P49" s="2060">
        <f t="shared" si="22"/>
        <v>-3.4000000000000002E-3</v>
      </c>
      <c r="Q49" s="2060">
        <f t="shared" si="22"/>
        <v>4.5999999999999999E-3</v>
      </c>
      <c r="R49" s="2044"/>
      <c r="S49" s="2053"/>
      <c r="T49" s="2054"/>
      <c r="U49" s="2054"/>
      <c r="V49" s="2054"/>
      <c r="X49" s="2054"/>
      <c r="Y49" s="2054"/>
      <c r="Z49" s="2054"/>
    </row>
    <row r="50" spans="1:26">
      <c r="A50" s="2040" t="s">
        <v>474</v>
      </c>
      <c r="B50" s="2041">
        <f t="shared" ref="B50:C52" si="30">B49/(1+N49)</f>
        <v>275.55110220440883</v>
      </c>
      <c r="C50" s="2041">
        <f t="shared" si="30"/>
        <v>231.90723710515795</v>
      </c>
      <c r="D50" s="2041">
        <f t="shared" si="20"/>
        <v>231.90723710515795</v>
      </c>
      <c r="E50" s="2041">
        <f t="shared" ref="E50:F52" si="31">E49/(1+P49)</f>
        <v>377.28276138872161</v>
      </c>
      <c r="F50" s="2041">
        <f t="shared" si="31"/>
        <v>212.02468644236512</v>
      </c>
      <c r="G50" s="3472">
        <v>2011</v>
      </c>
      <c r="H50" s="2062">
        <v>3</v>
      </c>
      <c r="I50" s="2062">
        <v>0.13</v>
      </c>
      <c r="J50" s="2062">
        <v>0.75</v>
      </c>
      <c r="K50" s="2062">
        <v>-0.08</v>
      </c>
      <c r="L50" s="2063">
        <v>0.53</v>
      </c>
      <c r="N50" s="2043">
        <f t="shared" si="22"/>
        <v>1.2999999999999999E-3</v>
      </c>
      <c r="O50" s="2028">
        <f t="shared" si="22"/>
        <v>7.4999999999999997E-3</v>
      </c>
      <c r="P50" s="2028">
        <f t="shared" si="22"/>
        <v>-8.0000000000000004E-4</v>
      </c>
      <c r="Q50" s="2028">
        <f t="shared" si="22"/>
        <v>5.3E-3</v>
      </c>
      <c r="R50" s="2044"/>
      <c r="S50" s="2043"/>
      <c r="T50" s="2028"/>
      <c r="U50" s="2028"/>
      <c r="V50" s="2028"/>
    </row>
    <row r="51" spans="1:26">
      <c r="A51" s="2040" t="s">
        <v>475</v>
      </c>
      <c r="B51" s="2041">
        <f t="shared" si="30"/>
        <v>275.19335084830601</v>
      </c>
      <c r="C51" s="2041">
        <f t="shared" si="30"/>
        <v>230.18088050139744</v>
      </c>
      <c r="D51" s="2041">
        <f t="shared" si="20"/>
        <v>230.18088050139744</v>
      </c>
      <c r="E51" s="2041">
        <f t="shared" si="31"/>
        <v>377.58482925212331</v>
      </c>
      <c r="F51" s="2041">
        <f t="shared" si="31"/>
        <v>210.90687997847917</v>
      </c>
      <c r="G51" s="3472">
        <v>2011</v>
      </c>
      <c r="H51" s="2051">
        <v>2</v>
      </c>
      <c r="I51" s="2051">
        <v>-0.4</v>
      </c>
      <c r="J51" s="2051">
        <v>0.17</v>
      </c>
      <c r="K51" s="2051">
        <v>-0.57999999999999996</v>
      </c>
      <c r="L51" s="2052">
        <v>-0.2</v>
      </c>
      <c r="N51" s="2043">
        <f t="shared" si="22"/>
        <v>-4.0000000000000001E-3</v>
      </c>
      <c r="O51" s="2028">
        <f t="shared" si="22"/>
        <v>1.7000000000000001E-3</v>
      </c>
      <c r="P51" s="2028">
        <f t="shared" si="22"/>
        <v>-5.7999999999999996E-3</v>
      </c>
      <c r="Q51" s="2028">
        <f t="shared" si="22"/>
        <v>-2E-3</v>
      </c>
      <c r="R51" s="2044"/>
      <c r="S51" s="2043"/>
      <c r="T51" s="2028"/>
      <c r="U51" s="2028"/>
      <c r="V51" s="2028"/>
    </row>
    <row r="52" spans="1:26" ht="13.5" thickBot="1">
      <c r="A52" s="2040" t="s">
        <v>476</v>
      </c>
      <c r="B52" s="2041">
        <f t="shared" si="30"/>
        <v>276.29854502841971</v>
      </c>
      <c r="C52" s="2041">
        <f t="shared" si="30"/>
        <v>229.79023709833027</v>
      </c>
      <c r="D52" s="2041">
        <f t="shared" si="20"/>
        <v>229.79023709833027</v>
      </c>
      <c r="E52" s="2041">
        <f t="shared" si="31"/>
        <v>379.78759731655936</v>
      </c>
      <c r="F52" s="2041">
        <f t="shared" si="31"/>
        <v>211.32953905659235</v>
      </c>
      <c r="G52" s="3473">
        <v>2011</v>
      </c>
      <c r="H52" s="2042">
        <v>1</v>
      </c>
      <c r="I52" s="2042">
        <v>2.65</v>
      </c>
      <c r="J52" s="2042">
        <v>3.76</v>
      </c>
      <c r="K52" s="2042">
        <v>1.89</v>
      </c>
      <c r="L52" s="2046">
        <v>7.95</v>
      </c>
      <c r="N52" s="2055">
        <f t="shared" si="22"/>
        <v>2.6499999999999999E-2</v>
      </c>
      <c r="O52" s="2056">
        <f t="shared" si="22"/>
        <v>3.7599999999999995E-2</v>
      </c>
      <c r="P52" s="2056">
        <f t="shared" si="22"/>
        <v>1.89E-2</v>
      </c>
      <c r="Q52" s="2056">
        <f t="shared" si="22"/>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0"/>
        <v>221</v>
      </c>
      <c r="E53" s="2049">
        <v>373</v>
      </c>
      <c r="F53" s="2050">
        <v>196</v>
      </c>
      <c r="G53" s="3471">
        <v>2010</v>
      </c>
      <c r="H53" s="2057">
        <v>4</v>
      </c>
      <c r="I53" s="2057">
        <v>5.72</v>
      </c>
      <c r="J53" s="2057">
        <v>6.57</v>
      </c>
      <c r="K53" s="2057">
        <v>5.72</v>
      </c>
      <c r="L53" s="2058">
        <v>2.72</v>
      </c>
      <c r="N53" s="2043">
        <f t="shared" si="22"/>
        <v>5.7200000000000001E-2</v>
      </c>
      <c r="O53" s="2028">
        <f t="shared" si="22"/>
        <v>6.5700000000000008E-2</v>
      </c>
      <c r="P53" s="2028">
        <f t="shared" si="22"/>
        <v>5.7200000000000001E-2</v>
      </c>
      <c r="Q53" s="2028">
        <f t="shared" si="22"/>
        <v>2.7200000000000002E-2</v>
      </c>
      <c r="R53" s="2044"/>
      <c r="S53" s="2053"/>
      <c r="T53" s="2054"/>
      <c r="U53" s="2054"/>
      <c r="V53" s="2054"/>
      <c r="X53" s="2054"/>
      <c r="Y53" s="2054"/>
      <c r="Z53" s="2054"/>
    </row>
    <row r="54" spans="1:26">
      <c r="A54" s="2040" t="s">
        <v>478</v>
      </c>
      <c r="B54" s="2041">
        <f t="shared" ref="B54:C56" si="32">B53/(1+N53)</f>
        <v>254.44570563753314</v>
      </c>
      <c r="C54" s="2041">
        <f t="shared" si="32"/>
        <v>207.37543398705074</v>
      </c>
      <c r="D54" s="2041">
        <f t="shared" si="20"/>
        <v>207.37543398705074</v>
      </c>
      <c r="E54" s="2041">
        <f t="shared" ref="E54:F56" si="33">E53/(1+P53)</f>
        <v>352.81876655315932</v>
      </c>
      <c r="F54" s="2041">
        <f t="shared" si="33"/>
        <v>190.809968847352</v>
      </c>
      <c r="G54" s="3472">
        <v>2010</v>
      </c>
      <c r="H54" s="2062">
        <v>3</v>
      </c>
      <c r="I54" s="2062">
        <v>4.7300000000000004</v>
      </c>
      <c r="J54" s="2062">
        <v>3.9</v>
      </c>
      <c r="K54" s="2062">
        <v>5.03</v>
      </c>
      <c r="L54" s="2063">
        <v>4.21</v>
      </c>
      <c r="N54" s="2043">
        <f t="shared" si="22"/>
        <v>4.7300000000000002E-2</v>
      </c>
      <c r="O54" s="2028">
        <f t="shared" si="22"/>
        <v>3.9E-2</v>
      </c>
      <c r="P54" s="2028">
        <f t="shared" si="22"/>
        <v>5.0300000000000004E-2</v>
      </c>
      <c r="Q54" s="2028">
        <f t="shared" si="22"/>
        <v>4.2099999999999999E-2</v>
      </c>
      <c r="R54" s="2044"/>
      <c r="S54" s="2043"/>
      <c r="T54" s="2028"/>
      <c r="U54" s="2028"/>
      <c r="V54" s="2028"/>
    </row>
    <row r="55" spans="1:26">
      <c r="A55" s="2040" t="s">
        <v>479</v>
      </c>
      <c r="B55" s="2041">
        <f t="shared" si="32"/>
        <v>242.95398227588385</v>
      </c>
      <c r="C55" s="2041">
        <f t="shared" si="32"/>
        <v>199.59137053614126</v>
      </c>
      <c r="D55" s="2041">
        <f t="shared" si="20"/>
        <v>199.59137053614126</v>
      </c>
      <c r="E55" s="2041">
        <f t="shared" si="33"/>
        <v>335.92189522342125</v>
      </c>
      <c r="F55" s="2041">
        <f t="shared" si="33"/>
        <v>183.10139991109489</v>
      </c>
      <c r="G55" s="3472">
        <v>2010</v>
      </c>
      <c r="H55" s="2051">
        <v>2</v>
      </c>
      <c r="I55" s="2051">
        <v>4.6900000000000004</v>
      </c>
      <c r="J55" s="2051">
        <v>3.55</v>
      </c>
      <c r="K55" s="2051">
        <v>5.07</v>
      </c>
      <c r="L55" s="2052">
        <v>4.2300000000000004</v>
      </c>
      <c r="N55" s="2043">
        <f t="shared" si="22"/>
        <v>4.6900000000000004E-2</v>
      </c>
      <c r="O55" s="2028">
        <f t="shared" si="22"/>
        <v>3.5499999999999997E-2</v>
      </c>
      <c r="P55" s="2028">
        <f t="shared" si="22"/>
        <v>5.0700000000000002E-2</v>
      </c>
      <c r="Q55" s="2028">
        <f t="shared" si="22"/>
        <v>4.2300000000000004E-2</v>
      </c>
      <c r="R55" s="2044"/>
      <c r="S55" s="2043"/>
      <c r="T55" s="2028"/>
      <c r="U55" s="2028"/>
      <c r="V55" s="2028"/>
    </row>
    <row r="56" spans="1:26" ht="13.5" thickBot="1">
      <c r="A56" s="2040" t="s">
        <v>480</v>
      </c>
      <c r="B56" s="2041">
        <f t="shared" si="32"/>
        <v>232.06990378821649</v>
      </c>
      <c r="C56" s="2041">
        <f t="shared" si="32"/>
        <v>192.74878854286936</v>
      </c>
      <c r="D56" s="2041">
        <f t="shared" si="20"/>
        <v>192.74878854286936</v>
      </c>
      <c r="E56" s="2041">
        <f t="shared" si="33"/>
        <v>319.71247284992984</v>
      </c>
      <c r="F56" s="2041">
        <f t="shared" si="33"/>
        <v>175.67053622862409</v>
      </c>
      <c r="G56" s="3473">
        <v>2010</v>
      </c>
      <c r="H56" s="2042">
        <v>1</v>
      </c>
      <c r="I56" s="2042">
        <v>5.4</v>
      </c>
      <c r="J56" s="2042">
        <v>3.2</v>
      </c>
      <c r="K56" s="2042">
        <v>6.16</v>
      </c>
      <c r="L56" s="2046">
        <v>4.51</v>
      </c>
      <c r="N56" s="2043">
        <f t="shared" si="22"/>
        <v>5.4000000000000006E-2</v>
      </c>
      <c r="O56" s="2028">
        <f t="shared" si="22"/>
        <v>3.2000000000000001E-2</v>
      </c>
      <c r="P56" s="2028">
        <f t="shared" si="22"/>
        <v>6.1600000000000002E-2</v>
      </c>
      <c r="Q56" s="2028">
        <f t="shared" si="22"/>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0"/>
        <v>187</v>
      </c>
      <c r="E57" s="2049">
        <v>301</v>
      </c>
      <c r="F57" s="2050">
        <v>168</v>
      </c>
      <c r="G57" s="3471">
        <v>2009</v>
      </c>
      <c r="H57" s="2057">
        <v>4</v>
      </c>
      <c r="I57" s="2057">
        <v>2.2999999999999998</v>
      </c>
      <c r="J57" s="2057">
        <v>1.04</v>
      </c>
      <c r="K57" s="2057">
        <v>2.84</v>
      </c>
      <c r="L57" s="2058">
        <v>0.67</v>
      </c>
      <c r="N57" s="2059">
        <f t="shared" si="22"/>
        <v>2.3E-2</v>
      </c>
      <c r="O57" s="2060">
        <f t="shared" si="22"/>
        <v>1.04E-2</v>
      </c>
      <c r="P57" s="2060">
        <f t="shared" si="22"/>
        <v>2.8399999999999998E-2</v>
      </c>
      <c r="Q57" s="2060">
        <f t="shared" si="22"/>
        <v>6.7000000000000002E-3</v>
      </c>
      <c r="R57" s="2044"/>
      <c r="S57" s="2053"/>
      <c r="T57" s="2054"/>
      <c r="U57" s="2054"/>
      <c r="V57" s="2054"/>
      <c r="X57" s="2054"/>
      <c r="Y57" s="2054"/>
      <c r="Z57" s="2054"/>
    </row>
    <row r="58" spans="1:26">
      <c r="A58" s="2040" t="s">
        <v>482</v>
      </c>
      <c r="B58" s="2041">
        <f t="shared" ref="B58:C60" si="34">B57/(1+N57)</f>
        <v>215.05376344086022</v>
      </c>
      <c r="C58" s="2041">
        <f t="shared" si="34"/>
        <v>185.0752177355503</v>
      </c>
      <c r="D58" s="2041">
        <f t="shared" si="20"/>
        <v>185.0752177355503</v>
      </c>
      <c r="E58" s="2041">
        <f t="shared" ref="E58:F60" si="35">E57/(1+P57)</f>
        <v>292.68767016725008</v>
      </c>
      <c r="F58" s="2041">
        <f t="shared" si="35"/>
        <v>166.88189132810174</v>
      </c>
      <c r="G58" s="3472">
        <v>2009</v>
      </c>
      <c r="H58" s="2062">
        <v>3</v>
      </c>
      <c r="I58" s="2062">
        <v>2.1</v>
      </c>
      <c r="J58" s="2062">
        <v>1.86</v>
      </c>
      <c r="K58" s="2062">
        <v>2.29</v>
      </c>
      <c r="L58" s="2063">
        <v>0.85</v>
      </c>
      <c r="N58" s="2043">
        <f t="shared" si="22"/>
        <v>2.1000000000000001E-2</v>
      </c>
      <c r="O58" s="2028">
        <f t="shared" si="22"/>
        <v>1.8600000000000002E-2</v>
      </c>
      <c r="P58" s="2028">
        <f t="shared" si="22"/>
        <v>2.29E-2</v>
      </c>
      <c r="Q58" s="2028">
        <f t="shared" si="22"/>
        <v>8.5000000000000006E-3</v>
      </c>
      <c r="R58" s="2044"/>
      <c r="S58" s="2043"/>
      <c r="T58" s="2028"/>
      <c r="U58" s="2028"/>
      <c r="V58" s="2028"/>
    </row>
    <row r="59" spans="1:26">
      <c r="A59" s="2040" t="s">
        <v>483</v>
      </c>
      <c r="B59" s="2041">
        <f t="shared" si="34"/>
        <v>210.630522469011</v>
      </c>
      <c r="C59" s="2041">
        <f t="shared" si="34"/>
        <v>181.69567812247232</v>
      </c>
      <c r="D59" s="2041">
        <f t="shared" si="20"/>
        <v>181.69567812247232</v>
      </c>
      <c r="E59" s="2041">
        <f t="shared" si="35"/>
        <v>286.13517466736738</v>
      </c>
      <c r="F59" s="2041">
        <f t="shared" si="35"/>
        <v>165.47535084591149</v>
      </c>
      <c r="G59" s="3472">
        <v>2009</v>
      </c>
      <c r="H59" s="2051">
        <v>2</v>
      </c>
      <c r="I59" s="2051">
        <v>0.86</v>
      </c>
      <c r="J59" s="2051">
        <v>-1.1299999999999999</v>
      </c>
      <c r="K59" s="2051">
        <v>1.79</v>
      </c>
      <c r="L59" s="2052">
        <v>-2.0699999999999998</v>
      </c>
      <c r="N59" s="2043">
        <f t="shared" si="22"/>
        <v>8.6E-3</v>
      </c>
      <c r="O59" s="2028">
        <f t="shared" si="22"/>
        <v>-1.1299999999999999E-2</v>
      </c>
      <c r="P59" s="2028">
        <f t="shared" si="22"/>
        <v>1.7899999999999999E-2</v>
      </c>
      <c r="Q59" s="2028">
        <f t="shared" si="22"/>
        <v>-2.07E-2</v>
      </c>
      <c r="R59" s="2044"/>
      <c r="S59" s="2043"/>
      <c r="T59" s="2028"/>
      <c r="U59" s="2028"/>
      <c r="V59" s="2028"/>
    </row>
    <row r="60" spans="1:26">
      <c r="A60" s="2040" t="s">
        <v>484</v>
      </c>
      <c r="B60" s="2041">
        <f t="shared" si="34"/>
        <v>208.83454537875372</v>
      </c>
      <c r="C60" s="2041">
        <f t="shared" si="34"/>
        <v>183.77230517090351</v>
      </c>
      <c r="D60" s="2041">
        <f t="shared" si="20"/>
        <v>183.77230517090351</v>
      </c>
      <c r="E60" s="2041">
        <f t="shared" si="35"/>
        <v>281.10342338870947</v>
      </c>
      <c r="F60" s="2041">
        <f t="shared" si="35"/>
        <v>168.97309388942256</v>
      </c>
      <c r="G60" s="3473">
        <v>2009</v>
      </c>
      <c r="H60" s="2042">
        <v>1</v>
      </c>
      <c r="I60" s="2042">
        <v>-2.64</v>
      </c>
      <c r="J60" s="2042">
        <v>-2.5299999999999998</v>
      </c>
      <c r="K60" s="2042">
        <v>-3.02</v>
      </c>
      <c r="L60" s="2046">
        <v>1.52</v>
      </c>
      <c r="N60" s="2055">
        <f t="shared" si="22"/>
        <v>-2.64E-2</v>
      </c>
      <c r="O60" s="2056">
        <f t="shared" si="22"/>
        <v>-2.53E-2</v>
      </c>
      <c r="P60" s="2056">
        <f t="shared" si="22"/>
        <v>-3.0200000000000001E-2</v>
      </c>
      <c r="Q60" s="2056">
        <f t="shared" si="22"/>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0"/>
        <v>188</v>
      </c>
      <c r="E61" s="2083">
        <v>289</v>
      </c>
      <c r="F61" s="2084">
        <v>166</v>
      </c>
      <c r="G61" s="3471">
        <v>2008</v>
      </c>
      <c r="H61" s="2057">
        <v>4</v>
      </c>
      <c r="I61" s="2057">
        <v>1.73</v>
      </c>
      <c r="J61" s="2057">
        <v>0.03</v>
      </c>
      <c r="K61" s="2057">
        <v>2.59</v>
      </c>
      <c r="L61" s="2058">
        <v>-1.66</v>
      </c>
      <c r="N61" s="2043">
        <f t="shared" si="22"/>
        <v>1.7299999999999999E-2</v>
      </c>
      <c r="O61" s="2028">
        <f t="shared" si="22"/>
        <v>2.9999999999999997E-4</v>
      </c>
      <c r="P61" s="2028">
        <f t="shared" si="22"/>
        <v>2.5899999999999999E-2</v>
      </c>
      <c r="Q61" s="2028">
        <f t="shared" si="22"/>
        <v>-1.66E-2</v>
      </c>
      <c r="R61" s="2044"/>
      <c r="S61" s="2053"/>
      <c r="T61" s="2054"/>
      <c r="U61" s="2054"/>
      <c r="V61" s="2054"/>
      <c r="X61" s="2054"/>
      <c r="Y61" s="2054"/>
      <c r="Z61" s="2054"/>
    </row>
    <row r="62" spans="1:26">
      <c r="A62" s="2040" t="s">
        <v>486</v>
      </c>
      <c r="B62" s="2041">
        <f t="shared" ref="B62:C64" si="36">B61/(1+N61)</f>
        <v>210.36075887152265</v>
      </c>
      <c r="C62" s="2041">
        <f t="shared" si="36"/>
        <v>187.94361691492554</v>
      </c>
      <c r="D62" s="2041">
        <f t="shared" si="20"/>
        <v>187.94361691492554</v>
      </c>
      <c r="E62" s="2041">
        <f t="shared" ref="E62:F64" si="37">E61/(1+P61)</f>
        <v>281.70386977288234</v>
      </c>
      <c r="F62" s="2041">
        <f t="shared" si="37"/>
        <v>168.80211511083994</v>
      </c>
      <c r="G62" s="3472">
        <v>2008</v>
      </c>
      <c r="H62" s="2062">
        <v>3</v>
      </c>
      <c r="I62" s="2062">
        <v>1.96</v>
      </c>
      <c r="J62" s="2062">
        <v>2.36</v>
      </c>
      <c r="K62" s="2062">
        <v>1.82</v>
      </c>
      <c r="L62" s="2063">
        <v>2.2200000000000002</v>
      </c>
      <c r="N62" s="2043">
        <f t="shared" si="22"/>
        <v>1.9599999999999999E-2</v>
      </c>
      <c r="O62" s="2028">
        <f t="shared" si="22"/>
        <v>2.3599999999999999E-2</v>
      </c>
      <c r="P62" s="2028">
        <f t="shared" si="22"/>
        <v>1.8200000000000001E-2</v>
      </c>
      <c r="Q62" s="2028">
        <f t="shared" si="22"/>
        <v>2.2200000000000001E-2</v>
      </c>
      <c r="R62" s="2044"/>
      <c r="S62" s="2043"/>
      <c r="T62" s="2028"/>
      <c r="U62" s="2028"/>
      <c r="V62" s="2028"/>
    </row>
    <row r="63" spans="1:26">
      <c r="A63" s="2040" t="s">
        <v>487</v>
      </c>
      <c r="B63" s="2041">
        <f t="shared" si="36"/>
        <v>206.31694671589116</v>
      </c>
      <c r="C63" s="2041">
        <f t="shared" si="36"/>
        <v>183.61041121036101</v>
      </c>
      <c r="D63" s="2041">
        <f t="shared" si="20"/>
        <v>183.61041121036101</v>
      </c>
      <c r="E63" s="2041">
        <f t="shared" si="37"/>
        <v>276.66850301795557</v>
      </c>
      <c r="F63" s="2041">
        <f t="shared" si="37"/>
        <v>165.1360938278614</v>
      </c>
      <c r="G63" s="3472">
        <v>2008</v>
      </c>
      <c r="H63" s="2051">
        <v>2</v>
      </c>
      <c r="I63" s="2051">
        <v>4.93</v>
      </c>
      <c r="J63" s="2051">
        <v>7.38</v>
      </c>
      <c r="K63" s="2051">
        <v>3.98</v>
      </c>
      <c r="L63" s="2052">
        <v>6.86</v>
      </c>
      <c r="N63" s="2043">
        <f t="shared" si="22"/>
        <v>4.9299999999999997E-2</v>
      </c>
      <c r="O63" s="2028">
        <f t="shared" si="22"/>
        <v>7.3800000000000004E-2</v>
      </c>
      <c r="P63" s="2028">
        <f t="shared" si="22"/>
        <v>3.9800000000000002E-2</v>
      </c>
      <c r="Q63" s="2028">
        <f t="shared" si="22"/>
        <v>6.8600000000000008E-2</v>
      </c>
      <c r="R63" s="2044"/>
      <c r="S63" s="2043"/>
      <c r="T63" s="2028"/>
      <c r="U63" s="2028"/>
      <c r="V63" s="2028"/>
    </row>
    <row r="64" spans="1:26" s="2089" customFormat="1" ht="13.5" thickBot="1">
      <c r="A64" s="2040" t="s">
        <v>488</v>
      </c>
      <c r="B64" s="2086">
        <f t="shared" si="36"/>
        <v>196.62341248059772</v>
      </c>
      <c r="C64" s="2086">
        <f t="shared" si="36"/>
        <v>170.99125648199012</v>
      </c>
      <c r="D64" s="2086">
        <f t="shared" si="20"/>
        <v>170.99125648199012</v>
      </c>
      <c r="E64" s="2086">
        <f t="shared" si="37"/>
        <v>266.07857570490052</v>
      </c>
      <c r="F64" s="2086">
        <f t="shared" si="37"/>
        <v>154.53499328828505</v>
      </c>
      <c r="G64" s="3473">
        <v>2008</v>
      </c>
      <c r="H64" s="2087">
        <v>1</v>
      </c>
      <c r="I64" s="2087">
        <v>4.1399999999999997</v>
      </c>
      <c r="J64" s="2087">
        <v>3.45</v>
      </c>
      <c r="K64" s="2087">
        <v>4.95</v>
      </c>
      <c r="L64" s="2088">
        <v>4.82</v>
      </c>
      <c r="N64" s="2090">
        <f t="shared" si="22"/>
        <v>4.1399999999999999E-2</v>
      </c>
      <c r="O64" s="2091">
        <f t="shared" si="22"/>
        <v>3.4500000000000003E-2</v>
      </c>
      <c r="P64" s="2091">
        <f t="shared" si="22"/>
        <v>4.9500000000000002E-2</v>
      </c>
      <c r="Q64" s="2091">
        <f t="shared" si="22"/>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0"/>
        <v>165</v>
      </c>
      <c r="E65" s="2049">
        <v>254</v>
      </c>
      <c r="F65" s="2050">
        <v>148</v>
      </c>
      <c r="G65" s="3471">
        <v>2007</v>
      </c>
      <c r="H65" s="2093">
        <v>4</v>
      </c>
      <c r="I65" s="2093">
        <v>5.51</v>
      </c>
      <c r="J65" s="2093">
        <v>4.8899999999999997</v>
      </c>
      <c r="K65" s="2093">
        <v>6.43</v>
      </c>
      <c r="L65" s="2094">
        <v>5.36</v>
      </c>
      <c r="N65" s="2095">
        <f t="shared" ref="N65:O68" si="38">B65/B66-1</f>
        <v>4.1339718365245526E-2</v>
      </c>
      <c r="O65" s="2096">
        <f t="shared" si="38"/>
        <v>4.0324492593776018E-2</v>
      </c>
      <c r="P65" s="2096">
        <f t="shared" ref="P65:Q68" si="39">E65/E66-1</f>
        <v>6.1625555347990968E-2</v>
      </c>
      <c r="Q65" s="2096">
        <f t="shared" si="39"/>
        <v>4.6757569250590603E-2</v>
      </c>
      <c r="R65" s="2044"/>
      <c r="S65" s="2053"/>
      <c r="T65" s="2054"/>
      <c r="U65" s="2054"/>
      <c r="V65" s="2054"/>
      <c r="X65" s="2054"/>
      <c r="Y65" s="2054"/>
      <c r="Z65" s="2054"/>
    </row>
    <row r="66" spans="1:26">
      <c r="A66" s="2040" t="s">
        <v>490</v>
      </c>
      <c r="B66" s="2041">
        <f t="shared" ref="B66:C68" si="40">B67+(B$65-B$69)*I66/SUM(I$65:I$68)</f>
        <v>180.5366651097618</v>
      </c>
      <c r="C66" s="2041">
        <f t="shared" si="40"/>
        <v>158.60435967302453</v>
      </c>
      <c r="D66" s="2041">
        <f t="shared" si="20"/>
        <v>158.60435967302453</v>
      </c>
      <c r="E66" s="2041">
        <f t="shared" ref="E66:F68" si="41">E67+(E$65-E$69)*K66/SUM(K$65:K$68)</f>
        <v>239.25573260785075</v>
      </c>
      <c r="F66" s="2041">
        <f t="shared" si="41"/>
        <v>141.38899430740037</v>
      </c>
      <c r="G66" s="3472">
        <v>2007</v>
      </c>
      <c r="H66" s="2062">
        <v>3</v>
      </c>
      <c r="I66" s="2062">
        <v>8.65</v>
      </c>
      <c r="J66" s="2062">
        <v>8.06</v>
      </c>
      <c r="K66" s="2062">
        <v>9.94</v>
      </c>
      <c r="L66" s="2063">
        <v>5.8</v>
      </c>
      <c r="N66" s="2095">
        <f t="shared" si="38"/>
        <v>6.940217571740015E-2</v>
      </c>
      <c r="O66" s="2096">
        <f t="shared" si="38"/>
        <v>7.1197482471153428E-2</v>
      </c>
      <c r="P66" s="2096">
        <f t="shared" si="39"/>
        <v>0.10529679922579582</v>
      </c>
      <c r="Q66" s="2096">
        <f t="shared" si="39"/>
        <v>5.3292245059512133E-2</v>
      </c>
      <c r="R66" s="2044"/>
      <c r="S66" s="2043"/>
      <c r="T66" s="2028"/>
      <c r="U66" s="2028"/>
      <c r="V66" s="2028"/>
      <c r="X66" s="2097"/>
      <c r="Y66" s="2097"/>
      <c r="Z66" s="2097"/>
    </row>
    <row r="67" spans="1:26">
      <c r="A67" s="2040" t="s">
        <v>491</v>
      </c>
      <c r="B67" s="2041">
        <f t="shared" si="40"/>
        <v>168.82017748715555</v>
      </c>
      <c r="C67" s="2041">
        <f t="shared" si="40"/>
        <v>148.06267029972753</v>
      </c>
      <c r="D67" s="2041">
        <f t="shared" si="20"/>
        <v>148.06267029972753</v>
      </c>
      <c r="E67" s="2041">
        <f t="shared" si="41"/>
        <v>216.46288379323747</v>
      </c>
      <c r="F67" s="2041">
        <f t="shared" si="41"/>
        <v>134.23529411764704</v>
      </c>
      <c r="G67" s="3472">
        <v>2007</v>
      </c>
      <c r="H67" s="2051">
        <v>2</v>
      </c>
      <c r="I67" s="2051">
        <v>3.67</v>
      </c>
      <c r="J67" s="2051">
        <v>2.3199999999999998</v>
      </c>
      <c r="K67" s="2051">
        <v>5.0199999999999996</v>
      </c>
      <c r="L67" s="2052">
        <v>6.71</v>
      </c>
      <c r="N67" s="2095">
        <f t="shared" si="38"/>
        <v>3.0339138143848032E-2</v>
      </c>
      <c r="O67" s="2096">
        <f t="shared" si="38"/>
        <v>2.0922341588790472E-2</v>
      </c>
      <c r="P67" s="2096">
        <f t="shared" si="39"/>
        <v>5.6164796592717003E-2</v>
      </c>
      <c r="Q67" s="2096">
        <f t="shared" si="39"/>
        <v>6.5704536723887319E-2</v>
      </c>
      <c r="R67" s="2044"/>
      <c r="S67" s="2043"/>
      <c r="T67" s="2028"/>
      <c r="U67" s="2028"/>
      <c r="V67" s="2028"/>
      <c r="X67" s="2097"/>
      <c r="Y67" s="2097"/>
      <c r="Z67" s="2097"/>
    </row>
    <row r="68" spans="1:26">
      <c r="A68" s="2040" t="s">
        <v>492</v>
      </c>
      <c r="B68" s="2041">
        <f t="shared" si="40"/>
        <v>163.84913591779542</v>
      </c>
      <c r="C68" s="2041">
        <f t="shared" si="40"/>
        <v>145.0283378746594</v>
      </c>
      <c r="D68" s="2041">
        <f t="shared" si="20"/>
        <v>145.0283378746594</v>
      </c>
      <c r="E68" s="2041">
        <f t="shared" si="41"/>
        <v>204.95180722891567</v>
      </c>
      <c r="F68" s="2041">
        <f t="shared" si="41"/>
        <v>125.95920303605313</v>
      </c>
      <c r="G68" s="3473">
        <v>2007</v>
      </c>
      <c r="H68" s="2042">
        <v>1</v>
      </c>
      <c r="I68" s="2042">
        <v>3.58</v>
      </c>
      <c r="J68" s="2042">
        <v>3.08</v>
      </c>
      <c r="K68" s="2042">
        <v>4.34</v>
      </c>
      <c r="L68" s="2046">
        <v>3.21</v>
      </c>
      <c r="N68" s="2098">
        <f t="shared" si="38"/>
        <v>3.0497710174814063E-2</v>
      </c>
      <c r="O68" s="2099">
        <f t="shared" si="38"/>
        <v>2.8569772160704998E-2</v>
      </c>
      <c r="P68" s="2099">
        <f t="shared" si="39"/>
        <v>5.1034908866234296E-2</v>
      </c>
      <c r="Q68" s="2099">
        <f t="shared" si="39"/>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0"/>
        <v>141</v>
      </c>
      <c r="E69" s="2064">
        <v>195</v>
      </c>
      <c r="F69" s="2065">
        <v>122</v>
      </c>
      <c r="G69" s="3471">
        <v>2006</v>
      </c>
      <c r="H69" s="2057">
        <v>4</v>
      </c>
      <c r="I69" s="2057">
        <v>3.79</v>
      </c>
      <c r="J69" s="2057">
        <v>2.21</v>
      </c>
      <c r="K69" s="2057">
        <v>5.65</v>
      </c>
      <c r="L69" s="2058">
        <v>5.41</v>
      </c>
      <c r="N69" s="2095">
        <f t="shared" ref="N69:O72" si="42">I69/SUM(I$69:I$72)*(B$69/B$73-1)</f>
        <v>7.245466462748526E-2</v>
      </c>
      <c r="O69" s="2096">
        <f t="shared" si="42"/>
        <v>2.3237230038062766E-2</v>
      </c>
      <c r="P69" s="2096">
        <f t="shared" ref="P69:Q72" si="43">K69/SUM(K$69:K$72)*(E$69/E$73-1)</f>
        <v>0.16146893866323722</v>
      </c>
      <c r="Q69" s="2096">
        <f t="shared" si="43"/>
        <v>5.0755230321793784E-2</v>
      </c>
      <c r="R69" s="2044"/>
      <c r="S69" s="2053"/>
      <c r="T69" s="2054"/>
      <c r="U69" s="2054"/>
      <c r="V69" s="2054"/>
      <c r="X69" s="2097"/>
      <c r="Y69" s="2097"/>
      <c r="Z69" s="2097"/>
    </row>
    <row r="70" spans="1:26">
      <c r="A70" s="2040" t="s">
        <v>494</v>
      </c>
      <c r="B70" s="2041">
        <f t="shared" ref="B70:C72" si="44">B71+(B$69-B$73)*I70/SUM(I$69:I$72)</f>
        <v>149.00125628140702</v>
      </c>
      <c r="C70" s="2041">
        <f t="shared" si="44"/>
        <v>137.95592286501378</v>
      </c>
      <c r="D70" s="2041">
        <f t="shared" si="20"/>
        <v>137.95592286501378</v>
      </c>
      <c r="E70" s="2041">
        <f t="shared" ref="E70:F72" si="45">E71+(E$69-E$73)*K70/SUM(K$69:K$72)</f>
        <v>169.97231450719823</v>
      </c>
      <c r="F70" s="2041">
        <f t="shared" si="45"/>
        <v>116.21390374331551</v>
      </c>
      <c r="G70" s="3472">
        <v>2006</v>
      </c>
      <c r="H70" s="2062">
        <v>3</v>
      </c>
      <c r="I70" s="2062">
        <v>0.92</v>
      </c>
      <c r="J70" s="2062">
        <v>1.08</v>
      </c>
      <c r="K70" s="2062">
        <v>0.73</v>
      </c>
      <c r="L70" s="2063">
        <v>1.08</v>
      </c>
      <c r="N70" s="2095">
        <f t="shared" si="42"/>
        <v>1.7587939698492462E-2</v>
      </c>
      <c r="O70" s="2096">
        <f t="shared" si="42"/>
        <v>1.1355750425840628E-2</v>
      </c>
      <c r="P70" s="2096">
        <f t="shared" si="43"/>
        <v>2.0862358446754544E-2</v>
      </c>
      <c r="Q70" s="2096">
        <f t="shared" si="43"/>
        <v>1.0132282578103011E-2</v>
      </c>
      <c r="R70" s="2044"/>
      <c r="S70" s="2043"/>
      <c r="T70" s="2028"/>
      <c r="U70" s="2028"/>
      <c r="V70" s="2028"/>
      <c r="X70" s="2097"/>
      <c r="Y70" s="2097"/>
      <c r="Z70" s="2097"/>
    </row>
    <row r="71" spans="1:26">
      <c r="A71" s="2040" t="s">
        <v>495</v>
      </c>
      <c r="B71" s="2041">
        <f t="shared" si="44"/>
        <v>146.57412060301507</v>
      </c>
      <c r="C71" s="2041">
        <f t="shared" si="44"/>
        <v>136.46831955922866</v>
      </c>
      <c r="D71" s="2041">
        <f t="shared" si="20"/>
        <v>136.46831955922866</v>
      </c>
      <c r="E71" s="2041">
        <f t="shared" si="45"/>
        <v>166.73864894795128</v>
      </c>
      <c r="F71" s="2041">
        <f t="shared" si="45"/>
        <v>115.05882352941177</v>
      </c>
      <c r="G71" s="3472">
        <v>2006</v>
      </c>
      <c r="H71" s="2051">
        <v>2</v>
      </c>
      <c r="I71" s="2051">
        <v>0.96</v>
      </c>
      <c r="J71" s="2051">
        <v>0.25</v>
      </c>
      <c r="K71" s="2051">
        <v>1.9</v>
      </c>
      <c r="L71" s="2052">
        <v>0.95</v>
      </c>
      <c r="N71" s="2095">
        <f t="shared" si="42"/>
        <v>1.8352632728861701E-2</v>
      </c>
      <c r="O71" s="2096">
        <f t="shared" si="42"/>
        <v>2.6286459319075526E-3</v>
      </c>
      <c r="P71" s="2096">
        <f t="shared" si="43"/>
        <v>5.4299289107991269E-2</v>
      </c>
      <c r="Q71" s="2096">
        <f t="shared" si="43"/>
        <v>8.9126559714794995E-3</v>
      </c>
      <c r="R71" s="2044"/>
      <c r="S71" s="2043"/>
      <c r="T71" s="2028"/>
      <c r="U71" s="2028"/>
      <c r="V71" s="2028"/>
      <c r="X71" s="2097"/>
      <c r="Y71" s="2097"/>
      <c r="Z71" s="2097"/>
    </row>
    <row r="72" spans="1:26">
      <c r="A72" s="2040" t="s">
        <v>496</v>
      </c>
      <c r="B72" s="2041">
        <f t="shared" si="44"/>
        <v>144.04145728643215</v>
      </c>
      <c r="C72" s="2041">
        <f t="shared" si="44"/>
        <v>136.12396694214877</v>
      </c>
      <c r="D72" s="2041">
        <f t="shared" si="20"/>
        <v>136.12396694214877</v>
      </c>
      <c r="E72" s="2041">
        <f t="shared" si="45"/>
        <v>158.32225913621264</v>
      </c>
      <c r="F72" s="2041">
        <f t="shared" si="45"/>
        <v>114.04278074866311</v>
      </c>
      <c r="G72" s="3473">
        <v>2006</v>
      </c>
      <c r="H72" s="2042">
        <v>1</v>
      </c>
      <c r="I72" s="2042">
        <v>2.29</v>
      </c>
      <c r="J72" s="2042">
        <v>3.72</v>
      </c>
      <c r="K72" s="2042">
        <v>0.75</v>
      </c>
      <c r="L72" s="2046">
        <v>0.04</v>
      </c>
      <c r="N72" s="2098">
        <f t="shared" si="42"/>
        <v>4.3778675988638847E-2</v>
      </c>
      <c r="O72" s="2099">
        <f t="shared" si="42"/>
        <v>3.9114251466784385E-2</v>
      </c>
      <c r="P72" s="2099">
        <f t="shared" si="43"/>
        <v>2.1433929911049188E-2</v>
      </c>
      <c r="Q72" s="2099">
        <f t="shared" si="43"/>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0"/>
        <v>131</v>
      </c>
      <c r="E73" s="2064">
        <v>155</v>
      </c>
      <c r="F73" s="2065">
        <v>114</v>
      </c>
      <c r="G73" s="3471">
        <v>2005</v>
      </c>
      <c r="H73" s="2057">
        <v>4</v>
      </c>
      <c r="I73" s="2057">
        <v>3.29</v>
      </c>
      <c r="J73" s="2057">
        <v>1.44</v>
      </c>
      <c r="K73" s="2057">
        <v>0.66</v>
      </c>
      <c r="L73" s="2058">
        <v>7.78</v>
      </c>
      <c r="N73" s="2095">
        <f t="shared" ref="N73:O76" si="46">I73/SUM(I$73:I$76)*(B$73/B$77-1)</f>
        <v>9.9404603216919935E-2</v>
      </c>
      <c r="O73" s="2096">
        <f t="shared" si="46"/>
        <v>4.7636550760861554E-2</v>
      </c>
      <c r="P73" s="2096">
        <f t="shared" ref="P73:Q76" si="47">K73/SUM(K$73:K$76)*(E$73/E$77-1)</f>
        <v>8.3756345177664976E-2</v>
      </c>
      <c r="Q73" s="2096">
        <f t="shared" si="47"/>
        <v>5.2148766661559584E-2</v>
      </c>
      <c r="R73" s="2044"/>
      <c r="S73" s="2053"/>
      <c r="T73" s="2054"/>
      <c r="U73" s="2054"/>
      <c r="V73" s="2054"/>
      <c r="X73" s="2097"/>
      <c r="Y73" s="2097"/>
      <c r="Z73" s="2097"/>
    </row>
    <row r="74" spans="1:26">
      <c r="A74" s="2040" t="s">
        <v>498</v>
      </c>
      <c r="B74" s="2041">
        <f t="shared" ref="B74:C76" si="48">B75+(B$73-B$77)*I74/SUM(I$73:I$76)</f>
        <v>125.9720430107527</v>
      </c>
      <c r="C74" s="2041">
        <f t="shared" si="48"/>
        <v>125.1883408071749</v>
      </c>
      <c r="D74" s="2041">
        <f t="shared" si="20"/>
        <v>125.1883408071749</v>
      </c>
      <c r="E74" s="2041">
        <f t="shared" ref="E74:F76" si="49">E75+(E$73-E$77)*K74/SUM(K$73:K$76)</f>
        <v>144.61421319796952</v>
      </c>
      <c r="F74" s="2041">
        <f t="shared" si="49"/>
        <v>108.42008196721311</v>
      </c>
      <c r="G74" s="3472">
        <v>2005</v>
      </c>
      <c r="H74" s="2062">
        <v>3</v>
      </c>
      <c r="I74" s="2062">
        <v>0.46</v>
      </c>
      <c r="J74" s="2062">
        <v>0.32</v>
      </c>
      <c r="K74" s="2062">
        <v>0.42</v>
      </c>
      <c r="L74" s="2063">
        <v>0.64</v>
      </c>
      <c r="N74" s="2095">
        <f t="shared" si="46"/>
        <v>1.3898515951301874E-2</v>
      </c>
      <c r="O74" s="2096">
        <f t="shared" si="46"/>
        <v>1.0585900169080346E-2</v>
      </c>
      <c r="P74" s="2096">
        <f t="shared" si="47"/>
        <v>5.3299492385786795E-2</v>
      </c>
      <c r="Q74" s="2096">
        <f t="shared" si="47"/>
        <v>4.2898728359123568E-3</v>
      </c>
      <c r="R74" s="2044"/>
      <c r="S74" s="2043"/>
      <c r="T74" s="2028"/>
      <c r="U74" s="2028"/>
      <c r="V74" s="2028"/>
      <c r="X74" s="2097"/>
      <c r="Y74" s="2097"/>
      <c r="Z74" s="2097"/>
    </row>
    <row r="75" spans="1:26">
      <c r="A75" s="2040" t="s">
        <v>499</v>
      </c>
      <c r="B75" s="2041">
        <f t="shared" si="48"/>
        <v>124.29032258064517</v>
      </c>
      <c r="C75" s="2041">
        <f t="shared" si="48"/>
        <v>123.8968609865471</v>
      </c>
      <c r="D75" s="2041">
        <f t="shared" si="20"/>
        <v>123.8968609865471</v>
      </c>
      <c r="E75" s="2041">
        <f t="shared" si="49"/>
        <v>138.00507614213197</v>
      </c>
      <c r="F75" s="2041">
        <f t="shared" si="49"/>
        <v>107.96106557377048</v>
      </c>
      <c r="G75" s="3472">
        <v>2005</v>
      </c>
      <c r="H75" s="2051">
        <v>2</v>
      </c>
      <c r="I75" s="2051">
        <v>0.47</v>
      </c>
      <c r="J75" s="2051">
        <v>0.1</v>
      </c>
      <c r="K75" s="2051">
        <v>0.52</v>
      </c>
      <c r="L75" s="2052">
        <v>0.79</v>
      </c>
      <c r="N75" s="2095">
        <f t="shared" si="46"/>
        <v>1.420065760241713E-2</v>
      </c>
      <c r="O75" s="2096">
        <f t="shared" si="46"/>
        <v>3.3080938028376083E-3</v>
      </c>
      <c r="P75" s="2096">
        <f t="shared" si="47"/>
        <v>6.598984771573603E-2</v>
      </c>
      <c r="Q75" s="2096">
        <f t="shared" si="47"/>
        <v>5.2953117818293153E-3</v>
      </c>
      <c r="R75" s="2044"/>
      <c r="S75" s="2043"/>
      <c r="T75" s="2028"/>
      <c r="U75" s="2028"/>
      <c r="V75" s="2028"/>
      <c r="X75" s="2097"/>
      <c r="Y75" s="2097"/>
      <c r="Z75" s="2097"/>
    </row>
    <row r="76" spans="1:26">
      <c r="A76" s="2040" t="s">
        <v>500</v>
      </c>
      <c r="B76" s="2041">
        <f t="shared" si="48"/>
        <v>122.57204301075269</v>
      </c>
      <c r="C76" s="2041">
        <f t="shared" si="48"/>
        <v>123.4932735426009</v>
      </c>
      <c r="D76" s="2041">
        <f t="shared" si="20"/>
        <v>123.4932735426009</v>
      </c>
      <c r="E76" s="2041">
        <f t="shared" si="49"/>
        <v>129.82233502538071</v>
      </c>
      <c r="F76" s="2041">
        <f t="shared" si="49"/>
        <v>107.39446721311475</v>
      </c>
      <c r="G76" s="3473">
        <v>2005</v>
      </c>
      <c r="H76" s="2042">
        <v>1</v>
      </c>
      <c r="I76" s="2042">
        <v>0.43</v>
      </c>
      <c r="J76" s="2042">
        <v>0.37</v>
      </c>
      <c r="K76" s="2042">
        <v>0.37</v>
      </c>
      <c r="L76" s="2046">
        <v>0.55000000000000004</v>
      </c>
      <c r="N76" s="2098">
        <f t="shared" si="46"/>
        <v>1.2992090997956099E-2</v>
      </c>
      <c r="O76" s="2099">
        <f t="shared" si="46"/>
        <v>1.2239947070499151E-2</v>
      </c>
      <c r="P76" s="2099">
        <f t="shared" si="47"/>
        <v>4.6954314720812178E-2</v>
      </c>
      <c r="Q76" s="2099">
        <f t="shared" si="47"/>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0"/>
        <v>122</v>
      </c>
      <c r="E77" s="2083">
        <v>124</v>
      </c>
      <c r="F77" s="2084">
        <v>107</v>
      </c>
      <c r="G77" s="3471">
        <v>2004</v>
      </c>
      <c r="H77" s="2057">
        <v>4</v>
      </c>
      <c r="I77" s="2057">
        <v>0.33</v>
      </c>
      <c r="J77" s="2057">
        <v>0.5</v>
      </c>
      <c r="K77" s="2057">
        <v>0.5</v>
      </c>
      <c r="L77" s="2058">
        <v>0</v>
      </c>
      <c r="N77" s="2095">
        <f t="shared" ref="N77:O80" si="50">I77/SUM(I$77:I$80)*(B$77/B$81-1)</f>
        <v>1.3391770148526898E-2</v>
      </c>
      <c r="O77" s="2096">
        <f t="shared" si="50"/>
        <v>1.063264221158958E-2</v>
      </c>
      <c r="P77" s="2096">
        <f t="shared" ref="P77:Q80" si="51">K77/SUM(K$77:K$80)*(E$77/E$81-1)</f>
        <v>2.2244466688911134E-2</v>
      </c>
      <c r="Q77" s="2096">
        <f t="shared" si="51"/>
        <v>0</v>
      </c>
      <c r="R77" s="2044"/>
      <c r="S77" s="2053"/>
      <c r="T77" s="2054"/>
      <c r="U77" s="2054"/>
      <c r="V77" s="2054"/>
      <c r="X77" s="2097"/>
      <c r="Y77" s="2097"/>
      <c r="Z77" s="2097"/>
    </row>
    <row r="78" spans="1:26">
      <c r="A78" s="2040" t="s">
        <v>502</v>
      </c>
      <c r="B78" s="2041">
        <f t="shared" ref="B78:C80" si="52">B79+(B$77-B$81)*I78/SUM(I$77:I$80)</f>
        <v>119.51351351351352</v>
      </c>
      <c r="C78" s="2041">
        <f t="shared" si="52"/>
        <v>120.7878787878788</v>
      </c>
      <c r="D78" s="2041">
        <f t="shared" si="20"/>
        <v>120.7878787878788</v>
      </c>
      <c r="E78" s="2041">
        <f t="shared" ref="E78:F80" si="53">E79+(E$77-E$81)*K78/SUM(K$77:K$80)</f>
        <v>121.5975975975976</v>
      </c>
      <c r="F78" s="2041">
        <f t="shared" si="53"/>
        <v>107</v>
      </c>
      <c r="G78" s="3472">
        <v>2004</v>
      </c>
      <c r="H78" s="2062">
        <v>3</v>
      </c>
      <c r="I78" s="2062">
        <v>0.56000000000000005</v>
      </c>
      <c r="J78" s="2062">
        <v>0.8</v>
      </c>
      <c r="K78" s="2062">
        <v>0.83</v>
      </c>
      <c r="L78" s="2063">
        <v>0.06</v>
      </c>
      <c r="N78" s="2095">
        <f t="shared" si="50"/>
        <v>2.2725428130833527E-2</v>
      </c>
      <c r="O78" s="2096">
        <f t="shared" si="50"/>
        <v>1.7012227538543329E-2</v>
      </c>
      <c r="P78" s="2096">
        <f t="shared" si="51"/>
        <v>3.6925814703592477E-2</v>
      </c>
      <c r="Q78" s="2096">
        <f t="shared" si="51"/>
        <v>2.8846153846153744E-2</v>
      </c>
      <c r="R78" s="2044"/>
      <c r="S78" s="2043"/>
      <c r="T78" s="2028"/>
      <c r="U78" s="2028"/>
      <c r="V78" s="2028"/>
      <c r="X78" s="2097"/>
      <c r="Y78" s="2097"/>
      <c r="Z78" s="2097"/>
    </row>
    <row r="79" spans="1:26">
      <c r="A79" s="2040" t="s">
        <v>503</v>
      </c>
      <c r="B79" s="2041">
        <f t="shared" si="52"/>
        <v>116.99099099099099</v>
      </c>
      <c r="C79" s="2041">
        <f t="shared" si="52"/>
        <v>118.84848484848486</v>
      </c>
      <c r="D79" s="2041">
        <f t="shared" si="20"/>
        <v>118.84848484848486</v>
      </c>
      <c r="E79" s="2041">
        <f t="shared" si="53"/>
        <v>117.60960960960961</v>
      </c>
      <c r="F79" s="2041">
        <f t="shared" si="53"/>
        <v>104</v>
      </c>
      <c r="G79" s="3472">
        <v>2004</v>
      </c>
      <c r="H79" s="2051">
        <v>2</v>
      </c>
      <c r="I79" s="2051">
        <v>1</v>
      </c>
      <c r="J79" s="2051">
        <v>1.5</v>
      </c>
      <c r="K79" s="2051">
        <v>1.5</v>
      </c>
      <c r="L79" s="2052">
        <v>0</v>
      </c>
      <c r="N79" s="2095">
        <f t="shared" si="50"/>
        <v>4.0581121662202721E-2</v>
      </c>
      <c r="O79" s="2096">
        <f t="shared" si="50"/>
        <v>3.1897926634768738E-2</v>
      </c>
      <c r="P79" s="2096">
        <f t="shared" si="51"/>
        <v>6.6733400066733395E-2</v>
      </c>
      <c r="Q79" s="2096">
        <f t="shared" si="51"/>
        <v>0</v>
      </c>
      <c r="R79" s="2044"/>
      <c r="S79" s="2043"/>
      <c r="T79" s="2028"/>
      <c r="U79" s="2028"/>
      <c r="V79" s="2028"/>
      <c r="X79" s="2097"/>
      <c r="Y79" s="2097"/>
      <c r="Z79" s="2097"/>
    </row>
    <row r="80" spans="1:26" s="2089" customFormat="1" ht="13.5" thickBot="1">
      <c r="A80" s="2040" t="s">
        <v>504</v>
      </c>
      <c r="B80" s="2086">
        <f t="shared" si="52"/>
        <v>112.48648648648648</v>
      </c>
      <c r="C80" s="2086">
        <f t="shared" si="52"/>
        <v>115.21212121212122</v>
      </c>
      <c r="D80" s="2086">
        <f t="shared" si="20"/>
        <v>115.21212121212122</v>
      </c>
      <c r="E80" s="2086">
        <f t="shared" si="53"/>
        <v>110.4024024024024</v>
      </c>
      <c r="F80" s="2086">
        <f t="shared" si="53"/>
        <v>104</v>
      </c>
      <c r="G80" s="3473">
        <v>2004</v>
      </c>
      <c r="H80" s="2087">
        <v>1</v>
      </c>
      <c r="I80" s="2087">
        <v>0.33</v>
      </c>
      <c r="J80" s="2087">
        <v>0.5</v>
      </c>
      <c r="K80" s="2087">
        <v>0.5</v>
      </c>
      <c r="L80" s="2088">
        <v>0</v>
      </c>
      <c r="N80" s="2100">
        <f t="shared" si="50"/>
        <v>1.3391770148526898E-2</v>
      </c>
      <c r="O80" s="2101">
        <f t="shared" si="50"/>
        <v>1.063264221158958E-2</v>
      </c>
      <c r="P80" s="2101">
        <f t="shared" si="51"/>
        <v>2.2244466688911134E-2</v>
      </c>
      <c r="Q80" s="2101">
        <f t="shared" si="51"/>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0"/>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54">B83+(B$81-B$85)/4</f>
        <v>109.75</v>
      </c>
      <c r="C82" s="2107">
        <f t="shared" si="54"/>
        <v>112.25</v>
      </c>
      <c r="D82" s="2107">
        <f t="shared" si="20"/>
        <v>112.25</v>
      </c>
      <c r="E82" s="2107">
        <f t="shared" ref="E82:F84" si="55">E83+(E$81-E$85)/4</f>
        <v>107.25</v>
      </c>
      <c r="F82" s="2107">
        <f t="shared" si="55"/>
        <v>103.5</v>
      </c>
      <c r="G82" s="3472">
        <v>2003</v>
      </c>
      <c r="H82" s="2062">
        <v>3</v>
      </c>
      <c r="I82" s="2105"/>
      <c r="J82" s="2105"/>
      <c r="K82" s="2105"/>
      <c r="L82" s="2105"/>
      <c r="X82" s="2097"/>
      <c r="Y82" s="2097"/>
      <c r="Z82" s="2097"/>
    </row>
    <row r="83" spans="1:26">
      <c r="A83" s="2040" t="s">
        <v>507</v>
      </c>
      <c r="B83" s="2107">
        <f t="shared" si="54"/>
        <v>108.5</v>
      </c>
      <c r="C83" s="2107">
        <f t="shared" si="54"/>
        <v>110.5</v>
      </c>
      <c r="D83" s="2107">
        <f t="shared" si="20"/>
        <v>110.5</v>
      </c>
      <c r="E83" s="2107">
        <f t="shared" si="55"/>
        <v>106.5</v>
      </c>
      <c r="F83" s="2107">
        <f t="shared" si="55"/>
        <v>103</v>
      </c>
      <c r="G83" s="3472">
        <v>2003</v>
      </c>
      <c r="H83" s="2051">
        <v>2</v>
      </c>
      <c r="I83" s="2105"/>
      <c r="J83" s="2105"/>
      <c r="K83" s="2105"/>
      <c r="L83" s="2105"/>
      <c r="X83" s="2097"/>
      <c r="Y83" s="2097"/>
      <c r="Z83" s="2097"/>
    </row>
    <row r="84" spans="1:26" ht="13.5" thickBot="1">
      <c r="A84" s="2040" t="s">
        <v>508</v>
      </c>
      <c r="B84" s="2107">
        <f t="shared" si="54"/>
        <v>107.25</v>
      </c>
      <c r="C84" s="2107">
        <f t="shared" si="54"/>
        <v>108.75</v>
      </c>
      <c r="D84" s="2107">
        <f t="shared" si="20"/>
        <v>108.75</v>
      </c>
      <c r="E84" s="2107">
        <f t="shared" si="55"/>
        <v>105.75</v>
      </c>
      <c r="F84" s="2107">
        <f t="shared" si="55"/>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0"/>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56">B87+(B$85-B$89)/4</f>
        <v>105</v>
      </c>
      <c r="C86" s="2107">
        <f t="shared" si="56"/>
        <v>106</v>
      </c>
      <c r="D86" s="2107">
        <f t="shared" si="20"/>
        <v>106</v>
      </c>
      <c r="E86" s="2107">
        <f t="shared" ref="E86:F88" si="57">E87+(E$85-E$89)/4</f>
        <v>104.5</v>
      </c>
      <c r="F86" s="2107">
        <f t="shared" si="57"/>
        <v>101.5</v>
      </c>
      <c r="G86" s="3472">
        <v>2002</v>
      </c>
      <c r="H86" s="2062">
        <v>3</v>
      </c>
      <c r="I86" s="2105"/>
      <c r="J86" s="2105"/>
      <c r="K86" s="2105"/>
      <c r="L86" s="2105"/>
      <c r="X86" s="2097"/>
      <c r="Y86" s="2097"/>
      <c r="Z86" s="2097"/>
    </row>
    <row r="87" spans="1:26">
      <c r="A87" s="2040" t="s">
        <v>511</v>
      </c>
      <c r="B87" s="2107">
        <f t="shared" si="56"/>
        <v>104</v>
      </c>
      <c r="C87" s="2107">
        <f t="shared" si="56"/>
        <v>105</v>
      </c>
      <c r="D87" s="2107">
        <f t="shared" si="20"/>
        <v>105</v>
      </c>
      <c r="E87" s="2107">
        <f t="shared" si="57"/>
        <v>104</v>
      </c>
      <c r="F87" s="2107">
        <f t="shared" si="57"/>
        <v>101</v>
      </c>
      <c r="G87" s="3472">
        <v>2002</v>
      </c>
      <c r="H87" s="2051">
        <v>2</v>
      </c>
      <c r="I87" s="2105"/>
      <c r="J87" s="2105"/>
      <c r="K87" s="2105"/>
      <c r="L87" s="2105"/>
      <c r="X87" s="2097"/>
      <c r="Y87" s="2097"/>
      <c r="Z87" s="2097"/>
    </row>
    <row r="88" spans="1:26" s="2072" customFormat="1" ht="13.5" thickBot="1">
      <c r="A88" s="2068" t="s">
        <v>512</v>
      </c>
      <c r="B88" s="2075">
        <f t="shared" si="56"/>
        <v>103</v>
      </c>
      <c r="C88" s="2075">
        <f t="shared" si="56"/>
        <v>104</v>
      </c>
      <c r="D88" s="2075">
        <f t="shared" si="20"/>
        <v>104</v>
      </c>
      <c r="E88" s="2075">
        <f t="shared" si="57"/>
        <v>103.5</v>
      </c>
      <c r="F88" s="2075">
        <f t="shared" si="57"/>
        <v>100.5</v>
      </c>
      <c r="G88" s="3473">
        <v>2002</v>
      </c>
      <c r="H88" s="2111">
        <v>1</v>
      </c>
      <c r="I88" s="2112"/>
      <c r="J88" s="2112"/>
      <c r="K88" s="2112"/>
      <c r="L88" s="2112"/>
      <c r="N88" s="2113"/>
      <c r="S88" s="2113"/>
      <c r="X88" s="2114"/>
      <c r="Y88" s="2114"/>
      <c r="Z88" s="2114"/>
    </row>
    <row r="89" spans="1:26" ht="13.5" thickBot="1">
      <c r="B89" s="2115">
        <v>102</v>
      </c>
      <c r="C89" s="2116">
        <v>103</v>
      </c>
      <c r="D89" s="2116">
        <f t="shared" si="20"/>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45553</v>
      </c>
      <c r="D1" s="1217" t="s">
        <v>603</v>
      </c>
      <c r="E1" s="1212">
        <f>'数据-取费表'!B22</f>
        <v>2.5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8"/>
      <c r="B3" s="3158"/>
      <c r="C3" s="3158"/>
      <c r="D3" s="801" t="s">
        <v>925</v>
      </c>
      <c r="E3" s="801" t="s">
        <v>931</v>
      </c>
      <c r="F3" s="801" t="s">
        <v>925</v>
      </c>
      <c r="G3" s="801" t="s">
        <v>926</v>
      </c>
      <c r="H3" s="801" t="s">
        <v>925</v>
      </c>
      <c r="I3" s="801" t="s">
        <v>926</v>
      </c>
    </row>
    <row r="4" spans="1:9" ht="15">
      <c r="A4" s="1403" t="str">
        <f>项目基本情况!S2</f>
        <v>北京市房地产</v>
      </c>
      <c r="B4" s="801">
        <f>项目基本情况!C17</f>
        <v>11761.1</v>
      </c>
      <c r="C4" s="801">
        <f>项目基本情况!C18</f>
        <v>0</v>
      </c>
      <c r="D4" s="801">
        <f ca="1">结果表!D118</f>
        <v>4856</v>
      </c>
      <c r="E4" s="801">
        <f ca="1">结果表!E118</f>
        <v>4129</v>
      </c>
      <c r="F4" s="801">
        <f ca="1">结果表!F118</f>
        <v>11549</v>
      </c>
      <c r="G4" s="801">
        <f ca="1">结果表!G118</f>
        <v>9820</v>
      </c>
      <c r="H4" s="801">
        <f ca="1">结果表!H118</f>
        <v>16405</v>
      </c>
      <c r="I4" s="801">
        <f ca="1">结果表!I118</f>
        <v>13949</v>
      </c>
    </row>
    <row r="5" spans="1:9" ht="30" customHeight="1">
      <c r="A5" s="3158" t="s">
        <v>927</v>
      </c>
      <c r="B5" s="3158"/>
      <c r="C5" s="3158"/>
      <c r="D5" s="3158" t="str">
        <f ca="1">结果表!D119</f>
        <v>肆仟捌佰伍拾陆万元整</v>
      </c>
      <c r="E5" s="3158"/>
      <c r="F5" s="3158" t="str">
        <f ca="1">结果表!F119</f>
        <v>壹亿壹仟伍佰肆拾玖万元整</v>
      </c>
      <c r="G5" s="3158"/>
      <c r="H5" s="3158" t="str">
        <f ca="1">结果表!H119</f>
        <v>壹亿陆仟肆佰零伍万元整</v>
      </c>
      <c r="I5" s="3158"/>
    </row>
    <row r="6" spans="1:9" ht="15.75">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75">
      <c r="A8" s="3159" t="str">
        <f>结果表!A122</f>
        <v>房地产抵押价值</v>
      </c>
      <c r="B8" s="3159"/>
      <c r="C8" s="3159"/>
      <c r="D8" s="3159">
        <f ca="1">结果表!D122</f>
        <v>16405</v>
      </c>
      <c r="E8" s="3159"/>
      <c r="F8" s="3159"/>
      <c r="G8" s="3159"/>
      <c r="H8" s="3159"/>
      <c r="I8" s="3159"/>
    </row>
    <row r="9" spans="1:9" ht="15">
      <c r="A9" s="3158" t="s">
        <v>927</v>
      </c>
      <c r="B9" s="3158"/>
      <c r="C9" s="3158"/>
      <c r="D9" s="3158" t="str">
        <f ca="1">结果表!D123</f>
        <v>壹亿陆仟肆佰零伍万元整</v>
      </c>
      <c r="E9" s="3158"/>
      <c r="F9" s="3158"/>
      <c r="G9" s="3158"/>
      <c r="H9" s="3158"/>
      <c r="I9" s="3158"/>
    </row>
    <row r="10" spans="1:9" ht="15.75">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5" t="s">
        <v>949</v>
      </c>
      <c r="B1" s="3165"/>
      <c r="C1" s="3165"/>
      <c r="D1" s="3165"/>
    </row>
    <row r="2" spans="1:4" ht="18">
      <c r="A2" s="3166" t="s">
        <v>933</v>
      </c>
      <c r="B2" s="3166"/>
      <c r="C2" s="3166"/>
      <c r="D2" s="316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6" t="s">
        <v>939</v>
      </c>
      <c r="B6" s="3166"/>
      <c r="C6" s="3166"/>
      <c r="D6" s="316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7"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945</v>
      </c>
      <c r="B22" s="3173"/>
      <c r="C22" s="3173"/>
      <c r="D22" s="317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2024-09-19T03:52:49Z</dcterms:modified>
</cp:coreProperties>
</file>