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表" sheetId="68"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仓储" sheetId="72" state="hidden" r:id="rId31"/>
    <sheet name="不动产收益法-车库" sheetId="73" r:id="rId32"/>
    <sheet name="不动产收益法-自持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9" r:id="rId44"/>
    <sheet name="Sheet6" sheetId="74" r:id="rId45"/>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4" hidden="1">面积表!$A$1:$I$265</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N77" i="3" l="1"/>
  <c r="Q77" i="3"/>
  <c r="C135" i="68"/>
  <c r="E135" i="68"/>
  <c r="G136" i="68"/>
  <c r="AT77" i="3"/>
  <c r="G7" i="68"/>
  <c r="F22" i="6"/>
  <c r="D86" i="68"/>
  <c r="C86" i="68"/>
  <c r="D84" i="68"/>
  <c r="C84" i="68"/>
  <c r="D82" i="68"/>
  <c r="C82" i="68"/>
  <c r="D80" i="68"/>
  <c r="C80" i="68"/>
  <c r="D78" i="68"/>
  <c r="C78" i="68"/>
  <c r="D76" i="68"/>
  <c r="C76" i="68"/>
  <c r="D74" i="68"/>
  <c r="C74" i="68"/>
  <c r="D72" i="68"/>
  <c r="C72" i="68"/>
  <c r="D70" i="68"/>
  <c r="C70" i="68"/>
  <c r="D30" i="68"/>
  <c r="C30" i="68"/>
  <c r="D28" i="68"/>
  <c r="C28" i="68"/>
  <c r="D26" i="68"/>
  <c r="C26" i="68"/>
  <c r="D24" i="68"/>
  <c r="C24" i="68"/>
  <c r="D22" i="68"/>
  <c r="C22" i="68"/>
  <c r="D20" i="68"/>
  <c r="C20" i="68"/>
  <c r="AF77" i="3"/>
  <c r="O77" i="3"/>
  <c r="AD78" i="3"/>
  <c r="C131" i="68"/>
  <c r="D131" i="68"/>
  <c r="E132" i="68"/>
  <c r="E134" i="68"/>
  <c r="C128" i="68"/>
  <c r="G128" i="68"/>
  <c r="D128" i="68"/>
  <c r="D126" i="68"/>
  <c r="C126" i="68"/>
  <c r="D124" i="68"/>
  <c r="C124" i="68"/>
  <c r="D122" i="68"/>
  <c r="C122" i="68"/>
  <c r="D120" i="68"/>
  <c r="C120" i="68"/>
  <c r="D118" i="68"/>
  <c r="C118" i="68"/>
  <c r="C116" i="68"/>
  <c r="D116" i="68"/>
  <c r="D114" i="68"/>
  <c r="C114" i="68"/>
  <c r="D112" i="68"/>
  <c r="C112" i="68"/>
  <c r="D110" i="68"/>
  <c r="C110" i="68"/>
  <c r="D108" i="68"/>
  <c r="C108" i="68"/>
  <c r="D106" i="68"/>
  <c r="C106" i="68"/>
  <c r="D104" i="68"/>
  <c r="C104" i="68"/>
  <c r="D102" i="68"/>
  <c r="C102" i="68"/>
  <c r="D100" i="68"/>
  <c r="C100" i="68"/>
  <c r="D98" i="68"/>
  <c r="C98" i="68"/>
  <c r="C96" i="68"/>
  <c r="D96" i="68"/>
  <c r="D94" i="68"/>
  <c r="C94" i="68"/>
  <c r="D92" i="68"/>
  <c r="C92" i="68"/>
  <c r="D90" i="68"/>
  <c r="C90" i="68"/>
  <c r="D88" i="68"/>
  <c r="C88" i="68"/>
  <c r="D68" i="68"/>
  <c r="C68" i="68"/>
  <c r="D66" i="68"/>
  <c r="C66" i="68"/>
  <c r="D64" i="68"/>
  <c r="C64" i="68"/>
  <c r="D62" i="68"/>
  <c r="C62" i="68"/>
  <c r="D60" i="68"/>
  <c r="C60" i="68"/>
  <c r="D58" i="68"/>
  <c r="C58" i="68"/>
  <c r="D56" i="68"/>
  <c r="C56" i="68"/>
  <c r="D54" i="68"/>
  <c r="C54" i="68"/>
  <c r="D52" i="68"/>
  <c r="C52" i="68"/>
  <c r="C50" i="68"/>
  <c r="D50" i="68"/>
  <c r="D48" i="68"/>
  <c r="C48" i="68"/>
  <c r="D46" i="68"/>
  <c r="C46" i="68"/>
  <c r="D44" i="68"/>
  <c r="C44" i="68"/>
  <c r="C42" i="68"/>
  <c r="D42" i="68"/>
  <c r="D40" i="68"/>
  <c r="C40" i="68"/>
  <c r="C38" i="68"/>
  <c r="D38" i="68"/>
  <c r="D36" i="68"/>
  <c r="C36" i="68"/>
  <c r="D34" i="68"/>
  <c r="C34" i="68"/>
  <c r="C32" i="68"/>
  <c r="D32" i="68"/>
  <c r="C18" i="68"/>
  <c r="D18" i="68"/>
  <c r="D16" i="68"/>
  <c r="C16" i="68"/>
  <c r="O19" i="3"/>
  <c r="K19" i="3"/>
  <c r="D14" i="68"/>
  <c r="C14" i="68"/>
  <c r="C12" i="68"/>
  <c r="D12" i="68"/>
  <c r="H9" i="68"/>
  <c r="I18" i="3"/>
  <c r="I17" i="3"/>
  <c r="C3" i="68"/>
  <c r="F6" i="73"/>
  <c r="F8" i="73"/>
  <c r="Q5" i="3"/>
  <c r="G21" i="6"/>
  <c r="E21" i="6"/>
  <c r="K8" i="1"/>
  <c r="F7" i="73"/>
  <c r="F9" i="73"/>
  <c r="C6" i="73"/>
  <c r="N4" i="65"/>
  <c r="C4" i="65"/>
  <c r="B39" i="1"/>
  <c r="F11" i="73"/>
  <c r="C10" i="73"/>
  <c r="C5" i="73"/>
  <c r="C32" i="73"/>
  <c r="C33" i="73"/>
  <c r="BB17" i="3"/>
  <c r="BA17" i="3"/>
  <c r="BR17" i="3"/>
  <c r="BL17" i="3"/>
  <c r="AZ17" i="3"/>
  <c r="BR13" i="3"/>
  <c r="BL13" i="3"/>
  <c r="AZ13" i="3"/>
  <c r="BR14" i="3"/>
  <c r="BL14" i="3"/>
  <c r="AZ14" i="3"/>
  <c r="BR15" i="3"/>
  <c r="BL15" i="3"/>
  <c r="AZ15" i="3"/>
  <c r="BR16" i="3"/>
  <c r="BL16" i="3"/>
  <c r="AZ16" i="3"/>
  <c r="BB18" i="3"/>
  <c r="BA18" i="3"/>
  <c r="BR18" i="3"/>
  <c r="BL18" i="3"/>
  <c r="AZ18" i="3"/>
  <c r="BC19" i="3"/>
  <c r="BE19" i="3"/>
  <c r="BA19" i="3"/>
  <c r="AZ19" i="3"/>
  <c r="O20" i="3"/>
  <c r="BE20" i="3"/>
  <c r="K20" i="3"/>
  <c r="BC20" i="3"/>
  <c r="BA20" i="3"/>
  <c r="AZ20" i="3"/>
  <c r="O21" i="3"/>
  <c r="BE21" i="3"/>
  <c r="K21" i="3"/>
  <c r="BC21" i="3"/>
  <c r="BA21" i="3"/>
  <c r="AZ21" i="3"/>
  <c r="K22" i="3"/>
  <c r="BC22" i="3"/>
  <c r="O22" i="3"/>
  <c r="BE22" i="3"/>
  <c r="BA22" i="3"/>
  <c r="AN22" i="3"/>
  <c r="BR22" i="3"/>
  <c r="BL22" i="3"/>
  <c r="AZ22" i="3"/>
  <c r="O29" i="3"/>
  <c r="BE29" i="3"/>
  <c r="K29" i="3"/>
  <c r="BC29" i="3"/>
  <c r="BA29" i="3"/>
  <c r="AZ29" i="3"/>
  <c r="O30" i="3"/>
  <c r="BE30" i="3"/>
  <c r="K30" i="3"/>
  <c r="BC30" i="3"/>
  <c r="BA30" i="3"/>
  <c r="AZ30" i="3"/>
  <c r="O31" i="3"/>
  <c r="BE31" i="3"/>
  <c r="K31" i="3"/>
  <c r="BC31" i="3"/>
  <c r="BA31" i="3"/>
  <c r="AZ31" i="3"/>
  <c r="K32" i="3"/>
  <c r="BC32" i="3"/>
  <c r="O32" i="3"/>
  <c r="BE32" i="3"/>
  <c r="BA32" i="3"/>
  <c r="AZ32" i="3"/>
  <c r="O33" i="3"/>
  <c r="BE33" i="3"/>
  <c r="K33" i="3"/>
  <c r="BC33" i="3"/>
  <c r="BA33" i="3"/>
  <c r="AZ33" i="3"/>
  <c r="O34" i="3"/>
  <c r="BE34" i="3"/>
  <c r="K34" i="3"/>
  <c r="BC34" i="3"/>
  <c r="BA34" i="3"/>
  <c r="AZ34" i="3"/>
  <c r="O35" i="3"/>
  <c r="BE35" i="3"/>
  <c r="K35" i="3"/>
  <c r="BC35" i="3"/>
  <c r="BA35" i="3"/>
  <c r="AZ35" i="3"/>
  <c r="O36" i="3"/>
  <c r="BE36" i="3"/>
  <c r="K36" i="3"/>
  <c r="BC36" i="3"/>
  <c r="BA36" i="3"/>
  <c r="AZ36" i="3"/>
  <c r="O37" i="3"/>
  <c r="BE37" i="3"/>
  <c r="K37" i="3"/>
  <c r="BC37" i="3"/>
  <c r="BA37" i="3"/>
  <c r="AZ37" i="3"/>
  <c r="O38" i="3"/>
  <c r="BE38" i="3"/>
  <c r="M38" i="3"/>
  <c r="BD38" i="3"/>
  <c r="BA38" i="3"/>
  <c r="AZ38" i="3"/>
  <c r="O39" i="3"/>
  <c r="BE39" i="3"/>
  <c r="M39" i="3"/>
  <c r="BD39" i="3"/>
  <c r="BA39" i="3"/>
  <c r="AZ39" i="3"/>
  <c r="O40" i="3"/>
  <c r="BE40" i="3"/>
  <c r="M40" i="3"/>
  <c r="BD40" i="3"/>
  <c r="BA40" i="3"/>
  <c r="AZ40" i="3"/>
  <c r="O41" i="3"/>
  <c r="BE41" i="3"/>
  <c r="M41" i="3"/>
  <c r="BD41" i="3"/>
  <c r="BA41" i="3"/>
  <c r="AZ41" i="3"/>
  <c r="O42" i="3"/>
  <c r="BE42" i="3"/>
  <c r="M42" i="3"/>
  <c r="BD42" i="3"/>
  <c r="BA42" i="3"/>
  <c r="AZ42" i="3"/>
  <c r="O43" i="3"/>
  <c r="BE43" i="3"/>
  <c r="K43" i="3"/>
  <c r="BC43" i="3"/>
  <c r="BA43" i="3"/>
  <c r="AZ43" i="3"/>
  <c r="O44" i="3"/>
  <c r="BE44" i="3"/>
  <c r="K44" i="3"/>
  <c r="BC44" i="3"/>
  <c r="BA44" i="3"/>
  <c r="AZ44" i="3"/>
  <c r="O45" i="3"/>
  <c r="BE45" i="3"/>
  <c r="K45" i="3"/>
  <c r="BC45" i="3"/>
  <c r="BA45" i="3"/>
  <c r="AZ45" i="3"/>
  <c r="O46" i="3"/>
  <c r="BE46" i="3"/>
  <c r="K46" i="3"/>
  <c r="BC46" i="3"/>
  <c r="BA46" i="3"/>
  <c r="AZ46" i="3"/>
  <c r="O47" i="3"/>
  <c r="BE47" i="3"/>
  <c r="K47" i="3"/>
  <c r="BC47" i="3"/>
  <c r="BA47" i="3"/>
  <c r="AZ47" i="3"/>
  <c r="O57" i="3"/>
  <c r="BE57" i="3"/>
  <c r="M57" i="3"/>
  <c r="BD57" i="3"/>
  <c r="BA57" i="3"/>
  <c r="AZ57" i="3"/>
  <c r="O58" i="3"/>
  <c r="BE58" i="3"/>
  <c r="M58" i="3"/>
  <c r="BD58" i="3"/>
  <c r="BA58" i="3"/>
  <c r="AZ58" i="3"/>
  <c r="O59" i="3"/>
  <c r="BE59" i="3"/>
  <c r="M59" i="3"/>
  <c r="BD59" i="3"/>
  <c r="BA59" i="3"/>
  <c r="AZ59" i="3"/>
  <c r="O60" i="3"/>
  <c r="BE60" i="3"/>
  <c r="M60" i="3"/>
  <c r="BD60" i="3"/>
  <c r="BA60" i="3"/>
  <c r="AZ60" i="3"/>
  <c r="M61" i="3"/>
  <c r="BD61" i="3"/>
  <c r="O61" i="3"/>
  <c r="BE61" i="3"/>
  <c r="BA61" i="3"/>
  <c r="AZ61" i="3"/>
  <c r="O62" i="3"/>
  <c r="BE62" i="3"/>
  <c r="M62" i="3"/>
  <c r="BD62" i="3"/>
  <c r="BA62" i="3"/>
  <c r="AZ62" i="3"/>
  <c r="O63" i="3"/>
  <c r="BE63" i="3"/>
  <c r="M63" i="3"/>
  <c r="BD63" i="3"/>
  <c r="BA63" i="3"/>
  <c r="AZ63" i="3"/>
  <c r="O64" i="3"/>
  <c r="BE64" i="3"/>
  <c r="M64" i="3"/>
  <c r="BD64" i="3"/>
  <c r="BA64" i="3"/>
  <c r="AZ64" i="3"/>
  <c r="O65" i="3"/>
  <c r="BE65" i="3"/>
  <c r="M65" i="3"/>
  <c r="BD65" i="3"/>
  <c r="BA65" i="3"/>
  <c r="AN65" i="3"/>
  <c r="BR65" i="3"/>
  <c r="BL65" i="3"/>
  <c r="AZ65" i="3"/>
  <c r="O66" i="3"/>
  <c r="BE66" i="3"/>
  <c r="M66" i="3"/>
  <c r="BD66" i="3"/>
  <c r="BA66" i="3"/>
  <c r="AZ66" i="3"/>
  <c r="O67" i="3"/>
  <c r="BE67" i="3"/>
  <c r="M67" i="3"/>
  <c r="BD67" i="3"/>
  <c r="BA67" i="3"/>
  <c r="AZ67" i="3"/>
  <c r="O68" i="3"/>
  <c r="BE68" i="3"/>
  <c r="M68" i="3"/>
  <c r="BD68" i="3"/>
  <c r="BA68" i="3"/>
  <c r="AZ68" i="3"/>
  <c r="O69" i="3"/>
  <c r="BE69" i="3"/>
  <c r="M69" i="3"/>
  <c r="BD69" i="3"/>
  <c r="BA69" i="3"/>
  <c r="AZ69" i="3"/>
  <c r="M70" i="3"/>
  <c r="BD70" i="3"/>
  <c r="O70" i="3"/>
  <c r="BE70" i="3"/>
  <c r="BA70" i="3"/>
  <c r="AZ70" i="3"/>
  <c r="M71" i="3"/>
  <c r="BD71" i="3"/>
  <c r="O71" i="3"/>
  <c r="BE71" i="3"/>
  <c r="BA71" i="3"/>
  <c r="AZ71" i="3"/>
  <c r="O72" i="3"/>
  <c r="BE72" i="3"/>
  <c r="M72" i="3"/>
  <c r="BD72" i="3"/>
  <c r="BA72" i="3"/>
  <c r="AZ72" i="3"/>
  <c r="O73" i="3"/>
  <c r="BE73" i="3"/>
  <c r="M73" i="3"/>
  <c r="BD73" i="3"/>
  <c r="BA73" i="3"/>
  <c r="AZ73" i="3"/>
  <c r="O74" i="3"/>
  <c r="BE74" i="3"/>
  <c r="M74" i="3"/>
  <c r="BD74" i="3"/>
  <c r="BA74" i="3"/>
  <c r="AZ74" i="3"/>
  <c r="O75" i="3"/>
  <c r="BE75" i="3"/>
  <c r="M75" i="3"/>
  <c r="BD75" i="3"/>
  <c r="BA75" i="3"/>
  <c r="AZ75" i="3"/>
  <c r="O76" i="3"/>
  <c r="BE76" i="3"/>
  <c r="M76" i="3"/>
  <c r="BD76" i="3"/>
  <c r="BA76" i="3"/>
  <c r="AZ76" i="3"/>
  <c r="BF77" i="3"/>
  <c r="BE77" i="3"/>
  <c r="BA77" i="3"/>
  <c r="BM77" i="3"/>
  <c r="BR77" i="3"/>
  <c r="BN77" i="3"/>
  <c r="BL77" i="3"/>
  <c r="AZ77" i="3"/>
  <c r="BM78" i="3"/>
  <c r="BL78" i="3"/>
  <c r="AZ78" i="3"/>
  <c r="O23" i="3"/>
  <c r="BE23" i="3"/>
  <c r="K23" i="3"/>
  <c r="BC23" i="3"/>
  <c r="BA23" i="3"/>
  <c r="AZ23" i="3"/>
  <c r="O24" i="3"/>
  <c r="BE24" i="3"/>
  <c r="K24" i="3"/>
  <c r="BC24" i="3"/>
  <c r="BA24" i="3"/>
  <c r="AZ24" i="3"/>
  <c r="O25" i="3"/>
  <c r="BE25" i="3"/>
  <c r="K25" i="3"/>
  <c r="BC25" i="3"/>
  <c r="BA25" i="3"/>
  <c r="AZ25" i="3"/>
  <c r="O26" i="3"/>
  <c r="BE26" i="3"/>
  <c r="K26" i="3"/>
  <c r="BC26" i="3"/>
  <c r="BA26" i="3"/>
  <c r="AZ26" i="3"/>
  <c r="O27" i="3"/>
  <c r="BE27" i="3"/>
  <c r="K27" i="3"/>
  <c r="BC27" i="3"/>
  <c r="BA27" i="3"/>
  <c r="AZ27" i="3"/>
  <c r="O28" i="3"/>
  <c r="BE28" i="3"/>
  <c r="K28" i="3"/>
  <c r="BC28" i="3"/>
  <c r="BA28" i="3"/>
  <c r="AZ28" i="3"/>
  <c r="O48" i="3"/>
  <c r="BE48" i="3"/>
  <c r="K48" i="3"/>
  <c r="BC48" i="3"/>
  <c r="BA48" i="3"/>
  <c r="AZ48" i="3"/>
  <c r="O49" i="3"/>
  <c r="BE49" i="3"/>
  <c r="K49" i="3"/>
  <c r="BC49" i="3"/>
  <c r="BA49" i="3"/>
  <c r="AZ49" i="3"/>
  <c r="O50" i="3"/>
  <c r="BE50" i="3"/>
  <c r="K50" i="3"/>
  <c r="BC50" i="3"/>
  <c r="BA50" i="3"/>
  <c r="AZ50" i="3"/>
  <c r="O51" i="3"/>
  <c r="BE51" i="3"/>
  <c r="K51" i="3"/>
  <c r="BC51" i="3"/>
  <c r="BA51" i="3"/>
  <c r="AZ51" i="3"/>
  <c r="O52" i="3"/>
  <c r="BE52" i="3"/>
  <c r="K52" i="3"/>
  <c r="BC52" i="3"/>
  <c r="BA52" i="3"/>
  <c r="AZ52" i="3"/>
  <c r="O53" i="3"/>
  <c r="BE53" i="3"/>
  <c r="K53" i="3"/>
  <c r="BC53" i="3"/>
  <c r="BA53" i="3"/>
  <c r="AZ53" i="3"/>
  <c r="O54" i="3"/>
  <c r="BE54" i="3"/>
  <c r="K54" i="3"/>
  <c r="BC54" i="3"/>
  <c r="BA54" i="3"/>
  <c r="AZ54" i="3"/>
  <c r="O55" i="3"/>
  <c r="BE55" i="3"/>
  <c r="K55" i="3"/>
  <c r="BC55" i="3"/>
  <c r="BA55" i="3"/>
  <c r="AZ55" i="3"/>
  <c r="O56" i="3"/>
  <c r="BE56" i="3"/>
  <c r="K56" i="3"/>
  <c r="BC56" i="3"/>
  <c r="BA56" i="3"/>
  <c r="AZ56" i="3"/>
  <c r="AZ5" i="3"/>
  <c r="H17" i="3"/>
  <c r="AC17" i="3"/>
  <c r="G17" i="3"/>
  <c r="AC13" i="3"/>
  <c r="G13" i="3"/>
  <c r="AC14" i="3"/>
  <c r="G14" i="3"/>
  <c r="AC15" i="3"/>
  <c r="G15" i="3"/>
  <c r="AC16" i="3"/>
  <c r="G16" i="3"/>
  <c r="H18" i="3"/>
  <c r="AC18" i="3"/>
  <c r="G18" i="3"/>
  <c r="H19" i="3"/>
  <c r="G19" i="3"/>
  <c r="H20" i="3"/>
  <c r="G20" i="3"/>
  <c r="H21" i="3"/>
  <c r="G21" i="3"/>
  <c r="H22" i="3"/>
  <c r="AC22" i="3"/>
  <c r="G22"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57" i="3"/>
  <c r="G57" i="3"/>
  <c r="H58" i="3"/>
  <c r="G58" i="3"/>
  <c r="H59" i="3"/>
  <c r="G59" i="3"/>
  <c r="H60" i="3"/>
  <c r="G60" i="3"/>
  <c r="H61" i="3"/>
  <c r="G61" i="3"/>
  <c r="H62" i="3"/>
  <c r="G62" i="3"/>
  <c r="H63" i="3"/>
  <c r="G63" i="3"/>
  <c r="H64" i="3"/>
  <c r="G64" i="3"/>
  <c r="H65" i="3"/>
  <c r="AC65" i="3"/>
  <c r="G65" i="3"/>
  <c r="H66" i="3"/>
  <c r="G66" i="3"/>
  <c r="H67" i="3"/>
  <c r="G67" i="3"/>
  <c r="H68" i="3"/>
  <c r="G68" i="3"/>
  <c r="H69" i="3"/>
  <c r="G69" i="3"/>
  <c r="H70" i="3"/>
  <c r="G70" i="3"/>
  <c r="H71" i="3"/>
  <c r="G71" i="3"/>
  <c r="H72" i="3"/>
  <c r="G72" i="3"/>
  <c r="H73" i="3"/>
  <c r="G73" i="3"/>
  <c r="H74" i="3"/>
  <c r="G74" i="3"/>
  <c r="H75" i="3"/>
  <c r="G75" i="3"/>
  <c r="H76" i="3"/>
  <c r="G76" i="3"/>
  <c r="H77" i="3"/>
  <c r="AC77" i="3"/>
  <c r="G77" i="3"/>
  <c r="AC78" i="3"/>
  <c r="G78" i="3"/>
  <c r="H23" i="3"/>
  <c r="G23" i="3"/>
  <c r="H24" i="3"/>
  <c r="G24" i="3"/>
  <c r="H25" i="3"/>
  <c r="G25" i="3"/>
  <c r="H26" i="3"/>
  <c r="G26" i="3"/>
  <c r="H27" i="3"/>
  <c r="G27" i="3"/>
  <c r="H28" i="3"/>
  <c r="G28" i="3"/>
  <c r="H48" i="3"/>
  <c r="G48" i="3"/>
  <c r="H49" i="3"/>
  <c r="G49" i="3"/>
  <c r="H50" i="3"/>
  <c r="G50" i="3"/>
  <c r="H51" i="3"/>
  <c r="G51" i="3"/>
  <c r="H52" i="3"/>
  <c r="G52" i="3"/>
  <c r="H53" i="3"/>
  <c r="G53" i="3"/>
  <c r="H54" i="3"/>
  <c r="G54" i="3"/>
  <c r="H55" i="3"/>
  <c r="G55" i="3"/>
  <c r="H56" i="3"/>
  <c r="G56" i="3"/>
  <c r="G5" i="3"/>
  <c r="AT5" i="3"/>
  <c r="B3" i="3"/>
  <c r="AY6" i="3"/>
  <c r="D3" i="6"/>
  <c r="E3" i="6"/>
  <c r="D21" i="6"/>
  <c r="I5" i="3"/>
  <c r="K5" i="3"/>
  <c r="M5" i="3"/>
  <c r="F19" i="6"/>
  <c r="E19" i="6"/>
  <c r="E22" i="6"/>
  <c r="BA5" i="3"/>
  <c r="O5" i="3"/>
  <c r="G20" i="6"/>
  <c r="E20" i="6"/>
  <c r="E27" i="6"/>
  <c r="BR5" i="3"/>
  <c r="G28" i="6"/>
  <c r="E28" i="6"/>
  <c r="K21" i="6"/>
  <c r="L21" i="6"/>
  <c r="M21" i="6"/>
  <c r="I21" i="6"/>
  <c r="H21" i="6"/>
  <c r="R21" i="6"/>
  <c r="R8" i="1"/>
  <c r="F35" i="73"/>
  <c r="C34" i="73"/>
  <c r="C31" i="73"/>
  <c r="M8" i="1"/>
  <c r="K14" i="1"/>
  <c r="M14" i="1"/>
  <c r="S8" i="1"/>
  <c r="K19" i="6"/>
  <c r="S6" i="1"/>
  <c r="K20" i="6"/>
  <c r="S7" i="1"/>
  <c r="K22" i="6"/>
  <c r="S9" i="1"/>
  <c r="S10" i="1"/>
  <c r="S11" i="1"/>
  <c r="S12" i="1"/>
  <c r="S13" i="1"/>
  <c r="S16" i="1"/>
  <c r="T8" i="1"/>
  <c r="C14" i="73"/>
  <c r="C15" i="73"/>
  <c r="F16" i="73"/>
  <c r="C16" i="73"/>
  <c r="F43" i="73"/>
  <c r="C17" i="73"/>
  <c r="C18" i="73"/>
  <c r="C19" i="73"/>
  <c r="C20" i="73"/>
  <c r="I5" i="65"/>
  <c r="E2" i="65"/>
  <c r="B40" i="1"/>
  <c r="F24" i="73"/>
  <c r="C23" i="73"/>
  <c r="F26" i="73"/>
  <c r="C26" i="73"/>
  <c r="C24" i="73"/>
  <c r="C27" i="73"/>
  <c r="C29" i="73"/>
  <c r="F36" i="73"/>
  <c r="C36" i="73"/>
  <c r="F13" i="73"/>
  <c r="C13" i="73"/>
  <c r="F37" i="73"/>
  <c r="C37" i="73"/>
  <c r="F38" i="73"/>
  <c r="C38" i="73"/>
  <c r="C30" i="73"/>
  <c r="C39" i="73"/>
  <c r="F42" i="73"/>
  <c r="F40" i="73"/>
  <c r="L48" i="73"/>
  <c r="J53" i="73"/>
  <c r="F1" i="73"/>
  <c r="AE8" i="1"/>
  <c r="F41" i="73"/>
  <c r="C40" i="73"/>
  <c r="M6" i="73"/>
  <c r="M8" i="73"/>
  <c r="M7" i="73"/>
  <c r="M9" i="73"/>
  <c r="J6" i="73"/>
  <c r="M11" i="73"/>
  <c r="J10" i="73"/>
  <c r="J5" i="73"/>
  <c r="J26" i="73"/>
  <c r="J29" i="73"/>
  <c r="B2" i="73"/>
  <c r="E10" i="12"/>
  <c r="F6" i="15"/>
  <c r="F8" i="15"/>
  <c r="K9" i="1"/>
  <c r="F7" i="15"/>
  <c r="F9" i="15"/>
  <c r="C6" i="15"/>
  <c r="F11" i="15"/>
  <c r="C10" i="15"/>
  <c r="C5" i="15"/>
  <c r="C32" i="15"/>
  <c r="C33" i="15"/>
  <c r="D22" i="6"/>
  <c r="E32" i="6"/>
  <c r="BM5" i="3"/>
  <c r="F29" i="6"/>
  <c r="BN5" i="3"/>
  <c r="G29" i="6"/>
  <c r="E29" i="6"/>
  <c r="L22" i="6"/>
  <c r="M22" i="6"/>
  <c r="I22" i="6"/>
  <c r="H22" i="6"/>
  <c r="R22" i="6"/>
  <c r="R9" i="1"/>
  <c r="F35" i="15"/>
  <c r="C34" i="15"/>
  <c r="C31" i="15"/>
  <c r="M9" i="1"/>
  <c r="T9"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B2" i="15"/>
  <c r="F10" i="12"/>
  <c r="C9" i="12"/>
  <c r="C10" i="12"/>
  <c r="D9" i="12"/>
  <c r="D10" i="12"/>
  <c r="C6"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C5" i="3"/>
  <c r="BD5" i="3"/>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C19" i="9"/>
  <c r="G16" i="1"/>
  <c r="F12" i="39"/>
  <c r="AA12" i="39"/>
  <c r="E8" i="6"/>
  <c r="F27" i="6"/>
  <c r="F30" i="6"/>
  <c r="F31" i="6"/>
  <c r="D19" i="6"/>
  <c r="D20" i="6"/>
  <c r="D23" i="6"/>
  <c r="D24" i="6"/>
  <c r="D25" i="6"/>
  <c r="D26" i="6"/>
  <c r="D27" i="6"/>
  <c r="D28" i="6"/>
  <c r="D29" i="6"/>
  <c r="D30" i="6"/>
  <c r="D31" i="6"/>
  <c r="I6" i="6"/>
  <c r="C13" i="39"/>
  <c r="F13" i="39"/>
  <c r="AA13" i="39"/>
  <c r="R49" i="39"/>
  <c r="H12" i="39"/>
  <c r="AB12" i="39"/>
  <c r="H13" i="39"/>
  <c r="AB13" i="39"/>
  <c r="T49" i="39"/>
  <c r="J12" i="39"/>
  <c r="AC12" i="39"/>
  <c r="J13" i="39"/>
  <c r="AC13" i="39"/>
  <c r="V49" i="39"/>
  <c r="R50" i="39"/>
  <c r="C50" i="39"/>
  <c r="B58" i="39"/>
  <c r="E58" i="39"/>
  <c r="F58" i="39"/>
  <c r="B59" i="39"/>
  <c r="F59" i="39"/>
  <c r="B60" i="39"/>
  <c r="F60" i="39"/>
  <c r="B61" i="39"/>
  <c r="F61" i="39"/>
  <c r="B62" i="39"/>
  <c r="F62" i="39"/>
  <c r="B63" i="39"/>
  <c r="BE5" i="3"/>
  <c r="BF5" i="3"/>
  <c r="E11" i="6"/>
  <c r="E63" i="39"/>
  <c r="F63" i="39"/>
  <c r="B64" i="39"/>
  <c r="E12" i="6"/>
  <c r="E64" i="39"/>
  <c r="F64" i="39"/>
  <c r="B65" i="39"/>
  <c r="E13" i="6"/>
  <c r="E65" i="39"/>
  <c r="F65" i="39"/>
  <c r="B66" i="39"/>
  <c r="E14" i="6"/>
  <c r="E66" i="39"/>
  <c r="F66" i="39"/>
  <c r="B67" i="39"/>
  <c r="E15" i="6"/>
  <c r="E67" i="39"/>
  <c r="F67" i="39"/>
  <c r="F68" i="39"/>
  <c r="B2" i="39"/>
  <c r="D19" i="9"/>
  <c r="G19" i="9"/>
  <c r="B38" i="9"/>
  <c r="E38" i="9"/>
  <c r="B37" i="9"/>
  <c r="E37" i="9"/>
  <c r="C37" i="9"/>
  <c r="C38" i="9"/>
  <c r="B3" i="73"/>
  <c r="E8" i="12"/>
  <c r="D8" i="12"/>
  <c r="E9" i="6"/>
  <c r="C40" i="39"/>
  <c r="H8" i="68"/>
  <c r="C7" i="39"/>
  <c r="G35" i="9"/>
  <c r="B3" i="15"/>
  <c r="F8" i="12"/>
  <c r="F6" i="72"/>
  <c r="F8" i="72"/>
  <c r="F7" i="72"/>
  <c r="F9" i="72"/>
  <c r="C6" i="72"/>
  <c r="F11" i="72"/>
  <c r="C10" i="72"/>
  <c r="C5" i="72"/>
  <c r="C32" i="72"/>
  <c r="C33" i="72"/>
  <c r="L20" i="6"/>
  <c r="M20" i="6"/>
  <c r="I20" i="6"/>
  <c r="H20" i="6"/>
  <c r="R20" i="6"/>
  <c r="R7" i="1"/>
  <c r="F35" i="72"/>
  <c r="C34" i="72"/>
  <c r="C31" i="72"/>
  <c r="T7" i="1"/>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7" i="1"/>
  <c r="F41" i="72"/>
  <c r="C40" i="72"/>
  <c r="M6" i="72"/>
  <c r="M8" i="72"/>
  <c r="M7" i="72"/>
  <c r="M9" i="72"/>
  <c r="J6" i="72"/>
  <c r="M11" i="72"/>
  <c r="J10" i="72"/>
  <c r="J5" i="72"/>
  <c r="J26" i="72"/>
  <c r="J29" i="72"/>
  <c r="B2" i="72"/>
  <c r="B3" i="72"/>
  <c r="G1" i="73"/>
  <c r="F32" i="73"/>
  <c r="F33" i="73"/>
  <c r="F34" i="73"/>
  <c r="F15" i="73"/>
  <c r="F17" i="73"/>
  <c r="F18" i="73"/>
  <c r="F20" i="73"/>
  <c r="F23" i="73"/>
  <c r="F21" i="73"/>
  <c r="F28" i="73"/>
  <c r="C28" i="73"/>
  <c r="M47" i="73"/>
  <c r="Q66" i="73"/>
  <c r="J50" i="73"/>
  <c r="J51"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L46"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G1" i="72"/>
  <c r="F32" i="72"/>
  <c r="F33" i="72"/>
  <c r="F34" i="72"/>
  <c r="F15" i="72"/>
  <c r="F17" i="72"/>
  <c r="F18" i="72"/>
  <c r="F20" i="72"/>
  <c r="F23" i="72"/>
  <c r="F21" i="72"/>
  <c r="F28" i="72"/>
  <c r="C28" i="72"/>
  <c r="M47" i="72"/>
  <c r="Q66" i="72"/>
  <c r="J50" i="72"/>
  <c r="J51"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56" i="72"/>
  <c r="C60" i="72"/>
  <c r="F61" i="72"/>
  <c r="F62" i="72"/>
  <c r="C61" i="72"/>
  <c r="C58"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E13" i="39"/>
  <c r="I13" i="39"/>
  <c r="G13" i="39"/>
  <c r="C12" i="39"/>
  <c r="E73" i="39"/>
  <c r="F73" i="39"/>
  <c r="G73" i="39"/>
  <c r="H73" i="39"/>
  <c r="I73" i="39"/>
  <c r="J73" i="39"/>
  <c r="K73" i="39"/>
  <c r="L73" i="39"/>
  <c r="M73" i="39"/>
  <c r="N73" i="39"/>
  <c r="D73" i="39"/>
  <c r="I48" i="39"/>
  <c r="G48" i="39"/>
  <c r="E48" i="39"/>
  <c r="D3" i="4"/>
  <c r="I40" i="39"/>
  <c r="G40" i="39"/>
  <c r="E40" i="39"/>
  <c r="I7" i="39"/>
  <c r="G7" i="39"/>
  <c r="E7" i="39"/>
  <c r="I9" i="39"/>
  <c r="G9" i="39"/>
  <c r="E9" i="39"/>
  <c r="BD77" i="3"/>
  <c r="BA78" i="3"/>
  <c r="C8" i="68"/>
  <c r="I16" i="3"/>
  <c r="I15" i="3"/>
  <c r="I14" i="3"/>
  <c r="AJ78" i="3"/>
  <c r="AH78" i="3"/>
  <c r="AF78" i="3"/>
  <c r="AN76" i="3"/>
  <c r="AN75" i="3"/>
  <c r="AN74" i="3"/>
  <c r="AN73" i="3"/>
  <c r="AN72" i="3"/>
  <c r="AN71" i="3"/>
  <c r="AN70" i="3"/>
  <c r="AN69" i="3"/>
  <c r="AN68" i="3"/>
  <c r="AN67" i="3"/>
  <c r="AN66"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1" i="3"/>
  <c r="AN20" i="3"/>
  <c r="AN19" i="3"/>
  <c r="AT18" i="3"/>
  <c r="AL18" i="3"/>
  <c r="AD18" i="3"/>
  <c r="I13"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B2" i="1"/>
  <c r="G19" i="46"/>
  <c r="M20" i="46"/>
  <c r="M19" i="46"/>
  <c r="C19" i="46"/>
  <c r="I20" i="46"/>
  <c r="G20" i="46"/>
  <c r="C20" i="46"/>
  <c r="G2" i="46"/>
  <c r="C6" i="46"/>
  <c r="G17" i="46"/>
  <c r="H17" i="46"/>
  <c r="I17" i="46"/>
  <c r="J17" i="46"/>
  <c r="C17" i="46"/>
  <c r="C16" i="46"/>
  <c r="C5" i="46"/>
  <c r="F39" i="46"/>
  <c r="C24" i="46"/>
  <c r="C39" i="46"/>
  <c r="G39" i="46"/>
  <c r="F38" i="46"/>
  <c r="C38" i="46"/>
  <c r="G38" i="46"/>
  <c r="F37" i="46"/>
  <c r="C37" i="46"/>
  <c r="G37" i="46"/>
  <c r="D5" i="46"/>
  <c r="F36" i="46"/>
  <c r="C36" i="46"/>
  <c r="G36" i="46"/>
  <c r="F35" i="46"/>
  <c r="C35" i="46"/>
  <c r="G35" i="46"/>
  <c r="F34" i="46"/>
  <c r="C34" i="46"/>
  <c r="G34" i="46"/>
  <c r="J50" i="15"/>
  <c r="J51" i="15"/>
  <c r="AD5" i="3"/>
  <c r="AL5" i="3"/>
  <c r="AH5" i="3"/>
  <c r="AP5" i="3"/>
  <c r="I4" i="6"/>
  <c r="G3" i="46"/>
  <c r="H101" i="46"/>
  <c r="H109" i="46"/>
  <c r="C23" i="46"/>
  <c r="C21" i="46"/>
  <c r="C29" i="46"/>
  <c r="F33" i="46"/>
  <c r="C33" i="46"/>
  <c r="E33" i="46"/>
  <c r="E34" i="46"/>
  <c r="E35" i="46"/>
  <c r="E36" i="46"/>
  <c r="E37" i="46"/>
  <c r="E38" i="46"/>
  <c r="E39" i="46"/>
  <c r="E22" i="46"/>
  <c r="G33" i="46"/>
  <c r="I33" i="46"/>
  <c r="H22" i="46"/>
  <c r="D9" i="59"/>
  <c r="AH7" i="59"/>
  <c r="AG7" i="59"/>
  <c r="AE7" i="59"/>
  <c r="AF7" i="59"/>
  <c r="AD7" i="59"/>
  <c r="BB13" i="3"/>
  <c r="BC13" i="3"/>
  <c r="BD13" i="3"/>
  <c r="BE13" i="3"/>
  <c r="BF13" i="3"/>
  <c r="BG13" i="3"/>
  <c r="BH13" i="3"/>
  <c r="BI13" i="3"/>
  <c r="BJ13" i="3"/>
  <c r="BK13" i="3"/>
  <c r="BA13" i="3"/>
  <c r="BM13" i="3"/>
  <c r="BN13" i="3"/>
  <c r="BO13" i="3"/>
  <c r="BP13" i="3"/>
  <c r="BQ13" i="3"/>
  <c r="BS13" i="3"/>
  <c r="BT13" i="3"/>
  <c r="BB14" i="3"/>
  <c r="BC14" i="3"/>
  <c r="BD14" i="3"/>
  <c r="BE14" i="3"/>
  <c r="BF14" i="3"/>
  <c r="BG14" i="3"/>
  <c r="BH14" i="3"/>
  <c r="BI14" i="3"/>
  <c r="BJ14" i="3"/>
  <c r="BK14" i="3"/>
  <c r="BA14" i="3"/>
  <c r="BM14" i="3"/>
  <c r="BN14" i="3"/>
  <c r="BO14" i="3"/>
  <c r="BP14" i="3"/>
  <c r="BQ14" i="3"/>
  <c r="BS14" i="3"/>
  <c r="BT14" i="3"/>
  <c r="BB15" i="3"/>
  <c r="BC15" i="3"/>
  <c r="BD15" i="3"/>
  <c r="BE15" i="3"/>
  <c r="BF15" i="3"/>
  <c r="BG15" i="3"/>
  <c r="BH15" i="3"/>
  <c r="BI15" i="3"/>
  <c r="BJ15" i="3"/>
  <c r="BK15" i="3"/>
  <c r="BA15" i="3"/>
  <c r="BM15" i="3"/>
  <c r="BN15" i="3"/>
  <c r="BO15" i="3"/>
  <c r="BP15" i="3"/>
  <c r="BQ15" i="3"/>
  <c r="BS15" i="3"/>
  <c r="BT15" i="3"/>
  <c r="BB16" i="3"/>
  <c r="BC16" i="3"/>
  <c r="BD16" i="3"/>
  <c r="BE16" i="3"/>
  <c r="BF16" i="3"/>
  <c r="BG16" i="3"/>
  <c r="BH16" i="3"/>
  <c r="BI16" i="3"/>
  <c r="BJ16" i="3"/>
  <c r="BK16" i="3"/>
  <c r="BA16" i="3"/>
  <c r="BM16" i="3"/>
  <c r="BN16" i="3"/>
  <c r="BO16" i="3"/>
  <c r="BP16" i="3"/>
  <c r="BQ16" i="3"/>
  <c r="BS16" i="3"/>
  <c r="BT16" i="3"/>
  <c r="BC17" i="3"/>
  <c r="BD17" i="3"/>
  <c r="BE17" i="3"/>
  <c r="BF17" i="3"/>
  <c r="BG17" i="3"/>
  <c r="BH17" i="3"/>
  <c r="BI17" i="3"/>
  <c r="BJ17" i="3"/>
  <c r="BK17" i="3"/>
  <c r="BM17" i="3"/>
  <c r="BN17" i="3"/>
  <c r="BO17" i="3"/>
  <c r="BP17" i="3"/>
  <c r="BQ17" i="3"/>
  <c r="BS17" i="3"/>
  <c r="BT17" i="3"/>
  <c r="BC18" i="3"/>
  <c r="BD18" i="3"/>
  <c r="BE18" i="3"/>
  <c r="BF18" i="3"/>
  <c r="BG18" i="3"/>
  <c r="BH18" i="3"/>
  <c r="BI18" i="3"/>
  <c r="BJ18" i="3"/>
  <c r="BK18" i="3"/>
  <c r="BM18" i="3"/>
  <c r="BN18" i="3"/>
  <c r="BO18" i="3"/>
  <c r="BP18" i="3"/>
  <c r="BQ18" i="3"/>
  <c r="BS18" i="3"/>
  <c r="BT18" i="3"/>
  <c r="BB19" i="3"/>
  <c r="BD19" i="3"/>
  <c r="BF19" i="3"/>
  <c r="BG19" i="3"/>
  <c r="BH19" i="3"/>
  <c r="BI19" i="3"/>
  <c r="BJ19" i="3"/>
  <c r="BK19" i="3"/>
  <c r="BM19" i="3"/>
  <c r="BN19" i="3"/>
  <c r="BO19" i="3"/>
  <c r="BP19" i="3"/>
  <c r="BQ19" i="3"/>
  <c r="BR19" i="3"/>
  <c r="BS19" i="3"/>
  <c r="BT19" i="3"/>
  <c r="BL19" i="3"/>
  <c r="BB20" i="3"/>
  <c r="BD20" i="3"/>
  <c r="BF20" i="3"/>
  <c r="BG20" i="3"/>
  <c r="BH20" i="3"/>
  <c r="BI20" i="3"/>
  <c r="BJ20" i="3"/>
  <c r="BK20" i="3"/>
  <c r="BM20" i="3"/>
  <c r="BN20" i="3"/>
  <c r="BO20" i="3"/>
  <c r="BP20" i="3"/>
  <c r="BQ20" i="3"/>
  <c r="BR20" i="3"/>
  <c r="BS20" i="3"/>
  <c r="BT20" i="3"/>
  <c r="BL20" i="3"/>
  <c r="BB21" i="3"/>
  <c r="BD21" i="3"/>
  <c r="BF21" i="3"/>
  <c r="BG21" i="3"/>
  <c r="BH21" i="3"/>
  <c r="BI21" i="3"/>
  <c r="BJ21" i="3"/>
  <c r="BK21" i="3"/>
  <c r="BM21" i="3"/>
  <c r="BN21" i="3"/>
  <c r="BO21" i="3"/>
  <c r="BP21" i="3"/>
  <c r="BQ21" i="3"/>
  <c r="BR21" i="3"/>
  <c r="BS21" i="3"/>
  <c r="BT21" i="3"/>
  <c r="BL21" i="3"/>
  <c r="BB22" i="3"/>
  <c r="BD22" i="3"/>
  <c r="BF22" i="3"/>
  <c r="BG22" i="3"/>
  <c r="BH22" i="3"/>
  <c r="BI22" i="3"/>
  <c r="BJ22" i="3"/>
  <c r="BK22" i="3"/>
  <c r="BM22" i="3"/>
  <c r="BN22" i="3"/>
  <c r="BO22" i="3"/>
  <c r="BP22" i="3"/>
  <c r="BQ22" i="3"/>
  <c r="BS22" i="3"/>
  <c r="BT22" i="3"/>
  <c r="BB23" i="3"/>
  <c r="BD23" i="3"/>
  <c r="BF23" i="3"/>
  <c r="BG23" i="3"/>
  <c r="BH23" i="3"/>
  <c r="BI23" i="3"/>
  <c r="BJ23" i="3"/>
  <c r="BK23" i="3"/>
  <c r="BM23" i="3"/>
  <c r="BN23" i="3"/>
  <c r="BO23" i="3"/>
  <c r="BP23" i="3"/>
  <c r="BQ23" i="3"/>
  <c r="BR23" i="3"/>
  <c r="BS23" i="3"/>
  <c r="BT23" i="3"/>
  <c r="BL23" i="3"/>
  <c r="BB24" i="3"/>
  <c r="BD24" i="3"/>
  <c r="BF24" i="3"/>
  <c r="BG24" i="3"/>
  <c r="BH24" i="3"/>
  <c r="BI24" i="3"/>
  <c r="BJ24" i="3"/>
  <c r="BK24" i="3"/>
  <c r="BM24" i="3"/>
  <c r="BN24" i="3"/>
  <c r="BO24" i="3"/>
  <c r="BP24" i="3"/>
  <c r="BQ24" i="3"/>
  <c r="BR24" i="3"/>
  <c r="BS24" i="3"/>
  <c r="BT24" i="3"/>
  <c r="BL24" i="3"/>
  <c r="BB25" i="3"/>
  <c r="BD25" i="3"/>
  <c r="BF25" i="3"/>
  <c r="BG25" i="3"/>
  <c r="BH25" i="3"/>
  <c r="BI25" i="3"/>
  <c r="BJ25" i="3"/>
  <c r="BK25" i="3"/>
  <c r="BM25" i="3"/>
  <c r="BN25" i="3"/>
  <c r="BO25" i="3"/>
  <c r="BP25" i="3"/>
  <c r="BQ25" i="3"/>
  <c r="BR25" i="3"/>
  <c r="BS25" i="3"/>
  <c r="BT25" i="3"/>
  <c r="BL25" i="3"/>
  <c r="BB26" i="3"/>
  <c r="BD26" i="3"/>
  <c r="BF26" i="3"/>
  <c r="BG26" i="3"/>
  <c r="BH26" i="3"/>
  <c r="BI26" i="3"/>
  <c r="BJ26" i="3"/>
  <c r="BK26" i="3"/>
  <c r="BM26" i="3"/>
  <c r="BN26" i="3"/>
  <c r="BO26" i="3"/>
  <c r="BP26" i="3"/>
  <c r="BQ26" i="3"/>
  <c r="BR26" i="3"/>
  <c r="BS26" i="3"/>
  <c r="BT26" i="3"/>
  <c r="BL26" i="3"/>
  <c r="BB27" i="3"/>
  <c r="BD27" i="3"/>
  <c r="BF27" i="3"/>
  <c r="BG27" i="3"/>
  <c r="BH27" i="3"/>
  <c r="BI27" i="3"/>
  <c r="BJ27" i="3"/>
  <c r="BK27" i="3"/>
  <c r="BM27" i="3"/>
  <c r="BN27" i="3"/>
  <c r="BO27" i="3"/>
  <c r="BP27" i="3"/>
  <c r="BQ27" i="3"/>
  <c r="BR27" i="3"/>
  <c r="BS27" i="3"/>
  <c r="BT27" i="3"/>
  <c r="BL27" i="3"/>
  <c r="BB28" i="3"/>
  <c r="BD28" i="3"/>
  <c r="BF28" i="3"/>
  <c r="BG28" i="3"/>
  <c r="BH28" i="3"/>
  <c r="BI28" i="3"/>
  <c r="BJ28" i="3"/>
  <c r="BK28" i="3"/>
  <c r="BM28" i="3"/>
  <c r="BN28" i="3"/>
  <c r="BO28" i="3"/>
  <c r="BP28" i="3"/>
  <c r="BQ28" i="3"/>
  <c r="BR28" i="3"/>
  <c r="BS28" i="3"/>
  <c r="BT28" i="3"/>
  <c r="BL28" i="3"/>
  <c r="BB29" i="3"/>
  <c r="BD29" i="3"/>
  <c r="BF29" i="3"/>
  <c r="BG29" i="3"/>
  <c r="BH29" i="3"/>
  <c r="BI29" i="3"/>
  <c r="BJ29" i="3"/>
  <c r="BK29" i="3"/>
  <c r="BM29" i="3"/>
  <c r="BN29" i="3"/>
  <c r="BO29" i="3"/>
  <c r="BP29" i="3"/>
  <c r="BQ29" i="3"/>
  <c r="BR29" i="3"/>
  <c r="BS29" i="3"/>
  <c r="BT29" i="3"/>
  <c r="BL29" i="3"/>
  <c r="BB30" i="3"/>
  <c r="BD30" i="3"/>
  <c r="BF30" i="3"/>
  <c r="BG30" i="3"/>
  <c r="BH30" i="3"/>
  <c r="BI30" i="3"/>
  <c r="BJ30" i="3"/>
  <c r="BK30" i="3"/>
  <c r="BM30" i="3"/>
  <c r="BN30" i="3"/>
  <c r="BO30" i="3"/>
  <c r="BP30" i="3"/>
  <c r="BQ30" i="3"/>
  <c r="BR30" i="3"/>
  <c r="BS30" i="3"/>
  <c r="BT30" i="3"/>
  <c r="BL30" i="3"/>
  <c r="BB31" i="3"/>
  <c r="BD31" i="3"/>
  <c r="BF31" i="3"/>
  <c r="BG31" i="3"/>
  <c r="BH31" i="3"/>
  <c r="BI31" i="3"/>
  <c r="BJ31" i="3"/>
  <c r="BK31" i="3"/>
  <c r="BM31" i="3"/>
  <c r="BN31" i="3"/>
  <c r="BO31" i="3"/>
  <c r="BP31" i="3"/>
  <c r="BQ31" i="3"/>
  <c r="BR31" i="3"/>
  <c r="BS31" i="3"/>
  <c r="BT31" i="3"/>
  <c r="BL31" i="3"/>
  <c r="BB32" i="3"/>
  <c r="BD32" i="3"/>
  <c r="BF32" i="3"/>
  <c r="BG32" i="3"/>
  <c r="BH32" i="3"/>
  <c r="BI32" i="3"/>
  <c r="BJ32" i="3"/>
  <c r="BK32" i="3"/>
  <c r="BM32" i="3"/>
  <c r="BN32" i="3"/>
  <c r="BO32" i="3"/>
  <c r="BP32" i="3"/>
  <c r="BQ32" i="3"/>
  <c r="BR32" i="3"/>
  <c r="BS32" i="3"/>
  <c r="BT32" i="3"/>
  <c r="BL32" i="3"/>
  <c r="BB33" i="3"/>
  <c r="BD33" i="3"/>
  <c r="BF33" i="3"/>
  <c r="BG33" i="3"/>
  <c r="BH33" i="3"/>
  <c r="BI33" i="3"/>
  <c r="BJ33" i="3"/>
  <c r="BK33" i="3"/>
  <c r="BM33" i="3"/>
  <c r="BN33" i="3"/>
  <c r="BO33" i="3"/>
  <c r="BP33" i="3"/>
  <c r="BQ33" i="3"/>
  <c r="BR33" i="3"/>
  <c r="BS33" i="3"/>
  <c r="BT33" i="3"/>
  <c r="BL33" i="3"/>
  <c r="BB34" i="3"/>
  <c r="BD34" i="3"/>
  <c r="BF34" i="3"/>
  <c r="BG34" i="3"/>
  <c r="BH34" i="3"/>
  <c r="BI34" i="3"/>
  <c r="BJ34" i="3"/>
  <c r="BK34" i="3"/>
  <c r="BM34" i="3"/>
  <c r="BN34" i="3"/>
  <c r="BO34" i="3"/>
  <c r="BP34" i="3"/>
  <c r="BQ34" i="3"/>
  <c r="BR34" i="3"/>
  <c r="BS34" i="3"/>
  <c r="BT34" i="3"/>
  <c r="BL34" i="3"/>
  <c r="BB35" i="3"/>
  <c r="BD35" i="3"/>
  <c r="BF35" i="3"/>
  <c r="BG35" i="3"/>
  <c r="BH35" i="3"/>
  <c r="BI35" i="3"/>
  <c r="BJ35" i="3"/>
  <c r="BK35" i="3"/>
  <c r="BM35" i="3"/>
  <c r="BN35" i="3"/>
  <c r="BO35" i="3"/>
  <c r="BP35" i="3"/>
  <c r="BQ35" i="3"/>
  <c r="BR35" i="3"/>
  <c r="BS35" i="3"/>
  <c r="BT35" i="3"/>
  <c r="BL35" i="3"/>
  <c r="BB36" i="3"/>
  <c r="BD36" i="3"/>
  <c r="BF36" i="3"/>
  <c r="BG36" i="3"/>
  <c r="BH36" i="3"/>
  <c r="BI36" i="3"/>
  <c r="BJ36" i="3"/>
  <c r="BK36" i="3"/>
  <c r="BM36" i="3"/>
  <c r="BN36" i="3"/>
  <c r="BO36" i="3"/>
  <c r="BP36" i="3"/>
  <c r="BQ36" i="3"/>
  <c r="BR36" i="3"/>
  <c r="BS36" i="3"/>
  <c r="BT36" i="3"/>
  <c r="BL36" i="3"/>
  <c r="BB37" i="3"/>
  <c r="BD37" i="3"/>
  <c r="BF37" i="3"/>
  <c r="BG37" i="3"/>
  <c r="BH37" i="3"/>
  <c r="BI37" i="3"/>
  <c r="BJ37" i="3"/>
  <c r="BK37" i="3"/>
  <c r="BM37" i="3"/>
  <c r="BN37" i="3"/>
  <c r="BO37" i="3"/>
  <c r="BP37" i="3"/>
  <c r="BQ37" i="3"/>
  <c r="BR37" i="3"/>
  <c r="BS37" i="3"/>
  <c r="BT37" i="3"/>
  <c r="BL37" i="3"/>
  <c r="BB38" i="3"/>
  <c r="BC38" i="3"/>
  <c r="BF38" i="3"/>
  <c r="BG38" i="3"/>
  <c r="BH38" i="3"/>
  <c r="BI38" i="3"/>
  <c r="BJ38" i="3"/>
  <c r="BK38" i="3"/>
  <c r="BM38" i="3"/>
  <c r="BN38" i="3"/>
  <c r="BO38" i="3"/>
  <c r="BP38" i="3"/>
  <c r="BQ38" i="3"/>
  <c r="BR38" i="3"/>
  <c r="BS38" i="3"/>
  <c r="BT38" i="3"/>
  <c r="BL38" i="3"/>
  <c r="BB39" i="3"/>
  <c r="BC39" i="3"/>
  <c r="BF39" i="3"/>
  <c r="BG39" i="3"/>
  <c r="BH39" i="3"/>
  <c r="BI39" i="3"/>
  <c r="BJ39" i="3"/>
  <c r="BK39" i="3"/>
  <c r="BM39" i="3"/>
  <c r="BN39" i="3"/>
  <c r="BO39" i="3"/>
  <c r="BP39" i="3"/>
  <c r="BQ39" i="3"/>
  <c r="BR39" i="3"/>
  <c r="BS39" i="3"/>
  <c r="BT39" i="3"/>
  <c r="BL39" i="3"/>
  <c r="BB40" i="3"/>
  <c r="BC40" i="3"/>
  <c r="BF40" i="3"/>
  <c r="BG40" i="3"/>
  <c r="BH40" i="3"/>
  <c r="BI40" i="3"/>
  <c r="BJ40" i="3"/>
  <c r="BK40" i="3"/>
  <c r="BM40" i="3"/>
  <c r="BN40" i="3"/>
  <c r="BO40" i="3"/>
  <c r="BP40" i="3"/>
  <c r="BQ40" i="3"/>
  <c r="BR40" i="3"/>
  <c r="BS40" i="3"/>
  <c r="BT40" i="3"/>
  <c r="BL40" i="3"/>
  <c r="BB41" i="3"/>
  <c r="BC41" i="3"/>
  <c r="BF41" i="3"/>
  <c r="BG41" i="3"/>
  <c r="BH41" i="3"/>
  <c r="BI41" i="3"/>
  <c r="BJ41" i="3"/>
  <c r="BK41" i="3"/>
  <c r="BM41" i="3"/>
  <c r="BN41" i="3"/>
  <c r="BO41" i="3"/>
  <c r="BP41" i="3"/>
  <c r="BQ41" i="3"/>
  <c r="BR41" i="3"/>
  <c r="BS41" i="3"/>
  <c r="BT41" i="3"/>
  <c r="BL41" i="3"/>
  <c r="BB42" i="3"/>
  <c r="BC42" i="3"/>
  <c r="BF42" i="3"/>
  <c r="BG42" i="3"/>
  <c r="BH42" i="3"/>
  <c r="BI42" i="3"/>
  <c r="BJ42" i="3"/>
  <c r="BK42" i="3"/>
  <c r="BM42" i="3"/>
  <c r="BN42" i="3"/>
  <c r="BO42" i="3"/>
  <c r="BP42" i="3"/>
  <c r="BQ42" i="3"/>
  <c r="BR42" i="3"/>
  <c r="BS42" i="3"/>
  <c r="BT42" i="3"/>
  <c r="BL42" i="3"/>
  <c r="BB43" i="3"/>
  <c r="BD43" i="3"/>
  <c r="BF43" i="3"/>
  <c r="BG43" i="3"/>
  <c r="BH43" i="3"/>
  <c r="BI43" i="3"/>
  <c r="BJ43" i="3"/>
  <c r="BK43" i="3"/>
  <c r="BM43" i="3"/>
  <c r="BN43" i="3"/>
  <c r="BO43" i="3"/>
  <c r="BP43" i="3"/>
  <c r="BQ43" i="3"/>
  <c r="BR43" i="3"/>
  <c r="BS43" i="3"/>
  <c r="BT43" i="3"/>
  <c r="BL43" i="3"/>
  <c r="BB44" i="3"/>
  <c r="BD44" i="3"/>
  <c r="BF44" i="3"/>
  <c r="BG44" i="3"/>
  <c r="BH44" i="3"/>
  <c r="BI44" i="3"/>
  <c r="BJ44" i="3"/>
  <c r="BK44" i="3"/>
  <c r="BM44" i="3"/>
  <c r="BN44" i="3"/>
  <c r="BO44" i="3"/>
  <c r="BP44" i="3"/>
  <c r="BQ44" i="3"/>
  <c r="BR44" i="3"/>
  <c r="BS44" i="3"/>
  <c r="BT44" i="3"/>
  <c r="BL44" i="3"/>
  <c r="BB45" i="3"/>
  <c r="BD45" i="3"/>
  <c r="BF45" i="3"/>
  <c r="BG45" i="3"/>
  <c r="BH45" i="3"/>
  <c r="BI45" i="3"/>
  <c r="BJ45" i="3"/>
  <c r="BK45" i="3"/>
  <c r="BM45" i="3"/>
  <c r="BN45" i="3"/>
  <c r="BO45" i="3"/>
  <c r="BP45" i="3"/>
  <c r="BQ45" i="3"/>
  <c r="BR45" i="3"/>
  <c r="BS45" i="3"/>
  <c r="BT45" i="3"/>
  <c r="BL45" i="3"/>
  <c r="BB46" i="3"/>
  <c r="BD46" i="3"/>
  <c r="BF46" i="3"/>
  <c r="BG46" i="3"/>
  <c r="BH46" i="3"/>
  <c r="BI46" i="3"/>
  <c r="BJ46" i="3"/>
  <c r="BK46" i="3"/>
  <c r="BM46" i="3"/>
  <c r="BN46" i="3"/>
  <c r="BO46" i="3"/>
  <c r="BP46" i="3"/>
  <c r="BQ46" i="3"/>
  <c r="BR46" i="3"/>
  <c r="BS46" i="3"/>
  <c r="BT46" i="3"/>
  <c r="BL46" i="3"/>
  <c r="BB47" i="3"/>
  <c r="BD47" i="3"/>
  <c r="BF47" i="3"/>
  <c r="BG47" i="3"/>
  <c r="BH47" i="3"/>
  <c r="BI47" i="3"/>
  <c r="BJ47" i="3"/>
  <c r="BK47" i="3"/>
  <c r="BM47" i="3"/>
  <c r="BN47" i="3"/>
  <c r="BO47" i="3"/>
  <c r="BP47" i="3"/>
  <c r="BQ47" i="3"/>
  <c r="BR47" i="3"/>
  <c r="BS47" i="3"/>
  <c r="BT47" i="3"/>
  <c r="BL47" i="3"/>
  <c r="BB48" i="3"/>
  <c r="BD48" i="3"/>
  <c r="BF48" i="3"/>
  <c r="BG48" i="3"/>
  <c r="BH48" i="3"/>
  <c r="BI48" i="3"/>
  <c r="BJ48" i="3"/>
  <c r="BK48" i="3"/>
  <c r="BM48" i="3"/>
  <c r="BN48" i="3"/>
  <c r="BO48" i="3"/>
  <c r="BP48" i="3"/>
  <c r="BQ48" i="3"/>
  <c r="BR48" i="3"/>
  <c r="BS48" i="3"/>
  <c r="BT48" i="3"/>
  <c r="BL48" i="3"/>
  <c r="BB49" i="3"/>
  <c r="BD49" i="3"/>
  <c r="BF49" i="3"/>
  <c r="BG49" i="3"/>
  <c r="BH49" i="3"/>
  <c r="BI49" i="3"/>
  <c r="BJ49" i="3"/>
  <c r="BK49" i="3"/>
  <c r="BM49" i="3"/>
  <c r="BN49" i="3"/>
  <c r="BO49" i="3"/>
  <c r="BP49" i="3"/>
  <c r="BQ49" i="3"/>
  <c r="BR49" i="3"/>
  <c r="BS49" i="3"/>
  <c r="BT49" i="3"/>
  <c r="BL49" i="3"/>
  <c r="BB50" i="3"/>
  <c r="BD50" i="3"/>
  <c r="BF50" i="3"/>
  <c r="BG50" i="3"/>
  <c r="BH50" i="3"/>
  <c r="BI50" i="3"/>
  <c r="BJ50" i="3"/>
  <c r="BK50" i="3"/>
  <c r="BM50" i="3"/>
  <c r="BN50" i="3"/>
  <c r="BO50" i="3"/>
  <c r="BP50" i="3"/>
  <c r="BQ50" i="3"/>
  <c r="BR50" i="3"/>
  <c r="BS50" i="3"/>
  <c r="BT50" i="3"/>
  <c r="BL50" i="3"/>
  <c r="BB51" i="3"/>
  <c r="BD51" i="3"/>
  <c r="BF51" i="3"/>
  <c r="BG51" i="3"/>
  <c r="BH51" i="3"/>
  <c r="BI51" i="3"/>
  <c r="BJ51" i="3"/>
  <c r="BK51" i="3"/>
  <c r="BM51" i="3"/>
  <c r="BN51" i="3"/>
  <c r="BO51" i="3"/>
  <c r="BP51" i="3"/>
  <c r="BQ51" i="3"/>
  <c r="BR51" i="3"/>
  <c r="BS51" i="3"/>
  <c r="BT51" i="3"/>
  <c r="BL51" i="3"/>
  <c r="BB52" i="3"/>
  <c r="BD52" i="3"/>
  <c r="BF52" i="3"/>
  <c r="BG52" i="3"/>
  <c r="BH52" i="3"/>
  <c r="BI52" i="3"/>
  <c r="BJ52" i="3"/>
  <c r="BK52" i="3"/>
  <c r="BM52" i="3"/>
  <c r="BN52" i="3"/>
  <c r="BO52" i="3"/>
  <c r="BP52" i="3"/>
  <c r="BQ52" i="3"/>
  <c r="BR52" i="3"/>
  <c r="BS52" i="3"/>
  <c r="BT52" i="3"/>
  <c r="BL52" i="3"/>
  <c r="BB53" i="3"/>
  <c r="BD53" i="3"/>
  <c r="BF53" i="3"/>
  <c r="BG53" i="3"/>
  <c r="BH53" i="3"/>
  <c r="BI53" i="3"/>
  <c r="BJ53" i="3"/>
  <c r="BK53" i="3"/>
  <c r="BM53" i="3"/>
  <c r="BN53" i="3"/>
  <c r="BO53" i="3"/>
  <c r="BP53" i="3"/>
  <c r="BQ53" i="3"/>
  <c r="BR53" i="3"/>
  <c r="BS53" i="3"/>
  <c r="BT53" i="3"/>
  <c r="BL53" i="3"/>
  <c r="BB54" i="3"/>
  <c r="BD54" i="3"/>
  <c r="BF54" i="3"/>
  <c r="BG54" i="3"/>
  <c r="BH54" i="3"/>
  <c r="BI54" i="3"/>
  <c r="BJ54" i="3"/>
  <c r="BK54" i="3"/>
  <c r="BM54" i="3"/>
  <c r="BN54" i="3"/>
  <c r="BO54" i="3"/>
  <c r="BP54" i="3"/>
  <c r="BQ54" i="3"/>
  <c r="BR54" i="3"/>
  <c r="BS54" i="3"/>
  <c r="BT54" i="3"/>
  <c r="BL54" i="3"/>
  <c r="BB55" i="3"/>
  <c r="BD55" i="3"/>
  <c r="BF55" i="3"/>
  <c r="BG55" i="3"/>
  <c r="BH55" i="3"/>
  <c r="BI55" i="3"/>
  <c r="BJ55" i="3"/>
  <c r="BK55" i="3"/>
  <c r="BM55" i="3"/>
  <c r="BN55" i="3"/>
  <c r="BO55" i="3"/>
  <c r="BP55" i="3"/>
  <c r="BQ55" i="3"/>
  <c r="BR55" i="3"/>
  <c r="BS55" i="3"/>
  <c r="BT55" i="3"/>
  <c r="BL55" i="3"/>
  <c r="BB56" i="3"/>
  <c r="BD56" i="3"/>
  <c r="BF56" i="3"/>
  <c r="BG56" i="3"/>
  <c r="BH56" i="3"/>
  <c r="BI56" i="3"/>
  <c r="BJ56" i="3"/>
  <c r="BK56" i="3"/>
  <c r="BM56" i="3"/>
  <c r="BN56" i="3"/>
  <c r="BO56" i="3"/>
  <c r="BP56" i="3"/>
  <c r="BQ56" i="3"/>
  <c r="BR56" i="3"/>
  <c r="BS56" i="3"/>
  <c r="BT56" i="3"/>
  <c r="BL56" i="3"/>
  <c r="BB57" i="3"/>
  <c r="BC57" i="3"/>
  <c r="BF57" i="3"/>
  <c r="BG57" i="3"/>
  <c r="BH57" i="3"/>
  <c r="BI57" i="3"/>
  <c r="BJ57" i="3"/>
  <c r="BK57" i="3"/>
  <c r="BM57" i="3"/>
  <c r="BN57" i="3"/>
  <c r="BO57" i="3"/>
  <c r="BP57" i="3"/>
  <c r="BQ57" i="3"/>
  <c r="BR57" i="3"/>
  <c r="BS57" i="3"/>
  <c r="BT57" i="3"/>
  <c r="BL57" i="3"/>
  <c r="BB58" i="3"/>
  <c r="BC58" i="3"/>
  <c r="BF58" i="3"/>
  <c r="BG58" i="3"/>
  <c r="BH58" i="3"/>
  <c r="BI58" i="3"/>
  <c r="BJ58" i="3"/>
  <c r="BK58" i="3"/>
  <c r="BM58" i="3"/>
  <c r="BN58" i="3"/>
  <c r="BO58" i="3"/>
  <c r="BP58" i="3"/>
  <c r="BQ58" i="3"/>
  <c r="BR58" i="3"/>
  <c r="BS58" i="3"/>
  <c r="BT58" i="3"/>
  <c r="BL58" i="3"/>
  <c r="BB59" i="3"/>
  <c r="BC59" i="3"/>
  <c r="BF59" i="3"/>
  <c r="BG59" i="3"/>
  <c r="BH59" i="3"/>
  <c r="BI59" i="3"/>
  <c r="BJ59" i="3"/>
  <c r="BK59" i="3"/>
  <c r="BM59" i="3"/>
  <c r="BN59" i="3"/>
  <c r="BO59" i="3"/>
  <c r="BP59" i="3"/>
  <c r="BQ59" i="3"/>
  <c r="BR59" i="3"/>
  <c r="BS59" i="3"/>
  <c r="BT59" i="3"/>
  <c r="BL59" i="3"/>
  <c r="BB60" i="3"/>
  <c r="BC60" i="3"/>
  <c r="BF60" i="3"/>
  <c r="BG60" i="3"/>
  <c r="BH60" i="3"/>
  <c r="BI60" i="3"/>
  <c r="BJ60" i="3"/>
  <c r="BK60" i="3"/>
  <c r="BM60" i="3"/>
  <c r="BN60" i="3"/>
  <c r="BO60" i="3"/>
  <c r="BP60" i="3"/>
  <c r="BQ60" i="3"/>
  <c r="BR60" i="3"/>
  <c r="BS60" i="3"/>
  <c r="BT60" i="3"/>
  <c r="BL60" i="3"/>
  <c r="BB61" i="3"/>
  <c r="BC61" i="3"/>
  <c r="BF61" i="3"/>
  <c r="BG61" i="3"/>
  <c r="BH61" i="3"/>
  <c r="BI61" i="3"/>
  <c r="BJ61" i="3"/>
  <c r="BK61" i="3"/>
  <c r="BM61" i="3"/>
  <c r="BN61" i="3"/>
  <c r="BO61" i="3"/>
  <c r="BP61" i="3"/>
  <c r="BQ61" i="3"/>
  <c r="BR61" i="3"/>
  <c r="BS61" i="3"/>
  <c r="BT61" i="3"/>
  <c r="BL61" i="3"/>
  <c r="BB62" i="3"/>
  <c r="BC62" i="3"/>
  <c r="BF62" i="3"/>
  <c r="BG62" i="3"/>
  <c r="BH62" i="3"/>
  <c r="BI62" i="3"/>
  <c r="BJ62" i="3"/>
  <c r="BK62" i="3"/>
  <c r="BM62" i="3"/>
  <c r="BN62" i="3"/>
  <c r="BO62" i="3"/>
  <c r="BP62" i="3"/>
  <c r="BQ62" i="3"/>
  <c r="BR62" i="3"/>
  <c r="BS62" i="3"/>
  <c r="BT62" i="3"/>
  <c r="BL62" i="3"/>
  <c r="BB63" i="3"/>
  <c r="BC63" i="3"/>
  <c r="BF63" i="3"/>
  <c r="BG63" i="3"/>
  <c r="BH63" i="3"/>
  <c r="BI63" i="3"/>
  <c r="BJ63" i="3"/>
  <c r="BK63" i="3"/>
  <c r="BM63" i="3"/>
  <c r="BN63" i="3"/>
  <c r="BO63" i="3"/>
  <c r="BP63" i="3"/>
  <c r="BQ63" i="3"/>
  <c r="BR63" i="3"/>
  <c r="BS63" i="3"/>
  <c r="BT63" i="3"/>
  <c r="BL63" i="3"/>
  <c r="BB64" i="3"/>
  <c r="BC64" i="3"/>
  <c r="BF64" i="3"/>
  <c r="BG64" i="3"/>
  <c r="BH64" i="3"/>
  <c r="BI64" i="3"/>
  <c r="BJ64" i="3"/>
  <c r="BK64" i="3"/>
  <c r="BM64" i="3"/>
  <c r="BN64" i="3"/>
  <c r="BO64" i="3"/>
  <c r="BP64" i="3"/>
  <c r="BQ64" i="3"/>
  <c r="BR64" i="3"/>
  <c r="BS64" i="3"/>
  <c r="BT64" i="3"/>
  <c r="BL64" i="3"/>
  <c r="BB65" i="3"/>
  <c r="BC65" i="3"/>
  <c r="BF65" i="3"/>
  <c r="BG65" i="3"/>
  <c r="BH65" i="3"/>
  <c r="BI65" i="3"/>
  <c r="BJ65" i="3"/>
  <c r="BK65" i="3"/>
  <c r="BM65" i="3"/>
  <c r="BN65" i="3"/>
  <c r="BO65" i="3"/>
  <c r="BP65" i="3"/>
  <c r="BQ65" i="3"/>
  <c r="BS65" i="3"/>
  <c r="BT65" i="3"/>
  <c r="BB66" i="3"/>
  <c r="BC66" i="3"/>
  <c r="BF66" i="3"/>
  <c r="BG66" i="3"/>
  <c r="BH66" i="3"/>
  <c r="BI66" i="3"/>
  <c r="BJ66" i="3"/>
  <c r="BK66" i="3"/>
  <c r="BM66" i="3"/>
  <c r="BN66" i="3"/>
  <c r="BO66" i="3"/>
  <c r="BP66" i="3"/>
  <c r="BQ66" i="3"/>
  <c r="BR66" i="3"/>
  <c r="BS66" i="3"/>
  <c r="BT66" i="3"/>
  <c r="BL66" i="3"/>
  <c r="BB67" i="3"/>
  <c r="BC67" i="3"/>
  <c r="BF67" i="3"/>
  <c r="BG67" i="3"/>
  <c r="BH67" i="3"/>
  <c r="BI67" i="3"/>
  <c r="BJ67" i="3"/>
  <c r="BK67" i="3"/>
  <c r="BM67" i="3"/>
  <c r="BN67" i="3"/>
  <c r="BO67" i="3"/>
  <c r="BP67" i="3"/>
  <c r="BQ67" i="3"/>
  <c r="BR67" i="3"/>
  <c r="BS67" i="3"/>
  <c r="BT67" i="3"/>
  <c r="BL67" i="3"/>
  <c r="BB68" i="3"/>
  <c r="BC68" i="3"/>
  <c r="BF68" i="3"/>
  <c r="BG68" i="3"/>
  <c r="BH68" i="3"/>
  <c r="BI68" i="3"/>
  <c r="BJ68" i="3"/>
  <c r="BK68" i="3"/>
  <c r="BM68" i="3"/>
  <c r="BN68" i="3"/>
  <c r="BO68" i="3"/>
  <c r="BP68" i="3"/>
  <c r="BQ68" i="3"/>
  <c r="BR68" i="3"/>
  <c r="BS68" i="3"/>
  <c r="BT68" i="3"/>
  <c r="BL68" i="3"/>
  <c r="BB69" i="3"/>
  <c r="BC69" i="3"/>
  <c r="BF69" i="3"/>
  <c r="BG69" i="3"/>
  <c r="BH69" i="3"/>
  <c r="BI69" i="3"/>
  <c r="BJ69" i="3"/>
  <c r="BK69" i="3"/>
  <c r="BM69" i="3"/>
  <c r="BN69" i="3"/>
  <c r="BO69" i="3"/>
  <c r="BP69" i="3"/>
  <c r="BQ69" i="3"/>
  <c r="BR69" i="3"/>
  <c r="BS69" i="3"/>
  <c r="BT69" i="3"/>
  <c r="BL69" i="3"/>
  <c r="BB70" i="3"/>
  <c r="BC70" i="3"/>
  <c r="BF70" i="3"/>
  <c r="BG70" i="3"/>
  <c r="BH70" i="3"/>
  <c r="BI70" i="3"/>
  <c r="BJ70" i="3"/>
  <c r="BK70" i="3"/>
  <c r="BM70" i="3"/>
  <c r="BN70" i="3"/>
  <c r="BO70" i="3"/>
  <c r="BP70" i="3"/>
  <c r="BQ70" i="3"/>
  <c r="BR70" i="3"/>
  <c r="BS70" i="3"/>
  <c r="BT70" i="3"/>
  <c r="BL70" i="3"/>
  <c r="BB71" i="3"/>
  <c r="BC71" i="3"/>
  <c r="BF71" i="3"/>
  <c r="BG71" i="3"/>
  <c r="BH71" i="3"/>
  <c r="BI71" i="3"/>
  <c r="BJ71" i="3"/>
  <c r="BK71" i="3"/>
  <c r="BM71" i="3"/>
  <c r="BN71" i="3"/>
  <c r="BO71" i="3"/>
  <c r="BP71" i="3"/>
  <c r="BQ71" i="3"/>
  <c r="BR71" i="3"/>
  <c r="BS71" i="3"/>
  <c r="BT71" i="3"/>
  <c r="BL71" i="3"/>
  <c r="BB72" i="3"/>
  <c r="BC72" i="3"/>
  <c r="BF72" i="3"/>
  <c r="BG72" i="3"/>
  <c r="BH72" i="3"/>
  <c r="BI72" i="3"/>
  <c r="BJ72" i="3"/>
  <c r="BK72" i="3"/>
  <c r="BM72" i="3"/>
  <c r="BN72" i="3"/>
  <c r="BO72" i="3"/>
  <c r="BP72" i="3"/>
  <c r="BQ72" i="3"/>
  <c r="BR72" i="3"/>
  <c r="BS72" i="3"/>
  <c r="BT72" i="3"/>
  <c r="BL72" i="3"/>
  <c r="BB73" i="3"/>
  <c r="BC73" i="3"/>
  <c r="BF73" i="3"/>
  <c r="BG73" i="3"/>
  <c r="BH73" i="3"/>
  <c r="BI73" i="3"/>
  <c r="BJ73" i="3"/>
  <c r="BK73" i="3"/>
  <c r="BM73" i="3"/>
  <c r="BN73" i="3"/>
  <c r="BO73" i="3"/>
  <c r="BP73" i="3"/>
  <c r="BQ73" i="3"/>
  <c r="BR73" i="3"/>
  <c r="BS73" i="3"/>
  <c r="BT73" i="3"/>
  <c r="BL73" i="3"/>
  <c r="BB74" i="3"/>
  <c r="BC74" i="3"/>
  <c r="BF74" i="3"/>
  <c r="BG74" i="3"/>
  <c r="BH74" i="3"/>
  <c r="BI74" i="3"/>
  <c r="BJ74" i="3"/>
  <c r="BK74" i="3"/>
  <c r="BM74" i="3"/>
  <c r="BN74" i="3"/>
  <c r="BO74" i="3"/>
  <c r="BP74" i="3"/>
  <c r="BQ74" i="3"/>
  <c r="BR74" i="3"/>
  <c r="BS74" i="3"/>
  <c r="BT74" i="3"/>
  <c r="BL74" i="3"/>
  <c r="BB75" i="3"/>
  <c r="BC75" i="3"/>
  <c r="BF75" i="3"/>
  <c r="BG75" i="3"/>
  <c r="BH75" i="3"/>
  <c r="BI75" i="3"/>
  <c r="BJ75" i="3"/>
  <c r="BK75" i="3"/>
  <c r="BM75" i="3"/>
  <c r="BN75" i="3"/>
  <c r="BO75" i="3"/>
  <c r="BP75" i="3"/>
  <c r="BQ75" i="3"/>
  <c r="BR75" i="3"/>
  <c r="BS75" i="3"/>
  <c r="BT75" i="3"/>
  <c r="BL75" i="3"/>
  <c r="BB76" i="3"/>
  <c r="BC76" i="3"/>
  <c r="BF76" i="3"/>
  <c r="BG76" i="3"/>
  <c r="BH76" i="3"/>
  <c r="BI76" i="3"/>
  <c r="BJ76" i="3"/>
  <c r="BK76" i="3"/>
  <c r="BM76" i="3"/>
  <c r="BN76" i="3"/>
  <c r="BO76" i="3"/>
  <c r="BP76" i="3"/>
  <c r="BQ76" i="3"/>
  <c r="BR76" i="3"/>
  <c r="BS76" i="3"/>
  <c r="BT76" i="3"/>
  <c r="BL76" i="3"/>
  <c r="BB77" i="3"/>
  <c r="BC77" i="3"/>
  <c r="BG77" i="3"/>
  <c r="BH77" i="3"/>
  <c r="BI77" i="3"/>
  <c r="BJ77" i="3"/>
  <c r="BK77" i="3"/>
  <c r="BO77" i="3"/>
  <c r="BP77" i="3"/>
  <c r="BQ77" i="3"/>
  <c r="BS77" i="3"/>
  <c r="BT77" i="3"/>
  <c r="BB78" i="3"/>
  <c r="BC78" i="3"/>
  <c r="BD78" i="3"/>
  <c r="BE78" i="3"/>
  <c r="BF78" i="3"/>
  <c r="BG78" i="3"/>
  <c r="BH78" i="3"/>
  <c r="BI78" i="3"/>
  <c r="BJ78" i="3"/>
  <c r="BK78" i="3"/>
  <c r="BN78" i="3"/>
  <c r="BO78" i="3"/>
  <c r="BP78" i="3"/>
  <c r="BQ78" i="3"/>
  <c r="BR78" i="3"/>
  <c r="BS78" i="3"/>
  <c r="BT78" i="3"/>
  <c r="H13" i="3"/>
  <c r="H14" i="3"/>
  <c r="H15" i="3"/>
  <c r="H16" i="3"/>
  <c r="AC19" i="3"/>
  <c r="AC20" i="3"/>
  <c r="AC21"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6" i="3"/>
  <c r="AC67" i="3"/>
  <c r="AC68" i="3"/>
  <c r="AC69" i="3"/>
  <c r="AC70" i="3"/>
  <c r="AC71" i="3"/>
  <c r="AC72" i="3"/>
  <c r="AC73" i="3"/>
  <c r="AC74" i="3"/>
  <c r="AC75" i="3"/>
  <c r="AC76" i="3"/>
  <c r="H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BT99" i="3"/>
  <c r="BS99" i="3"/>
  <c r="BR99" i="3"/>
  <c r="BQ99" i="3"/>
  <c r="BP99" i="3"/>
  <c r="BO99" i="3"/>
  <c r="BN99" i="3"/>
  <c r="BM99" i="3"/>
  <c r="BL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c r="AX98" i="3"/>
  <c r="AW98" i="3"/>
  <c r="AV98" i="3"/>
  <c r="BT97" i="3"/>
  <c r="BS97" i="3"/>
  <c r="BR97" i="3"/>
  <c r="BQ97" i="3"/>
  <c r="BP97" i="3"/>
  <c r="BO97" i="3"/>
  <c r="BN97" i="3"/>
  <c r="BM97" i="3"/>
  <c r="BL97" i="3"/>
  <c r="BK97" i="3"/>
  <c r="BJ97" i="3"/>
  <c r="BI97" i="3"/>
  <c r="BH97" i="3"/>
  <c r="BG97" i="3"/>
  <c r="BF97" i="3"/>
  <c r="BE97" i="3"/>
  <c r="BD97" i="3"/>
  <c r="BC97" i="3"/>
  <c r="BB97" i="3"/>
  <c r="BA97" i="3"/>
  <c r="AZ97" i="3"/>
  <c r="AX97" i="3"/>
  <c r="AW97" i="3"/>
  <c r="AV97" i="3"/>
  <c r="BT96" i="3"/>
  <c r="BS96" i="3"/>
  <c r="BR96" i="3"/>
  <c r="BQ96" i="3"/>
  <c r="BP96" i="3"/>
  <c r="BO96" i="3"/>
  <c r="BN96" i="3"/>
  <c r="BM96" i="3"/>
  <c r="BL96" i="3"/>
  <c r="BK96" i="3"/>
  <c r="BJ96" i="3"/>
  <c r="BI96" i="3"/>
  <c r="BH96" i="3"/>
  <c r="BG96" i="3"/>
  <c r="BF96" i="3"/>
  <c r="BE96" i="3"/>
  <c r="BD96" i="3"/>
  <c r="BC96" i="3"/>
  <c r="BB96" i="3"/>
  <c r="BA96" i="3"/>
  <c r="AZ96" i="3"/>
  <c r="AX96" i="3"/>
  <c r="AW96" i="3"/>
  <c r="AV96" i="3"/>
  <c r="BT95" i="3"/>
  <c r="BS95" i="3"/>
  <c r="BR95" i="3"/>
  <c r="BQ95" i="3"/>
  <c r="BP95" i="3"/>
  <c r="BO95" i="3"/>
  <c r="BN95" i="3"/>
  <c r="BM95" i="3"/>
  <c r="BL95" i="3"/>
  <c r="BK95" i="3"/>
  <c r="BJ95" i="3"/>
  <c r="BI95" i="3"/>
  <c r="BH95" i="3"/>
  <c r="BG95" i="3"/>
  <c r="BF95" i="3"/>
  <c r="BE95" i="3"/>
  <c r="BD95" i="3"/>
  <c r="BC95" i="3"/>
  <c r="BB95" i="3"/>
  <c r="BA95" i="3"/>
  <c r="AZ95" i="3"/>
  <c r="AX95" i="3"/>
  <c r="AW95" i="3"/>
  <c r="AV95" i="3"/>
  <c r="BT94" i="3"/>
  <c r="BS94" i="3"/>
  <c r="BR94" i="3"/>
  <c r="BQ94" i="3"/>
  <c r="BP94" i="3"/>
  <c r="BO94" i="3"/>
  <c r="BN94" i="3"/>
  <c r="BM94" i="3"/>
  <c r="BL94" i="3"/>
  <c r="BK94" i="3"/>
  <c r="BJ94" i="3"/>
  <c r="BI94" i="3"/>
  <c r="BH94" i="3"/>
  <c r="BG94" i="3"/>
  <c r="BF94" i="3"/>
  <c r="BE94" i="3"/>
  <c r="BD94" i="3"/>
  <c r="BC94" i="3"/>
  <c r="BB94" i="3"/>
  <c r="BA94" i="3"/>
  <c r="AX94" i="3"/>
  <c r="AW94" i="3"/>
  <c r="AV94" i="3"/>
  <c r="BT93" i="3"/>
  <c r="BS93" i="3"/>
  <c r="BR93" i="3"/>
  <c r="BQ93" i="3"/>
  <c r="BP93" i="3"/>
  <c r="BO93" i="3"/>
  <c r="BN93" i="3"/>
  <c r="BM93" i="3"/>
  <c r="BL93" i="3"/>
  <c r="BK93" i="3"/>
  <c r="BJ93" i="3"/>
  <c r="BI93" i="3"/>
  <c r="BH93" i="3"/>
  <c r="BG93" i="3"/>
  <c r="BF93" i="3"/>
  <c r="BE93" i="3"/>
  <c r="BD93" i="3"/>
  <c r="BC93" i="3"/>
  <c r="BB93" i="3"/>
  <c r="BA93" i="3"/>
  <c r="AZ93" i="3"/>
  <c r="AX93" i="3"/>
  <c r="AW93" i="3"/>
  <c r="AV93" i="3"/>
  <c r="BT92" i="3"/>
  <c r="BS92" i="3"/>
  <c r="BR92" i="3"/>
  <c r="BQ92" i="3"/>
  <c r="BP92" i="3"/>
  <c r="BO92" i="3"/>
  <c r="BN92" i="3"/>
  <c r="BM92" i="3"/>
  <c r="BL92" i="3"/>
  <c r="BK92" i="3"/>
  <c r="BJ92" i="3"/>
  <c r="BI92" i="3"/>
  <c r="BH92" i="3"/>
  <c r="BG92" i="3"/>
  <c r="BF92" i="3"/>
  <c r="BE92" i="3"/>
  <c r="BD92" i="3"/>
  <c r="BC92" i="3"/>
  <c r="BB92" i="3"/>
  <c r="BA92" i="3"/>
  <c r="AZ92" i="3"/>
  <c r="AX92" i="3"/>
  <c r="AW92" i="3"/>
  <c r="AV92" i="3"/>
  <c r="BT91" i="3"/>
  <c r="BS91" i="3"/>
  <c r="BR91" i="3"/>
  <c r="BQ91" i="3"/>
  <c r="BP91" i="3"/>
  <c r="BO91" i="3"/>
  <c r="BN91" i="3"/>
  <c r="BM91" i="3"/>
  <c r="BL91" i="3"/>
  <c r="BK91" i="3"/>
  <c r="BJ91" i="3"/>
  <c r="BI91" i="3"/>
  <c r="BH91" i="3"/>
  <c r="BG91" i="3"/>
  <c r="BF91" i="3"/>
  <c r="BE91" i="3"/>
  <c r="BD91" i="3"/>
  <c r="BC91" i="3"/>
  <c r="BB91" i="3"/>
  <c r="BA91" i="3"/>
  <c r="AX91" i="3"/>
  <c r="AW91" i="3"/>
  <c r="AV91" i="3"/>
  <c r="BT90" i="3"/>
  <c r="BS90" i="3"/>
  <c r="BR90" i="3"/>
  <c r="BQ90" i="3"/>
  <c r="BP90" i="3"/>
  <c r="BO90" i="3"/>
  <c r="BN90" i="3"/>
  <c r="BM90" i="3"/>
  <c r="BL90" i="3"/>
  <c r="BK90" i="3"/>
  <c r="BJ90" i="3"/>
  <c r="BI90" i="3"/>
  <c r="BH90" i="3"/>
  <c r="BG90" i="3"/>
  <c r="BF90" i="3"/>
  <c r="BE90" i="3"/>
  <c r="BD90" i="3"/>
  <c r="BC90" i="3"/>
  <c r="BB90" i="3"/>
  <c r="BA90" i="3"/>
  <c r="AX90" i="3"/>
  <c r="AW90" i="3"/>
  <c r="AV90" i="3"/>
  <c r="BT89" i="3"/>
  <c r="BS89" i="3"/>
  <c r="BR89" i="3"/>
  <c r="BQ89" i="3"/>
  <c r="BP89" i="3"/>
  <c r="BO89" i="3"/>
  <c r="BN89" i="3"/>
  <c r="BM89" i="3"/>
  <c r="BL89" i="3"/>
  <c r="BK89" i="3"/>
  <c r="BJ89" i="3"/>
  <c r="BI89" i="3"/>
  <c r="BH89" i="3"/>
  <c r="BG89" i="3"/>
  <c r="BF89" i="3"/>
  <c r="BE89" i="3"/>
  <c r="BD89" i="3"/>
  <c r="BC89" i="3"/>
  <c r="BB89" i="3"/>
  <c r="BA89" i="3"/>
  <c r="AZ89" i="3"/>
  <c r="AX89" i="3"/>
  <c r="AW89" i="3"/>
  <c r="AV89" i="3"/>
  <c r="BT88" i="3"/>
  <c r="BS88" i="3"/>
  <c r="BR88" i="3"/>
  <c r="BQ88" i="3"/>
  <c r="BP88" i="3"/>
  <c r="BO88" i="3"/>
  <c r="BN88" i="3"/>
  <c r="BM88" i="3"/>
  <c r="BL88" i="3"/>
  <c r="BK88" i="3"/>
  <c r="BJ88" i="3"/>
  <c r="BI88" i="3"/>
  <c r="BH88" i="3"/>
  <c r="BG88" i="3"/>
  <c r="BF88" i="3"/>
  <c r="BE88" i="3"/>
  <c r="BD88" i="3"/>
  <c r="BC88" i="3"/>
  <c r="BB88" i="3"/>
  <c r="BA88" i="3"/>
  <c r="AZ88" i="3"/>
  <c r="AX88" i="3"/>
  <c r="AW88" i="3"/>
  <c r="AV88" i="3"/>
  <c r="BT87" i="3"/>
  <c r="BS87" i="3"/>
  <c r="BR87" i="3"/>
  <c r="BQ87" i="3"/>
  <c r="BP87" i="3"/>
  <c r="BO87" i="3"/>
  <c r="BN87" i="3"/>
  <c r="BM87" i="3"/>
  <c r="BL87" i="3"/>
  <c r="BK87" i="3"/>
  <c r="BJ87" i="3"/>
  <c r="BI87" i="3"/>
  <c r="BH87" i="3"/>
  <c r="BG87" i="3"/>
  <c r="BF87" i="3"/>
  <c r="BE87" i="3"/>
  <c r="BD87" i="3"/>
  <c r="BC87" i="3"/>
  <c r="BB87" i="3"/>
  <c r="BA87" i="3"/>
  <c r="AZ87" i="3"/>
  <c r="AX87" i="3"/>
  <c r="AW87" i="3"/>
  <c r="AV87" i="3"/>
  <c r="BT86" i="3"/>
  <c r="BS86" i="3"/>
  <c r="BR86" i="3"/>
  <c r="BQ86" i="3"/>
  <c r="BP86" i="3"/>
  <c r="BO86" i="3"/>
  <c r="BN86" i="3"/>
  <c r="BM86" i="3"/>
  <c r="BL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c r="AZ85" i="3"/>
  <c r="AX85" i="3"/>
  <c r="AW85" i="3"/>
  <c r="AV85" i="3"/>
  <c r="BT84" i="3"/>
  <c r="BS84" i="3"/>
  <c r="BR84" i="3"/>
  <c r="BQ84" i="3"/>
  <c r="BP84" i="3"/>
  <c r="BO84" i="3"/>
  <c r="BN84" i="3"/>
  <c r="BM84" i="3"/>
  <c r="BL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c r="AZ83" i="3"/>
  <c r="AX83" i="3"/>
  <c r="AW83" i="3"/>
  <c r="AV83" i="3"/>
  <c r="BT82" i="3"/>
  <c r="BS82" i="3"/>
  <c r="BR82" i="3"/>
  <c r="BQ82" i="3"/>
  <c r="BP82" i="3"/>
  <c r="BO82" i="3"/>
  <c r="BN82" i="3"/>
  <c r="BM82" i="3"/>
  <c r="BL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c r="AZ81" i="3"/>
  <c r="AX81" i="3"/>
  <c r="AW81" i="3"/>
  <c r="AV81" i="3"/>
  <c r="BT80" i="3"/>
  <c r="BS80" i="3"/>
  <c r="BR80" i="3"/>
  <c r="BQ80" i="3"/>
  <c r="BP80" i="3"/>
  <c r="BO80" i="3"/>
  <c r="BN80" i="3"/>
  <c r="BM80" i="3"/>
  <c r="BL80" i="3"/>
  <c r="BK80" i="3"/>
  <c r="BJ80" i="3"/>
  <c r="BI80" i="3"/>
  <c r="BH80" i="3"/>
  <c r="BG80" i="3"/>
  <c r="BF80" i="3"/>
  <c r="BE80" i="3"/>
  <c r="BD80" i="3"/>
  <c r="BC80" i="3"/>
  <c r="BB80" i="3"/>
  <c r="BA80" i="3"/>
  <c r="AZ80" i="3"/>
  <c r="AX80" i="3"/>
  <c r="AW80" i="3"/>
  <c r="AV80" i="3"/>
  <c r="BT79" i="3"/>
  <c r="BS79" i="3"/>
  <c r="BR79" i="3"/>
  <c r="BQ79" i="3"/>
  <c r="BP79" i="3"/>
  <c r="BO79" i="3"/>
  <c r="BN79" i="3"/>
  <c r="BM79" i="3"/>
  <c r="BL79" i="3"/>
  <c r="BK79" i="3"/>
  <c r="BJ79" i="3"/>
  <c r="BI79" i="3"/>
  <c r="BH79" i="3"/>
  <c r="BG79" i="3"/>
  <c r="BF79" i="3"/>
  <c r="BE79" i="3"/>
  <c r="BD79" i="3"/>
  <c r="BC79" i="3"/>
  <c r="BB79" i="3"/>
  <c r="BA79"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J20" i="46"/>
  <c r="C18" i="46"/>
  <c r="F15" i="46"/>
  <c r="E15" i="46"/>
  <c r="D15" i="46"/>
  <c r="C15" i="46"/>
  <c r="C10" i="46"/>
  <c r="C11" i="46"/>
  <c r="C9" i="4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N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BK5" i="3"/>
  <c r="BO5" i="3"/>
  <c r="BP5" i="3"/>
  <c r="BS5" i="3"/>
  <c r="BQ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0" i="52"/>
  <c r="D24" i="15"/>
  <c r="G6" i="1"/>
  <c r="AE11" i="46"/>
  <c r="AE13" i="46"/>
  <c r="F28" i="6"/>
  <c r="AJ11" i="46"/>
  <c r="AJ13" i="46"/>
  <c r="G101" i="46"/>
  <c r="G102" i="46"/>
  <c r="I101" i="46"/>
  <c r="I102" i="46"/>
  <c r="J101" i="46"/>
  <c r="K101" i="46"/>
  <c r="K102" i="46"/>
  <c r="L101" i="46"/>
  <c r="M101" i="46"/>
  <c r="M102" i="46"/>
  <c r="N101" i="46"/>
  <c r="G103" i="46"/>
  <c r="K103" i="46"/>
  <c r="G104" i="46"/>
  <c r="K104" i="46"/>
  <c r="N104" i="46"/>
  <c r="H105" i="46"/>
  <c r="J105" i="46"/>
  <c r="L105" i="46"/>
  <c r="N105" i="46"/>
  <c r="H106" i="46"/>
  <c r="J106" i="46"/>
  <c r="L106" i="46"/>
  <c r="N106" i="46"/>
  <c r="H107" i="46"/>
  <c r="J107" i="46"/>
  <c r="L107" i="46"/>
  <c r="N107" i="46"/>
  <c r="C101" i="46"/>
  <c r="C102" i="46"/>
  <c r="D101" i="46"/>
  <c r="D102" i="46"/>
  <c r="E101" i="46"/>
  <c r="E102" i="46"/>
  <c r="F101" i="46"/>
  <c r="F102" i="46"/>
  <c r="H102" i="46"/>
  <c r="J102" i="46"/>
  <c r="L102" i="46"/>
  <c r="N102" i="46"/>
  <c r="C103" i="46"/>
  <c r="D103" i="46"/>
  <c r="E103" i="46"/>
  <c r="F103" i="46"/>
  <c r="H103" i="46"/>
  <c r="I103" i="46"/>
  <c r="J103" i="46"/>
  <c r="L103" i="46"/>
  <c r="M103" i="46"/>
  <c r="N103" i="46"/>
  <c r="C104" i="46"/>
  <c r="D104" i="46"/>
  <c r="E104" i="46"/>
  <c r="F104" i="46"/>
  <c r="H104" i="46"/>
  <c r="I104" i="46"/>
  <c r="J104" i="46"/>
  <c r="L104" i="46"/>
  <c r="M104" i="46"/>
  <c r="C105" i="46"/>
  <c r="D105" i="46"/>
  <c r="E105" i="46"/>
  <c r="F105" i="46"/>
  <c r="G105" i="46"/>
  <c r="I105" i="46"/>
  <c r="K105" i="46"/>
  <c r="M105" i="46"/>
  <c r="C106" i="46"/>
  <c r="D106" i="46"/>
  <c r="E106" i="46"/>
  <c r="F106" i="46"/>
  <c r="G106" i="46"/>
  <c r="I106" i="46"/>
  <c r="K106" i="46"/>
  <c r="M106" i="46"/>
  <c r="C107" i="46"/>
  <c r="D107" i="46"/>
  <c r="E107" i="46"/>
  <c r="F107" i="46"/>
  <c r="G107" i="46"/>
  <c r="I107" i="46"/>
  <c r="K107" i="46"/>
  <c r="M107" i="46"/>
  <c r="S6" i="46"/>
  <c r="S5" i="46"/>
  <c r="T5" i="46"/>
  <c r="V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70" i="46"/>
  <c r="H72" i="46"/>
  <c r="A9" i="64"/>
  <c r="A9" i="51"/>
  <c r="B9" i="63"/>
  <c r="T6" i="46"/>
  <c r="V6" i="46"/>
  <c r="T8" i="46"/>
  <c r="V8" i="46"/>
  <c r="T10" i="46"/>
  <c r="V10" i="46"/>
  <c r="T12" i="46"/>
  <c r="V12" i="46"/>
  <c r="T14" i="46"/>
  <c r="V14" i="46"/>
  <c r="T16" i="46"/>
  <c r="V16"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AP16" i="1"/>
  <c r="F22" i="11"/>
  <c r="E21" i="52"/>
  <c r="E4" i="4"/>
  <c r="E11" i="52"/>
  <c r="C4" i="4"/>
  <c r="G66" i="36"/>
  <c r="J18" i="36"/>
  <c r="AE6" i="1"/>
  <c r="H7" i="37"/>
  <c r="J7" i="37"/>
  <c r="F7" i="37"/>
  <c r="AA7" i="37"/>
  <c r="R42" i="37"/>
  <c r="E42" i="37"/>
  <c r="L109" i="46"/>
  <c r="I109" i="46"/>
  <c r="U7" i="35"/>
  <c r="AC7" i="36"/>
  <c r="V36" i="36"/>
  <c r="I36" i="36"/>
  <c r="I40" i="36"/>
  <c r="J40" i="36"/>
  <c r="W18" i="36"/>
  <c r="AC18" i="36"/>
  <c r="U7" i="36"/>
  <c r="G41" i="36"/>
  <c r="H41" i="36"/>
  <c r="W7" i="35"/>
  <c r="S7" i="37"/>
  <c r="U7" i="34"/>
  <c r="E48" i="33"/>
  <c r="E52" i="33"/>
  <c r="F52" i="33"/>
  <c r="H12" i="40"/>
  <c r="AG6" i="1"/>
  <c r="F12" i="40"/>
  <c r="AA12" i="40"/>
  <c r="AC6" i="3"/>
  <c r="D12" i="11"/>
  <c r="C12" i="11"/>
  <c r="E59" i="40"/>
  <c r="E58" i="40"/>
  <c r="E16" i="6"/>
  <c r="L19" i="6"/>
  <c r="M19" i="6"/>
  <c r="I19" i="6"/>
  <c r="K23" i="6"/>
  <c r="M23" i="6"/>
  <c r="I23" i="6"/>
  <c r="K24" i="6"/>
  <c r="M24" i="6"/>
  <c r="I24" i="6"/>
  <c r="K25" i="6"/>
  <c r="M25" i="6"/>
  <c r="I25" i="6"/>
  <c r="K26" i="6"/>
  <c r="M26" i="6"/>
  <c r="I26" i="6"/>
  <c r="I27" i="6"/>
  <c r="E30" i="6"/>
  <c r="E31" i="6"/>
  <c r="K15" i="1"/>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E46" i="37"/>
  <c r="F46" i="37"/>
  <c r="C48" i="33"/>
  <c r="C49" i="33"/>
  <c r="B3" i="33"/>
  <c r="B2" i="33"/>
  <c r="U7" i="37"/>
  <c r="AB7" i="37"/>
  <c r="T42" i="37"/>
  <c r="G42" i="37"/>
  <c r="S12" i="40"/>
  <c r="J22" i="46"/>
  <c r="W12" i="39"/>
  <c r="E41" i="36"/>
  <c r="F41" i="36"/>
  <c r="I47" i="37"/>
  <c r="J47" i="37"/>
  <c r="G47" i="37"/>
  <c r="H47" i="37"/>
  <c r="E53" i="33"/>
  <c r="F53" i="33"/>
  <c r="I53" i="33"/>
  <c r="J53" i="33"/>
  <c r="L27" i="6"/>
  <c r="E38" i="35"/>
  <c r="I43" i="35"/>
  <c r="J43" i="35"/>
  <c r="I41" i="36"/>
  <c r="J41" i="36"/>
  <c r="R37" i="36"/>
  <c r="B1" i="66"/>
  <c r="R43" i="37"/>
  <c r="R50" i="34"/>
  <c r="C50" i="34"/>
  <c r="B3" i="34"/>
  <c r="B2" i="34"/>
  <c r="E49" i="34"/>
  <c r="C39" i="35"/>
  <c r="B3" i="35"/>
  <c r="B2" i="35"/>
  <c r="AC7" i="21"/>
  <c r="V48" i="21"/>
  <c r="I48" i="21"/>
  <c r="W7" i="21"/>
  <c r="U7" i="21"/>
  <c r="AB7" i="21"/>
  <c r="T48" i="21"/>
  <c r="G48" i="21"/>
  <c r="S7" i="21"/>
  <c r="AA7" i="21"/>
  <c r="R48" i="21"/>
  <c r="F72" i="39"/>
  <c r="G70" i="39"/>
  <c r="F67" i="40"/>
  <c r="G65" i="40"/>
  <c r="G46" i="37"/>
  <c r="H46" i="37"/>
  <c r="E47" i="37"/>
  <c r="F47" i="37"/>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D10" i="1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S19" i="6"/>
  <c r="S20" i="6"/>
  <c r="S21" i="6"/>
  <c r="S22" i="6"/>
  <c r="S23" i="6"/>
  <c r="S24" i="6"/>
  <c r="S25" i="6"/>
  <c r="S26" i="6"/>
  <c r="S27" i="6"/>
  <c r="C22" i="4"/>
  <c r="D10" i="6"/>
  <c r="D11" i="6"/>
  <c r="D12" i="6"/>
  <c r="D9" i="6"/>
  <c r="D14" i="6"/>
  <c r="D8" i="6"/>
  <c r="E53" i="21"/>
  <c r="F53" i="21"/>
  <c r="E52" i="21"/>
  <c r="F52" i="21"/>
  <c r="C48" i="21"/>
  <c r="C49" i="21"/>
  <c r="B3" i="21"/>
  <c r="B2" i="21"/>
  <c r="I53" i="21"/>
  <c r="J53" i="21"/>
  <c r="I70" i="39"/>
  <c r="H72" i="39"/>
  <c r="I65" i="40"/>
  <c r="H67" i="40"/>
  <c r="H19" i="6"/>
  <c r="R19" i="6"/>
  <c r="R6" i="1"/>
  <c r="R16" i="1"/>
  <c r="D13" i="6"/>
  <c r="D15" i="6"/>
  <c r="D16" i="6"/>
  <c r="A6" i="64"/>
  <c r="N5" i="54"/>
  <c r="B43" i="63"/>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H9" i="39"/>
  <c r="F9" i="39"/>
  <c r="S9" i="39"/>
  <c r="AA9" i="39"/>
  <c r="AB9" i="39"/>
  <c r="AC9" i="39"/>
  <c r="C49" i="39"/>
  <c r="W9" i="39"/>
  <c r="I49" i="39"/>
  <c r="AA9" i="40"/>
  <c r="R44" i="40"/>
  <c r="R45" i="40"/>
  <c r="C44" i="40"/>
  <c r="S9" i="40"/>
  <c r="U9" i="39"/>
  <c r="G49" i="39"/>
  <c r="AB9" i="40"/>
  <c r="T44" i="40"/>
  <c r="G44" i="40"/>
  <c r="G48" i="40"/>
  <c r="H48" i="40"/>
  <c r="U9" i="40"/>
  <c r="AC9" i="40"/>
  <c r="V44" i="40"/>
  <c r="I44" i="40"/>
  <c r="E44" i="40"/>
  <c r="I49" i="40"/>
  <c r="J49" i="40"/>
  <c r="W9" i="40"/>
  <c r="I48" i="40"/>
  <c r="J48" i="40"/>
  <c r="G49" i="40"/>
  <c r="H49" i="40"/>
  <c r="G53" i="39"/>
  <c r="H53" i="39"/>
  <c r="G54" i="39"/>
  <c r="H54" i="39"/>
  <c r="I53" i="39"/>
  <c r="J53" i="39"/>
  <c r="E49" i="39"/>
  <c r="E54" i="39"/>
  <c r="F54" i="39"/>
  <c r="E53" i="39"/>
  <c r="F53" i="39"/>
  <c r="E48" i="40"/>
  <c r="F48" i="40"/>
  <c r="I54" i="39"/>
  <c r="J54" i="39"/>
  <c r="C45" i="40"/>
  <c r="B61" i="40"/>
  <c r="F61" i="40"/>
  <c r="B55" i="40"/>
  <c r="F55" i="40"/>
  <c r="B57" i="40"/>
  <c r="F57" i="40"/>
  <c r="B60" i="40"/>
  <c r="B59" i="40"/>
  <c r="F59" i="40"/>
  <c r="B62" i="40"/>
  <c r="F63" i="40"/>
  <c r="B2" i="40"/>
  <c r="C45" i="9"/>
  <c r="H14" i="66"/>
  <c r="B7" i="66"/>
  <c r="D7" i="66"/>
  <c r="C7" i="66"/>
  <c r="C32" i="9"/>
  <c r="C42" i="9"/>
  <c r="C44" i="9"/>
  <c r="G14" i="66"/>
  <c r="B6" i="66"/>
  <c r="D45" i="9"/>
  <c r="E45" i="9"/>
  <c r="O40" i="9"/>
  <c r="F45" i="9"/>
  <c r="D6" i="66"/>
  <c r="C6" i="66"/>
  <c r="K31" i="9"/>
  <c r="K32" i="9"/>
  <c r="R7" i="54"/>
  <c r="B52" i="63"/>
  <c r="N69" i="9"/>
  <c r="O39" i="9"/>
  <c r="K29" i="9"/>
  <c r="D44" i="9"/>
  <c r="E44" i="9"/>
  <c r="F44" i="9"/>
  <c r="M86" i="9"/>
  <c r="N86" i="9"/>
  <c r="M84" i="9"/>
  <c r="N84" i="9"/>
  <c r="M88" i="9"/>
  <c r="N88" i="9"/>
  <c r="M87" i="9"/>
  <c r="N87" i="9"/>
  <c r="M85" i="9"/>
  <c r="N85" i="9"/>
  <c r="M83" i="9"/>
  <c r="N83" i="9"/>
  <c r="K30" i="9"/>
  <c r="R6" i="54"/>
  <c r="B50" i="63"/>
  <c r="N89" i="9"/>
  <c r="O89" i="9"/>
  <c r="N76" i="9"/>
  <c r="C46" i="9"/>
  <c r="K33" i="9"/>
  <c r="F46" i="9"/>
  <c r="O41" i="9"/>
  <c r="I14" i="66"/>
  <c r="B8" i="66"/>
  <c r="E46" i="9"/>
  <c r="D46" i="9"/>
  <c r="K34" i="9"/>
  <c r="C8" i="66"/>
  <c r="D8" i="66"/>
  <c r="R8" i="54"/>
  <c r="B54" i="63"/>
  <c r="F8" i="67"/>
  <c r="F10" i="67"/>
  <c r="F12" i="67"/>
  <c r="F14" i="67"/>
  <c r="E9" i="67"/>
  <c r="E11" i="67"/>
  <c r="E13"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L49" i="44"/>
  <c r="I4" i="65"/>
  <c r="F9" i="67"/>
  <c r="F11" i="67"/>
  <c r="F13" i="67"/>
  <c r="E8" i="67"/>
  <c r="E10" i="67"/>
  <c r="E12" i="67"/>
  <c r="E14" i="67"/>
  <c r="B9" i="67"/>
  <c r="B13" i="67"/>
  <c r="B11" i="67"/>
  <c r="I3" i="65"/>
  <c r="I7" i="65"/>
  <c r="J6" i="65"/>
  <c r="N3" i="65"/>
  <c r="J4" i="65"/>
  <c r="I6" i="65"/>
  <c r="F18" i="44"/>
  <c r="J17" i="44"/>
  <c r="M26" i="15"/>
  <c r="M10" i="44"/>
  <c r="M8" i="44"/>
  <c r="F28" i="44"/>
  <c r="L47" i="15"/>
  <c r="F38" i="44"/>
  <c r="F31" i="15"/>
  <c r="F46" i="44"/>
  <c r="C19" i="44"/>
  <c r="F37" i="44"/>
  <c r="B3" i="39"/>
  <c r="D20" i="9"/>
  <c r="B3" i="12"/>
  <c r="C20" i="9"/>
  <c r="M27" i="15"/>
  <c r="M28" i="15"/>
  <c r="F39" i="44"/>
  <c r="J36" i="15"/>
  <c r="M28" i="44"/>
  <c r="F8" i="44"/>
  <c r="M31" i="44"/>
  <c r="M30" i="44"/>
  <c r="M21" i="15"/>
  <c r="B4" i="12"/>
  <c r="C21" i="9"/>
  <c r="M23" i="44"/>
  <c r="B4" i="39"/>
  <c r="D21" i="9"/>
  <c r="F33" i="44"/>
  <c r="E5" i="52"/>
  <c r="B9" i="52"/>
  <c r="B16" i="52"/>
  <c r="B8" i="52"/>
  <c r="B7" i="52"/>
  <c r="B6" i="52"/>
  <c r="B23" i="52"/>
  <c r="E9" i="52"/>
  <c r="B4" i="52"/>
  <c r="B10" i="52"/>
  <c r="B4" i="40"/>
  <c r="B3" i="40"/>
  <c r="B5" i="40"/>
  <c r="B5" i="39"/>
  <c r="T13" i="1"/>
  <c r="O16" i="1"/>
  <c r="T11" i="1"/>
  <c r="T12" i="1"/>
  <c r="M16" i="1"/>
  <c r="T10" i="1"/>
  <c r="T6" i="1"/>
  <c r="E62" i="40"/>
  <c r="H6" i="3"/>
  <c r="E6" i="3"/>
  <c r="F62" i="40"/>
  <c r="O5" i="54"/>
  <c r="B45" i="63"/>
  <c r="A6" i="51"/>
  <c r="B7" i="63"/>
  <c r="A20" i="64"/>
  <c r="A20" i="51"/>
  <c r="B15" i="63"/>
  <c r="I5" i="6"/>
  <c r="B58" i="40"/>
  <c r="F58" i="40"/>
  <c r="B56" i="40"/>
  <c r="F56" i="40"/>
  <c r="B53" i="40"/>
  <c r="F53" i="40"/>
  <c r="B54" i="40"/>
  <c r="F54" i="40"/>
  <c r="E49" i="40"/>
  <c r="F49" i="40"/>
  <c r="M27" i="6"/>
  <c r="K27" i="6"/>
  <c r="E60" i="40"/>
  <c r="F60" i="40"/>
  <c r="AB12" i="40"/>
  <c r="U12" i="40"/>
  <c r="J12" i="40"/>
  <c r="D5" i="6"/>
  <c r="E29" i="46"/>
  <c r="C26" i="46"/>
  <c r="C30" i="46"/>
  <c r="E30" i="46"/>
  <c r="C27" i="46"/>
  <c r="K16" i="1"/>
  <c r="M109" i="46"/>
  <c r="G109" i="46"/>
  <c r="H16" i="1"/>
  <c r="E413" i="3"/>
  <c r="E86" i="3"/>
  <c r="F22" i="46"/>
  <c r="B113" i="46"/>
  <c r="G22" i="46"/>
  <c r="D22" i="46"/>
  <c r="AB11" i="46"/>
  <c r="AB13" i="46"/>
  <c r="E4" i="52"/>
  <c r="E16" i="52"/>
  <c r="B11" i="52"/>
  <c r="E8" i="52"/>
  <c r="B5" i="52"/>
  <c r="B13" i="52"/>
  <c r="B22" i="52"/>
  <c r="B14" i="52"/>
  <c r="E6" i="52"/>
  <c r="E7" i="52"/>
  <c r="J22" i="44"/>
  <c r="G21" i="9"/>
  <c r="L44" i="9"/>
  <c r="J20" i="15"/>
  <c r="C8" i="44"/>
  <c r="F63" i="15"/>
  <c r="Q72" i="15"/>
  <c r="G20" i="9"/>
  <c r="D22" i="9"/>
  <c r="L43" i="9"/>
  <c r="C36" i="44"/>
  <c r="F62" i="15"/>
  <c r="C61" i="15"/>
  <c r="F65" i="15"/>
  <c r="F50" i="15"/>
  <c r="L58" i="15"/>
  <c r="L59" i="15"/>
  <c r="F49" i="15"/>
  <c r="C29" i="44"/>
  <c r="I1" i="65"/>
  <c r="E20" i="46"/>
  <c r="J54" i="44"/>
  <c r="I55" i="44"/>
  <c r="J60" i="44"/>
  <c r="L57" i="44"/>
  <c r="J61" i="44"/>
  <c r="Q50" i="44"/>
  <c r="J58" i="44"/>
  <c r="J56" i="44"/>
  <c r="J59" i="44"/>
  <c r="Q52" i="44"/>
  <c r="L56" i="15"/>
  <c r="I54" i="15"/>
  <c r="J57" i="15"/>
  <c r="J55" i="15"/>
  <c r="J58" i="15"/>
  <c r="Q51" i="15"/>
  <c r="F68" i="15"/>
  <c r="Q73" i="44"/>
  <c r="F70" i="15"/>
  <c r="F64" i="15"/>
  <c r="M9" i="44"/>
  <c r="F67" i="15"/>
  <c r="L59" i="44"/>
  <c r="L60" i="44"/>
  <c r="J1" i="65"/>
  <c r="C16" i="44"/>
  <c r="F58" i="15"/>
  <c r="M19" i="44"/>
  <c r="E3" i="65"/>
  <c r="M17" i="15"/>
  <c r="C18" i="44"/>
  <c r="C20" i="44"/>
  <c r="C17" i="44"/>
  <c r="F109" i="46"/>
  <c r="E109" i="46"/>
  <c r="B2" i="46"/>
  <c r="D13" i="11"/>
  <c r="C13" i="11"/>
  <c r="D6" i="6"/>
  <c r="S12" i="39"/>
  <c r="W12" i="40"/>
  <c r="AC12" i="40"/>
  <c r="H23" i="6"/>
  <c r="H24" i="6"/>
  <c r="H25" i="6"/>
  <c r="H26" i="6"/>
  <c r="H27" i="6"/>
  <c r="R23" i="6"/>
  <c r="R24" i="6"/>
  <c r="R25" i="6"/>
  <c r="R26" i="6"/>
  <c r="R27" i="6"/>
  <c r="L16" i="1"/>
  <c r="N16" i="1"/>
  <c r="C29" i="43"/>
  <c r="C13" i="43"/>
  <c r="C109" i="46"/>
  <c r="B115" i="46"/>
  <c r="B116" i="46"/>
  <c r="C116" i="46"/>
  <c r="B117" i="46"/>
  <c r="C117" i="46"/>
  <c r="B118" i="46"/>
  <c r="C118" i="46"/>
  <c r="I116" i="46"/>
  <c r="J116" i="46"/>
  <c r="K116" i="46"/>
  <c r="L116" i="46"/>
  <c r="M116" i="46"/>
  <c r="G118" i="46"/>
  <c r="H118" i="46"/>
  <c r="I118" i="46"/>
  <c r="J118" i="46"/>
  <c r="K118" i="46"/>
  <c r="L118" i="46"/>
  <c r="M118" i="46"/>
  <c r="D116" i="46"/>
  <c r="E116" i="46"/>
  <c r="F116" i="46"/>
  <c r="G116" i="46"/>
  <c r="H116" i="46"/>
  <c r="D118" i="46"/>
  <c r="E118" i="46"/>
  <c r="F118" i="46"/>
  <c r="I115" i="46"/>
  <c r="J115" i="46"/>
  <c r="K115" i="46"/>
  <c r="L115" i="46"/>
  <c r="M115" i="46"/>
  <c r="D115" i="46"/>
  <c r="E115" i="46"/>
  <c r="F115" i="46"/>
  <c r="G115" i="46"/>
  <c r="H115" i="46"/>
  <c r="D117" i="46"/>
  <c r="E117" i="46"/>
  <c r="F117" i="46"/>
  <c r="G117" i="46"/>
  <c r="H117" i="46"/>
  <c r="I117" i="46"/>
  <c r="J117" i="46"/>
  <c r="K117" i="46"/>
  <c r="L117" i="46"/>
  <c r="M117" i="46"/>
  <c r="D109" i="46"/>
  <c r="F24" i="43"/>
  <c r="C26" i="43"/>
  <c r="D24" i="43"/>
  <c r="F18" i="11"/>
  <c r="C18" i="11"/>
  <c r="U12" i="39"/>
  <c r="T16" i="1"/>
  <c r="L47" i="44"/>
  <c r="F17" i="11"/>
  <c r="C17" i="11"/>
  <c r="C19" i="11"/>
  <c r="F13" i="44"/>
  <c r="C12" i="44"/>
  <c r="C7" i="44"/>
  <c r="M13" i="44"/>
  <c r="J12" i="44"/>
  <c r="Q75" i="44"/>
  <c r="Q62" i="44"/>
  <c r="O17" i="46"/>
  <c r="M17" i="46"/>
  <c r="P17" i="46"/>
  <c r="N17" i="46"/>
  <c r="Q74" i="15"/>
  <c r="Q61" i="15"/>
  <c r="Q63" i="44"/>
  <c r="Q76" i="44"/>
  <c r="Q53" i="15"/>
  <c r="F1" i="44"/>
  <c r="Q54" i="44"/>
  <c r="J8" i="44"/>
  <c r="Q62" i="15"/>
  <c r="Q75" i="15"/>
  <c r="C48" i="15"/>
  <c r="G22" i="9"/>
  <c r="N43" i="9"/>
  <c r="F7" i="67"/>
  <c r="B7" i="67"/>
  <c r="C21" i="44"/>
  <c r="C22" i="44"/>
  <c r="C28" i="44"/>
  <c r="B2" i="67"/>
  <c r="E4" i="67"/>
  <c r="C115" i="46"/>
  <c r="D113" i="46"/>
  <c r="C14" i="43"/>
  <c r="C17" i="43"/>
  <c r="C18" i="43"/>
  <c r="D4" i="46"/>
  <c r="B3" i="46"/>
  <c r="B4" i="46"/>
  <c r="J7" i="44"/>
  <c r="J26" i="44"/>
  <c r="J18" i="15"/>
  <c r="C40" i="44"/>
  <c r="C34" i="44"/>
  <c r="C52" i="15"/>
  <c r="C47" i="15"/>
  <c r="C20" i="11"/>
  <c r="C21" i="11"/>
  <c r="C22" i="11"/>
  <c r="C23" i="11"/>
  <c r="B2" i="11"/>
  <c r="F21" i="43"/>
  <c r="F26" i="44"/>
  <c r="C26" i="44"/>
  <c r="C33" i="9"/>
  <c r="C35" i="9"/>
  <c r="F42" i="9"/>
  <c r="O38" i="9"/>
  <c r="O43" i="9"/>
  <c r="C34" i="9"/>
  <c r="E7" i="67"/>
  <c r="L52" i="44"/>
  <c r="E3" i="67"/>
  <c r="B3" i="67"/>
  <c r="B4" i="67"/>
  <c r="C19" i="43"/>
  <c r="C25" i="43"/>
  <c r="C24" i="43"/>
  <c r="J20" i="44"/>
  <c r="C25" i="44"/>
  <c r="J28" i="44"/>
  <c r="J31" i="44"/>
  <c r="Q58" i="44"/>
  <c r="J24" i="15"/>
  <c r="C31" i="44"/>
  <c r="C35" i="44"/>
  <c r="C33" i="44"/>
  <c r="Q69" i="44"/>
  <c r="L58" i="44"/>
  <c r="L61" i="44"/>
  <c r="C65" i="15"/>
  <c r="C59" i="15"/>
  <c r="N68" i="9"/>
  <c r="R5" i="54"/>
  <c r="B48" i="63"/>
  <c r="D14" i="66"/>
  <c r="D63" i="9"/>
  <c r="C23" i="43"/>
  <c r="D21" i="43"/>
  <c r="E42" i="9"/>
  <c r="P5" i="54"/>
  <c r="B46" i="63"/>
  <c r="M38" i="9"/>
  <c r="K27" i="9"/>
  <c r="K25" i="9"/>
  <c r="K26" i="9"/>
  <c r="N38" i="9"/>
  <c r="K28" i="9"/>
  <c r="D42" i="9"/>
  <c r="Q5" i="54"/>
  <c r="B47" i="63"/>
  <c r="B4" i="11"/>
  <c r="B5" i="11"/>
  <c r="B3" i="11"/>
  <c r="J21" i="44"/>
  <c r="J19" i="44"/>
  <c r="C22" i="43"/>
  <c r="C21" i="43"/>
  <c r="C28" i="43"/>
  <c r="C30" i="43"/>
  <c r="C32" i="43"/>
  <c r="B2" i="43"/>
  <c r="Q67" i="44"/>
  <c r="Q49" i="44"/>
  <c r="Q55" i="44"/>
  <c r="B5" i="12"/>
  <c r="Q51" i="44"/>
  <c r="C15" i="44"/>
  <c r="C43" i="44"/>
  <c r="Q50" i="15"/>
  <c r="J19" i="15"/>
  <c r="J17" i="15"/>
  <c r="J59" i="15"/>
  <c r="J60" i="15"/>
  <c r="Q49" i="15"/>
  <c r="J14" i="15"/>
  <c r="J13" i="15"/>
  <c r="J23" i="15"/>
  <c r="C56" i="15"/>
  <c r="C63" i="15"/>
  <c r="C38" i="44"/>
  <c r="J16" i="44"/>
  <c r="J24" i="44"/>
  <c r="F14" i="66"/>
  <c r="B5" i="66"/>
  <c r="E14" i="66"/>
  <c r="Q68" i="44"/>
  <c r="Q59" i="44"/>
  <c r="Q64" i="44"/>
  <c r="C111" i="9"/>
  <c r="C104" i="9"/>
  <c r="D71" i="9"/>
  <c r="D66" i="9"/>
  <c r="N72" i="9"/>
  <c r="D77" i="9"/>
  <c r="N75" i="9"/>
  <c r="D70" i="9"/>
  <c r="C82" i="9"/>
  <c r="C81" i="9"/>
  <c r="C85" i="9"/>
  <c r="C86" i="9"/>
  <c r="D72" i="9"/>
  <c r="C96" i="9"/>
  <c r="C91" i="9"/>
  <c r="C103" i="9"/>
  <c r="C113" i="9"/>
  <c r="C90" i="9"/>
  <c r="J35" i="15"/>
  <c r="Q77" i="44"/>
  <c r="C55" i="15"/>
  <c r="C64" i="15"/>
  <c r="Q71" i="15"/>
  <c r="J15" i="44"/>
  <c r="J25" i="44"/>
  <c r="J18" i="44"/>
  <c r="J27" i="44"/>
  <c r="C39" i="44"/>
  <c r="C32" i="44"/>
  <c r="C42" i="44"/>
  <c r="J22" i="15"/>
  <c r="J16" i="15"/>
  <c r="J25" i="15"/>
  <c r="Q72" i="44"/>
  <c r="C60" i="15"/>
  <c r="C58" i="15"/>
  <c r="L46" i="15"/>
  <c r="C97" i="9"/>
  <c r="C98" i="9"/>
  <c r="C99" i="9"/>
  <c r="Q70" i="15"/>
  <c r="B3" i="43"/>
  <c r="B4" i="43"/>
  <c r="B5" i="43"/>
  <c r="C114" i="9"/>
  <c r="C115" i="9"/>
  <c r="D76" i="9"/>
  <c r="D74" i="9"/>
  <c r="N74" i="9"/>
  <c r="O77" i="9"/>
  <c r="E114" i="9"/>
  <c r="E115" i="9"/>
  <c r="D5" i="66"/>
  <c r="C5" i="66"/>
  <c r="L51" i="15"/>
  <c r="J39" i="15"/>
  <c r="J40" i="15"/>
  <c r="Q71" i="44"/>
  <c r="C44" i="44"/>
  <c r="C45" i="44"/>
  <c r="B2" i="44"/>
  <c r="B5" i="44"/>
  <c r="C57" i="15"/>
  <c r="C66" i="15"/>
  <c r="C67" i="15"/>
  <c r="C70" i="15"/>
  <c r="Q69" i="15"/>
  <c r="E98" i="9"/>
  <c r="E99" i="9"/>
  <c r="Q70" i="44"/>
  <c r="Q68" i="15"/>
  <c r="L57" i="15"/>
  <c r="L60" i="15"/>
  <c r="Q77" i="9"/>
  <c r="O79" i="9"/>
  <c r="O78" i="9"/>
  <c r="B4" i="44"/>
  <c r="Q48" i="15"/>
  <c r="Q54" i="15"/>
  <c r="Q66" i="15"/>
  <c r="C43" i="15"/>
  <c r="Q57" i="15"/>
  <c r="J42" i="15"/>
  <c r="J43" i="15"/>
  <c r="C46" i="15"/>
  <c r="B3" i="44"/>
  <c r="O80" i="9"/>
  <c r="O81" i="9"/>
  <c r="Q58" i="15"/>
  <c r="Q63" i="15"/>
  <c r="Q67" i="15"/>
  <c r="Q76"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<sst xmlns="http://schemas.openxmlformats.org/spreadsheetml/2006/main" count="8353" uniqueCount="3333">
  <si>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</si>
  <si>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</si>
  <si>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</si>
  <si>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</si>
  <si>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</si>
  <si>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</si>
  <si>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</si>
  <si>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</si>
  <si>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</si>
  <si>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</si>
  <si>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</si>
  <si>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</si>
  <si>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</si>
  <si>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</si>
  <si>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</si>
  <si>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</si>
  <si>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</si>
  <si>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</si>
  <si>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</si>
  <si>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</si>
  <si>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</si>
  <si>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</si>
  <si>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</si>
  <si>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</si>
  <si>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</si>
  <si>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</si>
  <si>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</si>
  <si>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</si>
  <si>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</si>
  <si>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</si>
  <si>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</si>
  <si>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</si>
  <si>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</si>
  <si>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</si>
  <si>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</si>
  <si>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</si>
  <si>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</si>
  <si>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</si>
  <si>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</si>
  <si>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</si>
  <si>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</si>
  <si>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</si>
  <si>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</si>
  <si>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</si>
  <si>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</si>
  <si>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</si>
  <si>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</si>
  <si>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</si>
  <si>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</si>
  <si>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</si>
  <si>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</si>
  <si>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</si>
  <si>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</si>
  <si>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</si>
  <si>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</si>
  <si>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</si>
  <si>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</si>
  <si>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</si>
  <si>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</si>
  <si>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</si>
  <si>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</si>
  <si>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</si>
  <si>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</si>
  <si>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</si>
  <si>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</si>
  <si>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</si>
  <si>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</si>
  <si>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</si>
  <si>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</si>
  <si>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</si>
  <si>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</si>
  <si>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</si>
  <si>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</si>
  <si>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</si>
  <si>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</si>
  <si>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</si>
  <si>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</si>
  <si>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</si>
  <si>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</si>
  <si>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</si>
  <si>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</si>
  <si>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</si>
  <si>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</si>
  <si>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</si>
  <si>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</si>
  <si>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</si>
  <si>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</si>
  <si>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</si>
  <si>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</si>
  <si>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</si>
  <si>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</si>
  <si>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</si>
  <si>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</si>
  <si>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</si>
  <si>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</si>
  <si>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</si>
  <si>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</si>
  <si>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</si>
  <si>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</si>
  <si>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</si>
  <si>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</si>
  <si>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</si>
  <si>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</si>
  <si>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</si>
  <si>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</si>
  <si>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</si>
  <si>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</si>
  <si>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</si>
  <si>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</si>
  <si>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</si>
  <si>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</si>
  <si>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</si>
  <si>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</si>
  <si>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</si>
  <si>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</si>
  <si>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</si>
  <si>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</si>
  <si>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</si>
  <si>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</si>
  <si>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</si>
  <si>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</si>
  <si>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</si>
  <si>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</si>
  <si>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</si>
  <si>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</si>
  <si>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</si>
  <si>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</si>
  <si>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</si>
  <si>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</si>
  <si>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</si>
  <si>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</si>
  <si>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</si>
  <si>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</si>
  <si>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</si>
  <si>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</si>
  <si>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</si>
  <si>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</si>
  <si>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</si>
  <si>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</si>
  <si>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</si>
  <si>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</si>
  <si>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</si>
  <si>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</si>
  <si>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</si>
  <si>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</si>
  <si>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</si>
  <si>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</si>
  <si>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</si>
  <si>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</si>
  <si>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</si>
  <si>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</si>
  <si>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</si>
  <si>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</si>
  <si>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</si>
  <si>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</si>
  <si>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</si>
  <si>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</si>
  <si>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</si>
  <si>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</si>
  <si>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</si>
  <si>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</si>
  <si>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</si>
  <si>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</si>
  <si>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</si>
  <si>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</si>
  <si>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</si>
  <si>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</si>
  <si>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</si>
  <si>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</si>
  <si>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</si>
  <si>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</si>
  <si>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</si>
  <si>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</si>
  <si>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</si>
  <si>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</si>
  <si>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</si>
  <si>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</si>
  <si>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</si>
  <si>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</si>
  <si>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</si>
  <si>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</si>
  <si>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</si>
  <si>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</si>
  <si>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</si>
  <si>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</si>
  <si>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</si>
  <si>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</si>
  <si>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</si>
  <si>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</si>
  <si>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</si>
  <si>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</si>
  <si>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</si>
  <si>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</si>
  <si>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</si>
  <si>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</si>
  <si>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</si>
  <si>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</si>
  <si>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</si>
  <si>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</si>
  <si>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</si>
  <si>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</si>
  <si>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</si>
  <si>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</si>
  <si>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</si>
  <si>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</si>
  <si>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</si>
  <si>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</si>
  <si>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</si>
  <si>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</si>
  <si>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</si>
  <si>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</si>
  <si>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</si>
  <si>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</si>
  <si>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</si>
  <si>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</si>
  <si>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</si>
  <si>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</si>
  <si>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</si>
  <si>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</si>
  <si>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</si>
  <si>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</si>
  <si>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</si>
  <si>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</si>
  <si>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</si>
  <si>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</si>
  <si>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</si>
  <si>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</si>
  <si>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</si>
  <si>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</si>
  <si>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</si>
  <si>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</si>
  <si>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</si>
  <si>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</si>
  <si>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</si>
  <si>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</si>
  <si>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</si>
  <si>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</si>
  <si>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</si>
  <si>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</si>
  <si>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</si>
  <si>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</si>
  <si>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</si>
  <si>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</si>
  <si>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</si>
  <si>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</si>
  <si>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</si>
  <si>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</si>
  <si>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</si>
  <si>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</si>
  <si>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</si>
  <si>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</si>
  <si>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</si>
  <si>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</si>
  <si>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</si>
  <si>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</si>
  <si>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</si>
  <si>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</si>
  <si>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</si>
  <si>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</si>
  <si>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</si>
  <si>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</si>
  <si>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</si>
  <si>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</si>
  <si>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</si>
  <si>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</si>
  <si>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</si>
  <si>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</si>
  <si>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</si>
  <si>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</si>
  <si>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</si>
  <si>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</si>
  <si>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</si>
  <si>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</si>
  <si>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</si>
  <si>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</si>
  <si>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</si>
  <si>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</si>
  <si>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</si>
  <si>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</si>
  <si>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</si>
  <si>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</si>
  <si>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</si>
  <si>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</si>
  <si>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</si>
  <si>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</si>
  <si>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</si>
  <si>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</si>
  <si>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</si>
  <si>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</si>
  <si>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</si>
  <si>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</si>
  <si>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</si>
  <si>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</si>
  <si>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</si>
  <si>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</si>
  <si>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</si>
  <si>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</si>
  <si>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</si>
  <si>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</si>
  <si>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</si>
  <si>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</si>
  <si>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</si>
  <si>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</si>
  <si>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</si>
  <si>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</si>
  <si>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</si>
  <si>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</si>
  <si>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</si>
  <si>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</si>
  <si>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</si>
  <si>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</si>
  <si>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</si>
  <si>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</si>
  <si>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</si>
  <si>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</si>
  <si>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</si>
  <si>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</si>
  <si>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</si>
  <si>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</si>
  <si>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</si>
  <si>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</si>
  <si>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</si>
  <si>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</si>
  <si>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</si>
  <si>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</si>
  <si>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</si>
  <si>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</si>
  <si>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</si>
  <si>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</si>
  <si>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</si>
  <si>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</si>
  <si>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</si>
  <si>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</si>
  <si>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</si>
  <si>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</si>
  <si>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</si>
  <si>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</si>
  <si>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</si>
  <si>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</si>
  <si>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</si>
  <si>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</si>
  <si>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</si>
  <si>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</si>
  <si>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</si>
  <si>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</si>
  <si>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</si>
  <si>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</si>
  <si>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</si>
  <si>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</si>
  <si>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</si>
  <si>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</si>
  <si>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</si>
  <si>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</si>
  <si>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</si>
  <si>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</si>
  <si>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</si>
  <si>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</si>
  <si>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</si>
  <si>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</si>
  <si>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</si>
  <si>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</si>
  <si>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</si>
  <si>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</si>
  <si>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</si>
  <si>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</si>
  <si>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</si>
  <si>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</si>
  <si>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</si>
  <si>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</si>
  <si>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</si>
  <si>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</si>
  <si>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</si>
  <si>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</si>
  <si>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</si>
  <si>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</si>
  <si>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</si>
  <si>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</si>
  <si>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</si>
  <si>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</si>
  <si>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</si>
  <si>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</si>
  <si>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</si>
  <si>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</si>
  <si>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</si>
  <si>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</si>
  <si>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</si>
  <si>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</si>
  <si>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</si>
  <si>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</si>
  <si>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</si>
  <si>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</si>
  <si>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</si>
  <si>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</si>
  <si>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</si>
  <si>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</si>
  <si>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</si>
  <si>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</si>
  <si>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</si>
  <si>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</si>
  <si>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</si>
  <si>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</si>
  <si>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</si>
  <si>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</si>
  <si>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</si>
  <si>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</si>
  <si>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</si>
  <si>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</si>
  <si>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</si>
  <si>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</si>
  <si>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</si>
  <si>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</si>
  <si>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</si>
  <si>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</si>
  <si>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</si>
  <si>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</si>
  <si>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</si>
  <si>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</si>
  <si>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</si>
  <si>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</si>
  <si>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</si>
  <si>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</si>
  <si>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</si>
  <si>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</si>
  <si>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</si>
  <si>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</si>
  <si>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</si>
  <si>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</si>
  <si>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</si>
  <si>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</si>
  <si>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</si>
  <si>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</si>
  <si>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</si>
  <si>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</si>
  <si>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</si>
  <si>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</si>
  <si>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</si>
  <si>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</si>
  <si>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</si>
  <si>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</si>
  <si>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</si>
  <si>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</si>
  <si>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</si>
  <si>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</si>
  <si>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</si>
  <si>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</si>
  <si>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</si>
  <si>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</si>
  <si>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</si>
  <si>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</si>
  <si>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</si>
  <si>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</si>
  <si>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</si>
  <si>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</si>
  <si>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</si>
  <si>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</si>
  <si>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</si>
  <si>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</si>
  <si>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</si>
  <si>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</si>
  <si>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</si>
  <si>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</si>
  <si>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</si>
  <si>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</si>
  <si>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</si>
  <si>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</si>
  <si>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</si>
  <si>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</si>
  <si>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</si>
  <si>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</si>
  <si>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</si>
  <si>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</si>
  <si>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</si>
  <si>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</si>
  <si>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</si>
  <si>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</si>
  <si>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</si>
  <si>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</si>
  <si>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</si>
  <si>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</si>
  <si>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</si>
  <si>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</si>
  <si>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</si>
  <si>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</si>
  <si>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</si>
  <si>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</si>
  <si>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</si>
  <si>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</si>
  <si>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</si>
  <si>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</si>
  <si>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</si>
  <si>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</si>
  <si>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</si>
  <si>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</si>
  <si>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</si>
  <si>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</si>
  <si>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</si>
  <si>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</si>
  <si>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</si>
  <si>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</si>
  <si>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</si>
  <si>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</si>
  <si>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</si>
  <si>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</si>
  <si>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</si>
  <si>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</si>
  <si>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</si>
  <si>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</si>
  <si>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</si>
  <si>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</si>
  <si>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</si>
  <si>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</si>
  <si>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</si>
  <si>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</si>
  <si>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</si>
  <si>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</si>
  <si>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</si>
  <si>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</si>
  <si>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</si>
  <si>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</si>
  <si>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</si>
  <si>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</si>
  <si>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</si>
  <si>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</si>
  <si>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</si>
  <si>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</si>
  <si>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</si>
  <si>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</si>
  <si>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</si>
  <si>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</si>
  <si>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</si>
  <si>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</si>
  <si>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</si>
  <si>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</si>
  <si>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</si>
  <si>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</si>
  <si>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</si>
  <si>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</si>
  <si>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</si>
  <si>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</si>
  <si>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</si>
  <si>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</si>
  <si>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</si>
  <si>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</si>
  <si>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</si>
  <si>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</si>
  <si>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</si>
  <si>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</si>
  <si>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</si>
  <si>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</si>
  <si>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</si>
  <si>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</si>
  <si>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</si>
  <si>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</si>
  <si>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</si>
  <si>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</si>
  <si>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</si>
  <si>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</si>
  <si>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</si>
  <si>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</si>
  <si>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</si>
  <si>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</si>
  <si>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</si>
  <si>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</si>
  <si>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</si>
  <si>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</si>
  <si>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</si>
  <si>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</si>
  <si>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</si>
  <si>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</si>
  <si>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</si>
  <si>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</si>
  <si>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</si>
  <si>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</si>
  <si>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</si>
  <si>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</si>
  <si>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</si>
  <si>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</si>
  <si>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</si>
  <si>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</si>
  <si>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</si>
  <si>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</si>
  <si>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</si>
  <si>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</si>
  <si>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</si>
  <si>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</si>
  <si>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</si>
  <si>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</si>
  <si>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</si>
  <si>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</si>
  <si>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</si>
  <si>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</si>
  <si>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</si>
  <si>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</si>
  <si>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</si>
  <si>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</si>
  <si>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</si>
  <si>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</si>
  <si>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</si>
  <si>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</si>
  <si>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</si>
  <si>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</si>
  <si>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</si>
  <si>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</si>
  <si>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</si>
  <si>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</si>
  <si>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</si>
  <si>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</si>
  <si>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</si>
  <si>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</si>
  <si>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</si>
  <si>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</si>
  <si>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</si>
  <si>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</si>
  <si>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</si>
  <si>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</si>
  <si>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</si>
  <si>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</si>
  <si>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</si>
  <si>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</si>
  <si>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</si>
  <si>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</si>
  <si>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</si>
  <si>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</si>
  <si>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</si>
  <si>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</si>
  <si>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</si>
  <si>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</si>
  <si>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</si>
  <si>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</si>
  <si>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</si>
  <si>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</si>
  <si>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</si>
  <si>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</si>
  <si>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</si>
  <si>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</si>
  <si>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</si>
  <si>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</si>
  <si>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</si>
  <si>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</si>
  <si>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</si>
  <si>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</si>
  <si>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</si>
  <si>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</si>
  <si>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</si>
  <si>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</si>
  <si>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</si>
  <si>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</si>
  <si>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</si>
  <si>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</si>
  <si>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</si>
  <si>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</si>
  <si>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</si>
  <si>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</si>
  <si>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</si>
  <si>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</si>
  <si>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</si>
  <si>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</si>
  <si>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</si>
  <si>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</si>
  <si>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</si>
  <si>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</si>
  <si>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</si>
  <si>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</si>
  <si>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</si>
  <si>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</si>
  <si>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</si>
  <si>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</si>
  <si>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</si>
  <si>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</si>
  <si>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</si>
  <si>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</si>
  <si>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</si>
  <si>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</si>
  <si>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</si>
  <si>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</si>
  <si>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</si>
  <si>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</si>
  <si>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</si>
  <si>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</si>
  <si>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</si>
  <si>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</si>
  <si>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</si>
  <si>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</si>
  <si>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</si>
  <si>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</si>
  <si>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</si>
  <si>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</si>
  <si>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</si>
  <si>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</si>
  <si>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</si>
  <si>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</si>
  <si>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</si>
  <si>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</si>
  <si>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</si>
  <si>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</si>
  <si>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</si>
  <si>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</si>
  <si>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</si>
  <si>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</si>
  <si>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</si>
  <si>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</si>
  <si>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</si>
  <si>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</si>
  <si>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</si>
  <si>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</si>
  <si>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</si>
  <si>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</si>
  <si>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</si>
  <si>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</si>
  <si>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</si>
  <si>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</si>
  <si>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</si>
  <si>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</si>
  <si>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</si>
  <si>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</si>
  <si>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</si>
  <si>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</si>
  <si>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</si>
  <si>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</si>
  <si>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</si>
  <si>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</si>
  <si>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</si>
  <si>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</si>
  <si>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</si>
  <si>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</si>
  <si>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</si>
  <si>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</si>
  <si>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</si>
  <si>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</si>
  <si>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</si>
  <si>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</si>
  <si>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</si>
  <si>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</si>
  <si>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</si>
  <si>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</si>
  <si>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</si>
  <si>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</si>
  <si>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</si>
  <si>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</si>
  <si>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</si>
  <si>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</si>
  <si>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</si>
  <si>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</si>
  <si>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</si>
  <si>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</si>
  <si>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</si>
  <si>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</si>
  <si>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</si>
  <si>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</si>
  <si>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</si>
  <si>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</si>
  <si>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</si>
  <si>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</si>
  <si>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</si>
  <si>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</si>
  <si>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</si>
  <si>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</si>
  <si>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</si>
  <si>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</si>
  <si>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</si>
  <si>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</si>
  <si>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</si>
  <si>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</si>
  <si>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</si>
  <si>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</si>
  <si>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</si>
  <si>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</si>
  <si>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</si>
  <si>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</si>
  <si>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</si>
  <si>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</si>
  <si>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</si>
  <si>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</si>
  <si>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</si>
  <si>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</si>
  <si>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</si>
  <si>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</si>
  <si>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</si>
  <si>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</si>
  <si>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</si>
  <si>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</si>
  <si>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</si>
  <si>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</si>
  <si>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</si>
  <si>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</si>
  <si>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</si>
  <si>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</si>
  <si>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</si>
  <si>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</si>
  <si>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</si>
  <si>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</si>
  <si>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</si>
  <si>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</si>
  <si>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</si>
  <si>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</si>
  <si>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</si>
  <si>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</si>
  <si>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</si>
  <si>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</si>
  <si>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</si>
  <si>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</si>
  <si>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</si>
  <si>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</si>
  <si>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</si>
  <si>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</si>
  <si>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</si>
  <si>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</si>
  <si>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</si>
  <si>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</si>
  <si>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</si>
  <si>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</si>
  <si>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</si>
  <si>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</si>
  <si>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</si>
  <si>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</si>
  <si>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</si>
  <si>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</si>
  <si>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</si>
  <si>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</si>
  <si>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</si>
  <si>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</si>
  <si>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</si>
  <si>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</si>
  <si>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</si>
  <si>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</si>
  <si>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</si>
  <si>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</si>
  <si>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</si>
  <si>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</si>
  <si>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</si>
  <si>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</si>
  <si>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</si>
  <si>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</si>
  <si>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</si>
  <si>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</si>
  <si>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</si>
  <si>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</si>
  <si>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</si>
  <si>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</si>
  <si>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</si>
  <si>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</si>
  <si>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</si>
  <si>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</si>
  <si>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</si>
  <si>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</si>
  <si>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</si>
  <si>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</si>
  <si>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</si>
  <si>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</si>
  <si>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</si>
  <si>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</si>
  <si>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</si>
  <si>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</si>
  <si>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</si>
  <si>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</si>
  <si>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</si>
  <si>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</si>
  <si>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</si>
  <si>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</si>
  <si>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</si>
  <si>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</si>
  <si>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</si>
  <si>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</si>
  <si>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</si>
  <si>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</si>
  <si>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</si>
  <si>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</si>
  <si>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</si>
  <si>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</si>
  <si>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</si>
  <si>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</si>
  <si>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</si>
  <si>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</si>
  <si>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</si>
  <si>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</si>
  <si>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</si>
  <si>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</si>
  <si>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</si>
  <si>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</si>
  <si>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</si>
  <si>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</si>
  <si>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</si>
  <si>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</si>
  <si>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</si>
  <si>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</si>
  <si>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</si>
  <si>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</si>
  <si>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</si>
  <si>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</si>
  <si>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</si>
  <si>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</si>
  <si>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</si>
  <si>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</si>
  <si>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</si>
  <si>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</si>
  <si>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</si>
  <si>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</si>
  <si>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</si>
  <si>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</si>
  <si>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</si>
  <si>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</si>
  <si>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</si>
  <si>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</si>
  <si>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</si>
  <si>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</si>
  <si>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</si>
  <si>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</si>
  <si>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</si>
  <si>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</si>
  <si>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</si>
  <si>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</si>
  <si>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</si>
  <si>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</si>
  <si>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</si>
  <si>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</si>
  <si>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</si>
  <si>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</si>
  <si>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</si>
  <si>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</si>
  <si>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</si>
  <si>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</si>
  <si>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</si>
  <si>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</si>
  <si>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</si>
  <si>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</si>
  <si>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</si>
  <si>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</si>
  <si>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</si>
  <si>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</si>
  <si>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</si>
  <si>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</si>
  <si>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</si>
  <si>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</si>
  <si>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</si>
  <si>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</si>
  <si>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</si>
  <si>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</si>
  <si>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</si>
  <si>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</si>
  <si>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</si>
  <si>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</si>
  <si>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</si>
  <si>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</si>
  <si>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</si>
  <si>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</si>
  <si>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</si>
  <si>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</si>
  <si>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</si>
  <si>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</si>
  <si>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</si>
  <si>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</si>
  <si>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</si>
  <si>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</si>
  <si>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</si>
  <si>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</si>
  <si>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</si>
  <si>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</si>
  <si>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</si>
  <si>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</si>
  <si>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</si>
  <si>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</si>
  <si>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</si>
  <si>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</si>
  <si>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</si>
  <si>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</si>
  <si>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</si>
  <si>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</si>
  <si>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</si>
  <si>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</si>
  <si>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</si>
  <si>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</si>
  <si>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</si>
  <si>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</si>
  <si>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</si>
  <si>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</si>
  <si>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</si>
  <si>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</si>
  <si>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</si>
  <si>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</si>
  <si>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</si>
  <si>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</si>
  <si>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</si>
  <si>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</si>
  <si>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</si>
  <si>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</si>
  <si>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</si>
  <si>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</si>
  <si>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</si>
  <si>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</si>
  <si>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</si>
  <si>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</si>
  <si>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</si>
  <si>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</si>
  <si>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</si>
  <si>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</si>
  <si>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</si>
  <si>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</si>
  <si>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</si>
  <si>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</si>
  <si>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</si>
  <si>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</si>
  <si>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</si>
  <si>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</si>
  <si>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</si>
  <si>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</si>
  <si>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</si>
  <si>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</si>
  <si>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</si>
  <si>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</si>
  <si>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</si>
  <si>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</si>
  <si>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</si>
  <si>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</si>
  <si>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</si>
  <si>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</si>
  <si>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</si>
  <si>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</si>
  <si>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</si>
  <si>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</si>
  <si>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</si>
  <si>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</si>
  <si>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</si>
  <si>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</si>
  <si>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</si>
  <si>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</si>
  <si>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</si>
  <si>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</si>
  <si>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</si>
  <si>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</si>
  <si>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</si>
  <si>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</si>
  <si>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</si>
  <si>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</si>
  <si>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</si>
  <si>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</si>
  <si>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</si>
  <si>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</si>
  <si>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</si>
  <si>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</si>
  <si>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</si>
  <si>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</si>
  <si>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</si>
  <si>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</si>
  <si>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</si>
  <si>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</si>
  <si>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</si>
  <si>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</si>
  <si>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</si>
  <si>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</si>
  <si>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</si>
  <si>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</si>
  <si>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</si>
  <si>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</si>
  <si>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</si>
  <si>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</si>
  <si>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</si>
  <si>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</si>
  <si>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</si>
  <si>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</si>
  <si>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</si>
  <si>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</si>
  <si>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</si>
  <si>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</si>
  <si>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</si>
  <si>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</si>
  <si>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</si>
  <si>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</si>
  <si>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</si>
  <si>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</si>
  <si>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</si>
  <si>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</si>
  <si>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</si>
  <si>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</si>
  <si>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</si>
  <si>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</si>
  <si>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</si>
  <si>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</si>
  <si>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</si>
  <si>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</si>
  <si>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</si>
  <si>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</si>
  <si>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</si>
  <si>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</si>
  <si>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</si>
  <si>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</si>
  <si>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</si>
  <si>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</si>
  <si>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</si>
  <si>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</si>
  <si>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</si>
  <si>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</si>
  <si>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</si>
  <si>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</si>
  <si>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</si>
  <si>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</si>
  <si>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</si>
  <si>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</si>
  <si>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</si>
  <si>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</si>
  <si>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</si>
  <si>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</si>
  <si>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</si>
  <si>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</si>
  <si>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</si>
  <si>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</si>
  <si>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</si>
  <si>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</si>
  <si>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</si>
  <si>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</si>
  <si>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</si>
  <si>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</si>
  <si>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</si>
  <si>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</si>
  <si>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</si>
  <si>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</si>
  <si>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</si>
  <si>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</si>
  <si>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</si>
  <si>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</si>
  <si>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</si>
  <si>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</si>
  <si>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</si>
  <si>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</si>
  <si>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</si>
  <si>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</si>
  <si>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</si>
  <si>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</si>
  <si>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</si>
  <si>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</si>
  <si>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</si>
  <si>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</si>
  <si>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</si>
  <si>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</si>
  <si>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</si>
  <si>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</si>
  <si>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</si>
  <si>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</si>
  <si>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</si>
  <si>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</si>
  <si>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</si>
  <si>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</si>
  <si>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</si>
  <si>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</si>
  <si>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</si>
  <si>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</si>
  <si>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</si>
  <si>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</si>
  <si>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</si>
  <si>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</si>
  <si>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</si>
  <si>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</si>
  <si>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</si>
  <si>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</si>
  <si>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</si>
  <si>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</si>
  <si>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</si>
  <si>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</si>
  <si>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</si>
  <si>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</si>
  <si>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</si>
  <si>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</si>
  <si>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</si>
  <si>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</si>
  <si>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</si>
  <si>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</si>
  <si>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</si>
  <si>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</si>
  <si>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</si>
  <si>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</si>
  <si>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</si>
  <si>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</si>
  <si>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</si>
  <si>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</si>
  <si>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</si>
  <si>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</si>
  <si>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</si>
  <si>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</si>
  <si>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</si>
  <si>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</si>
  <si>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</si>
  <si>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</si>
  <si>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</si>
  <si>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</si>
  <si>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</si>
  <si>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</si>
  <si>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</si>
  <si>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</si>
  <si>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</si>
  <si>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</si>
  <si>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</si>
  <si>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</si>
  <si>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</si>
  <si>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</si>
  <si>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</si>
  <si>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</si>
  <si>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</si>
  <si>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</si>
  <si>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</si>
  <si>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</si>
  <si>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</si>
  <si>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</si>
  <si>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</si>
  <si>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</si>
  <si>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</si>
  <si>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</si>
  <si>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</si>
  <si>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</si>
  <si>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</si>
  <si>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</si>
  <si>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</si>
  <si>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</si>
  <si>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</si>
  <si>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</si>
  <si>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</si>
  <si>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</si>
  <si>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</si>
  <si>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</si>
  <si>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</si>
  <si>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</si>
  <si>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</si>
  <si>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</si>
  <si>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</si>
  <si>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</si>
  <si>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</si>
  <si>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</si>
  <si>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</si>
  <si>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</si>
  <si>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</si>
  <si>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</si>
  <si>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</si>
  <si>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</si>
  <si>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</si>
  <si>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</si>
  <si>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</si>
  <si>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</si>
  <si>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</si>
  <si>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</si>
  <si>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</si>
  <si>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</si>
  <si>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</si>
  <si>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</si>
  <si>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</si>
  <si>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</si>
  <si>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</si>
  <si>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</si>
  <si>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</si>
  <si>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</si>
  <si>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</si>
  <si>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</si>
  <si>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</si>
  <si>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</si>
  <si>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</si>
  <si>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</si>
  <si>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</si>
  <si>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</si>
  <si>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</si>
  <si>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</si>
  <si>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</si>
  <si>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</si>
  <si>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</si>
  <si>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</si>
  <si>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</si>
  <si>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</si>
  <si>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</si>
  <si>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</si>
  <si>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</si>
  <si>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</si>
  <si>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</si>
  <si>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</si>
  <si>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</si>
  <si>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</si>
  <si>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</si>
  <si>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</si>
  <si>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</si>
  <si>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</si>
  <si>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</si>
  <si>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</si>
  <si>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</si>
  <si>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</si>
  <si>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</si>
  <si>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</si>
  <si>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</si>
  <si>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</si>
  <si>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</si>
  <si>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</si>
  <si>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</si>
  <si>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</si>
  <si>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</si>
  <si>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</si>
  <si>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</si>
  <si>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</si>
  <si>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</si>
  <si>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</si>
  <si>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</si>
  <si>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</si>
  <si>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</si>
  <si>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</si>
  <si>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</si>
  <si>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</si>
  <si>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</si>
  <si>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</si>
  <si>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</si>
  <si>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</si>
  <si>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</si>
  <si>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</si>
  <si>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</si>
  <si>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</si>
  <si>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</si>
  <si>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</si>
  <si>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</si>
  <si>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</si>
  <si>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</si>
  <si>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</si>
  <si>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</si>
  <si>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</si>
  <si>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</si>
  <si>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</si>
  <si>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</si>
  <si>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</si>
  <si>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</si>
  <si>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</si>
  <si>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</si>
  <si>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</si>
  <si>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</si>
  <si>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</si>
  <si>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</si>
  <si>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</si>
  <si>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</si>
  <si>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</si>
  <si>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</si>
  <si>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</si>
  <si>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</si>
  <si>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</si>
  <si>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</si>
  <si>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</si>
  <si>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</si>
  <si>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</si>
  <si>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</si>
  <si>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</si>
  <si>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</si>
  <si>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</si>
  <si>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</si>
  <si>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</si>
  <si>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</si>
  <si>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</si>
  <si>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</si>
  <si>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</si>
  <si>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</si>
  <si>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</si>
  <si>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</si>
  <si>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</si>
  <si>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</si>
  <si>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</si>
  <si>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</si>
  <si>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</si>
  <si>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</si>
  <si>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</si>
  <si>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</si>
  <si>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</si>
  <si>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</si>
  <si>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</si>
  <si>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</si>
  <si>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</si>
  <si>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</si>
  <si>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</si>
  <si>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</si>
  <si>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</si>
  <si>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</si>
  <si>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</si>
  <si>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</si>
  <si>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</si>
  <si>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</si>
  <si>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</si>
  <si>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</si>
  <si>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</si>
  <si>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</si>
  <si>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</si>
  <si>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</si>
  <si>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</si>
  <si>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</si>
  <si>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</si>
  <si>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</si>
  <si>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</si>
  <si>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</si>
  <si>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</si>
  <si>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</si>
  <si>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</si>
  <si>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</si>
  <si>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</si>
  <si>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</si>
  <si>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</si>
  <si>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</si>
  <si>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</si>
  <si>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</si>
  <si>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</si>
  <si>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</si>
  <si>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</si>
  <si>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</si>
  <si>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</si>
  <si>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</si>
  <si>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</si>
  <si>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</si>
  <si>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</si>
  <si>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</si>
  <si>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</si>
  <si>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</si>
  <si>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</si>
  <si>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</si>
  <si>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</si>
  <si>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</si>
  <si>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</si>
  <si>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</si>
  <si>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</si>
  <si>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</si>
  <si>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</si>
  <si>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</si>
  <si>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</si>
  <si>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</si>
  <si>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</si>
  <si>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</si>
  <si>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</si>
  <si>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</si>
  <si>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</si>
  <si>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</si>
  <si>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</si>
  <si>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</si>
  <si>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</si>
  <si>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</si>
  <si>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</si>
  <si>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</si>
  <si>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</si>
  <si>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</si>
  <si>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</si>
  <si>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</si>
  <si>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</si>
  <si>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</si>
  <si>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</si>
  <si>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</si>
  <si>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</si>
  <si>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</si>
  <si>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</si>
  <si>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</si>
  <si>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</si>
  <si>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</si>
  <si>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</si>
  <si>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</si>
  <si>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</si>
  <si>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</si>
  <si>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</si>
  <si>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</si>
  <si>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</si>
  <si>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</si>
  <si>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</si>
  <si>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</si>
  <si>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</si>
  <si>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</si>
  <si>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</si>
  <si>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</si>
  <si>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</si>
  <si>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</si>
  <si>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</si>
  <si>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</si>
  <si>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</si>
  <si>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</si>
  <si>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</si>
  <si>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</si>
  <si>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</si>
  <si>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</si>
  <si>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</si>
  <si>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</si>
  <si>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</si>
  <si>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</si>
  <si>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</si>
  <si>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</si>
  <si>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</si>
  <si>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</si>
  <si>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</si>
  <si>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</si>
  <si>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</si>
  <si>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</si>
  <si>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</si>
  <si>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</si>
  <si>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</si>
  <si>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</si>
  <si>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</si>
  <si>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</si>
  <si>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</si>
  <si>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</si>
  <si>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</si>
  <si>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</si>
  <si>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</si>
  <si>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</si>
  <si>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</si>
  <si>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</si>
  <si>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</si>
  <si>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</si>
  <si>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</si>
  <si>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</si>
  <si>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</si>
  <si>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</si>
  <si>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</si>
  <si>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</si>
  <si>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</si>
  <si>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</si>
  <si>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</si>
  <si>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</si>
  <si>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</si>
  <si>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</si>
  <si>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</si>
  <si>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</si>
  <si>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</si>
  <si>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</si>
  <si>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</si>
  <si>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</si>
  <si>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</si>
  <si>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</si>
  <si>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</si>
  <si>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</si>
  <si>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</si>
  <si>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</si>
  <si>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</si>
  <si>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</si>
  <si>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</si>
  <si>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</si>
  <si>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</si>
  <si>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</si>
  <si>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</si>
  <si>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</si>
  <si>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</si>
  <si>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</si>
  <si>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</si>
  <si>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</si>
  <si>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</si>
  <si>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</si>
  <si>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</si>
  <si>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</si>
  <si>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</si>
  <si>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</si>
  <si>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</si>
  <si>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</si>
  <si>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</si>
  <si>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</si>
  <si>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</si>
  <si>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</si>
  <si>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</si>
  <si>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</si>
  <si>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</si>
  <si>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</si>
  <si>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</si>
  <si>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</si>
  <si>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</si>
  <si>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</si>
  <si>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</si>
  <si>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</si>
  <si>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</si>
  <si>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</si>
  <si>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</si>
  <si>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</si>
  <si>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</si>
  <si>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</si>
  <si>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</si>
  <si>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</si>
  <si>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</si>
  <si>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</si>
  <si>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</si>
  <si>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</si>
  <si>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</si>
  <si>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</si>
  <si>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</si>
  <si>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</si>
  <si>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</si>
  <si>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</si>
  <si>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</si>
  <si>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</si>
  <si>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</si>
  <si>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</si>
  <si>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</si>
  <si>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</si>
  <si>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</si>
  <si>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</si>
  <si>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</si>
  <si>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</si>
  <si>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</si>
  <si>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</si>
  <si>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</si>
  <si>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</si>
  <si>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</si>
  <si>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</si>
  <si>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</si>
  <si>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</si>
  <si>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</si>
  <si>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</si>
  <si>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</si>
  <si>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</si>
  <si>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</si>
  <si>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</si>
  <si>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</si>
  <si>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</si>
  <si>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</si>
  <si>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</si>
  <si>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</si>
  <si>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</si>
  <si>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</si>
  <si>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</si>
  <si>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</si>
  <si>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</si>
  <si>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</si>
  <si>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</si>
  <si>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</si>
  <si>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</si>
  <si>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</si>
  <si>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</si>
  <si>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</si>
  <si>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</si>
  <si>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</si>
  <si>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</si>
  <si>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</si>
  <si>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</si>
  <si>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</si>
  <si>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</si>
  <si>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</si>
  <si>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</si>
  <si>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</si>
  <si>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</si>
  <si>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</si>
  <si>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</si>
  <si>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</si>
  <si>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</si>
  <si>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</si>
  <si>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</si>
  <si>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</si>
  <si>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</si>
  <si>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</si>
  <si>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</si>
  <si>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</si>
  <si>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</si>
  <si>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</si>
  <si>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</si>
  <si>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</si>
  <si>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</si>
  <si>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</si>
  <si>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</si>
  <si>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</si>
  <si>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</si>
  <si>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</si>
  <si>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</si>
  <si>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</si>
  <si>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</si>
  <si>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</si>
  <si>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</si>
  <si>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</si>
  <si>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</si>
  <si>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</si>
  <si>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</si>
  <si>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</si>
  <si>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</si>
  <si>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</si>
  <si>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</si>
  <si>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</si>
  <si>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</si>
  <si>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</si>
  <si>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</si>
  <si>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</si>
  <si>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</si>
  <si>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</si>
  <si>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</si>
  <si>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</si>
  <si>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</si>
  <si>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</si>
  <si>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</si>
  <si>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</si>
  <si>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</si>
  <si>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</si>
  <si>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</si>
  <si>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</si>
  <si>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</si>
  <si>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</si>
  <si>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</si>
  <si>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</si>
  <si>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</si>
  <si>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</si>
  <si>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</si>
  <si>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</si>
  <si>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</si>
  <si>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</si>
  <si>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</si>
  <si>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</si>
  <si>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</si>
  <si>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</si>
  <si>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</si>
  <si>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</si>
  <si>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</si>
  <si>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</si>
  <si>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</si>
  <si>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</si>
  <si>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</si>
  <si>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</si>
  <si>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</si>
  <si>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</si>
  <si>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</si>
  <si>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</si>
  <si>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</si>
  <si>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</si>
  <si>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</si>
  <si>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</si>
  <si>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</si>
  <si>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</si>
  <si>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</si>
  <si>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</si>
  <si>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</si>
  <si>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</si>
  <si>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</si>
  <si>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</si>
  <si>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</si>
  <si>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</si>
  <si>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</si>
  <si>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</si>
  <si>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</si>
  <si>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</si>
  <si>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</si>
  <si>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</si>
  <si>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</si>
  <si>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</si>
  <si>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</si>
  <si>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</si>
  <si>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</si>
  <si>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</si>
  <si>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</si>
  <si>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</si>
  <si>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</si>
  <si>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</si>
  <si>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</si>
  <si>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</si>
  <si>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</si>
  <si>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</si>
  <si>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</si>
  <si>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</si>
  <si>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</si>
  <si>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</si>
  <si>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</si>
  <si>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</si>
  <si>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</si>
  <si>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</si>
  <si>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</si>
  <si>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</si>
  <si>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</si>
  <si>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</si>
  <si>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</si>
  <si>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</si>
  <si>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</si>
  <si>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</si>
  <si>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</si>
  <si>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</si>
  <si>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</si>
  <si>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</si>
  <si>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</si>
  <si>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</si>
  <si>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</si>
  <si>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</si>
  <si>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</si>
  <si>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</si>
  <si>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</si>
  <si>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</si>
  <si>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</si>
  <si>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</si>
  <si>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</si>
  <si>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</si>
  <si>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</si>
  <si>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</si>
  <si>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</si>
  <si>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</si>
  <si>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</si>
  <si>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</si>
  <si>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</si>
  <si>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</si>
  <si>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</si>
  <si>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</si>
  <si>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</si>
  <si>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</si>
  <si>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</si>
  <si>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</si>
  <si>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</si>
  <si>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</si>
  <si>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</si>
  <si>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</si>
  <si>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</si>
  <si>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</si>
  <si>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</si>
  <si>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</si>
  <si>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</si>
  <si>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</si>
  <si>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</si>
  <si>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</si>
  <si>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</si>
  <si>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</si>
  <si>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</si>
  <si>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</si>
  <si>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</si>
  <si>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</si>
  <si>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</si>
  <si>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</si>
  <si>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</si>
  <si>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</si>
  <si>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</si>
  <si>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</si>
  <si>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</si>
  <si>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</si>
  <si>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</si>
  <si>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</si>
  <si>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</si>
  <si>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</si>
  <si>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</si>
  <si>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</si>
  <si>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</si>
  <si>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</si>
  <si>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</si>
  <si>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</si>
  <si>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</si>
  <si>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</si>
  <si>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</si>
  <si>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</si>
  <si>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</si>
  <si>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</si>
  <si>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</si>
  <si>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</si>
  <si>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</si>
  <si>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</si>
  <si>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</si>
  <si>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</si>
  <si>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</si>
  <si>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</si>
  <si>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</si>
  <si>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</si>
  <si>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</si>
  <si>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</si>
  <si>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</si>
  <si>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</si>
  <si>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</si>
  <si>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</si>
  <si>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</si>
  <si>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</si>
  <si>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</si>
  <si>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</si>
  <si>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</si>
  <si>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</si>
  <si>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</si>
  <si>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</si>
  <si>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</si>
  <si>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</si>
  <si>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</si>
  <si>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</si>
  <si>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</si>
  <si>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</si>
  <si>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</si>
  <si>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</si>
  <si>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</si>
  <si>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</si>
  <si>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</si>
  <si>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</si>
  <si>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</si>
  <si>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</si>
  <si>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</si>
  <si>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</si>
  <si>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</si>
  <si>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</si>
  <si>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</si>
  <si>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</si>
  <si>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</si>
  <si>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</si>
  <si>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</si>
  <si>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</si>
  <si>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</si>
  <si>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</si>
  <si>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</si>
  <si>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</si>
  <si>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</si>
  <si>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</si>
  <si>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</si>
  <si>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</si>
  <si>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</si>
  <si>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</si>
  <si>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</si>
  <si>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</si>
  <si>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</si>
  <si>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</si>
  <si>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</si>
  <si>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</si>
  <si>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</si>
  <si>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</si>
  <si>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</si>
  <si>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</si>
  <si>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</si>
  <si>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</si>
  <si>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</si>
  <si>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</si>
  <si>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</si>
  <si>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</si>
  <si>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</si>
  <si>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</si>
  <si>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</si>
  <si>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</si>
  <si>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</si>
  <si>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</si>
  <si>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</si>
  <si>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</si>
  <si>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</si>
  <si>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</si>
  <si>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</si>
  <si>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</si>
  <si>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</si>
  <si>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</si>
  <si>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</si>
  <si>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</si>
  <si>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</si>
  <si>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</si>
  <si>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</si>
  <si>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</si>
  <si>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</si>
  <si>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</si>
  <si>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</si>
  <si>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</si>
  <si>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</si>
  <si>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</si>
  <si>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</si>
  <si>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</si>
  <si>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</si>
  <si>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</si>
  <si>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</si>
  <si>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</si>
  <si>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</si>
  <si>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</si>
  <si>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</si>
  <si>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</si>
  <si>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</si>
  <si>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</si>
  <si>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</si>
  <si>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</si>
  <si>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</si>
  <si>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</si>
  <si>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</si>
  <si>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</si>
  <si>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</si>
  <si>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</si>
  <si>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</si>
  <si>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</si>
  <si>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</si>
  <si>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</si>
  <si>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</si>
  <si>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</si>
  <si>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</si>
  <si>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</si>
  <si>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</si>
  <si>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</si>
  <si>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</si>
  <si>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</si>
  <si>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</si>
  <si>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</si>
  <si>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</si>
  <si>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</si>
  <si>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</si>
  <si>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</si>
  <si>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</si>
  <si>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</si>
  <si>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</si>
  <si>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</si>
  <si>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</si>
  <si>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</si>
  <si>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</si>
  <si>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</si>
  <si>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</si>
  <si>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</si>
  <si>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</si>
  <si>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</si>
  <si>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</si>
  <si>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</si>
  <si>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</si>
  <si>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</si>
  <si>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</si>
  <si>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</si>
  <si>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</si>
  <si>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</si>
  <si>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</si>
  <si>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</si>
  <si>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</si>
  <si>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</si>
  <si>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</si>
  <si>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</si>
  <si>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</si>
  <si>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</si>
  <si>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</si>
  <si>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</si>
  <si>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</si>
  <si>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</si>
  <si>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</si>
  <si>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</si>
  <si>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</si>
  <si>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</si>
  <si>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</si>
  <si>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</si>
  <si>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</si>
  <si>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</si>
  <si>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</si>
  <si>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</si>
  <si>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</si>
  <si>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</si>
  <si>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</si>
  <si>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</si>
  <si>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</si>
  <si>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</si>
  <si>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</si>
  <si>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</si>
  <si>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</si>
  <si>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</si>
  <si>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</si>
  <si>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</si>
  <si>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</si>
  <si>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</si>
  <si>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</si>
  <si>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</si>
  <si>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</si>
  <si>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</si>
  <si>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</si>
  <si>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</si>
  <si>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</si>
  <si>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</si>
  <si>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</si>
  <si>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</si>
  <si>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</si>
  <si>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</si>
  <si>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</si>
  <si>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</si>
  <si>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</si>
  <si>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</si>
  <si>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</si>
  <si>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</si>
  <si>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</si>
  <si>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</si>
  <si>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</si>
  <si>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</si>
  <si>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</si>
  <si>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</si>
  <si>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</si>
  <si>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</si>
  <si>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</si>
  <si>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</si>
  <si>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</si>
  <si>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</si>
  <si>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</si>
  <si>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</si>
  <si>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</si>
  <si>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</si>
  <si>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</si>
  <si>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</si>
  <si>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</si>
  <si>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</si>
  <si>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</si>
  <si>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</si>
  <si>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</si>
  <si>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</si>
  <si>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</si>
  <si>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</si>
  <si>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</si>
  <si>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</si>
  <si>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</si>
  <si>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</si>
  <si>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</si>
  <si>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</si>
  <si>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</si>
  <si>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</si>
  <si>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</si>
  <si>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</si>
  <si>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</si>
  <si>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</si>
  <si>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</si>
  <si>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</si>
  <si>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</si>
  <si>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</si>
  <si>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</si>
  <si>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</si>
  <si>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</si>
  <si>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</si>
  <si>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</si>
  <si>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</si>
  <si>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</si>
  <si>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</si>
  <si>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</si>
  <si>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</si>
  <si>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</si>
  <si>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</si>
  <si>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</si>
  <si>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</si>
  <si>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</si>
  <si>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</si>
  <si>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</si>
  <si>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</si>
  <si>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</si>
  <si>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</si>
  <si>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</si>
  <si>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</si>
  <si>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</si>
  <si>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</si>
  <si>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</si>
  <si>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</si>
  <si>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</si>
  <si>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</si>
  <si>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</si>
  <si>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</si>
  <si>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</si>
  <si>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</si>
  <si>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</si>
  <si>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</si>
  <si>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</si>
  <si>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</si>
  <si>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</si>
  <si>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</si>
  <si>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</si>
  <si>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</si>
  <si>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</si>
  <si>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</si>
  <si>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</si>
  <si>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</si>
  <si>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</si>
  <si>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</si>
  <si>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</si>
  <si>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</si>
  <si>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</si>
  <si>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</si>
  <si>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</si>
  <si>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</si>
  <si>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</si>
  <si>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</si>
  <si>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</si>
  <si>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</si>
  <si>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</si>
  <si>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</si>
  <si>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</si>
  <si>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</si>
  <si>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</si>
  <si>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</si>
  <si>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</si>
  <si>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</si>
  <si>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</si>
  <si>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</si>
  <si>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</si>
  <si>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</si>
  <si>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</si>
  <si>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</si>
  <si>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</si>
  <si>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</si>
  <si>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</si>
  <si>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</si>
  <si>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</si>
  <si>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</si>
  <si>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</si>
  <si>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</si>
  <si>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</si>
  <si>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</si>
  <si>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</si>
  <si>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</si>
  <si>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</si>
  <si>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</si>
  <si>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</si>
  <si>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</si>
  <si>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</si>
  <si>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</si>
  <si>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</si>
  <si>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</si>
  <si>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</si>
  <si>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</si>
  <si>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</si>
  <si>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</si>
  <si>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</si>
  <si>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</si>
  <si>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</si>
  <si>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</si>
  <si>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</si>
  <si>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</si>
  <si>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</si>
  <si>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</si>
  <si>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</si>
  <si>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</si>
  <si>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</si>
  <si>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</si>
  <si>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</si>
  <si>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</si>
  <si>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</si>
  <si>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</si>
  <si>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</si>
  <si>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</si>
  <si>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</si>
  <si>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</si>
  <si>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</si>
  <si>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</si>
  <si>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</si>
  <si>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</si>
  <si>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</si>
  <si>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</si>
  <si>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</si>
  <si>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</si>
  <si>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</si>
  <si>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</si>
  <si>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</si>
  <si>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</si>
  <si>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</si>
  <si>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</si>
  <si>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</si>
  <si>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</si>
  <si>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</si>
  <si>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</si>
  <si>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</si>
  <si>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</si>
  <si>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</si>
  <si>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</si>
  <si>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</si>
  <si>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</si>
  <si>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</si>
  <si>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</si>
  <si>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</si>
  <si>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</si>
  <si>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</si>
  <si>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</si>
  <si>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</si>
  <si>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</si>
  <si>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</si>
  <si>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</si>
  <si>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</si>
  <si>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</si>
  <si>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</si>
  <si>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</si>
  <si>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</si>
  <si>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</si>
  <si>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</si>
  <si>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</si>
  <si>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</si>
  <si>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</si>
  <si>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</si>
  <si>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</si>
  <si>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</si>
  <si>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</si>
  <si>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</si>
  <si>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</si>
  <si>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</si>
  <si>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</si>
  <si>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</si>
  <si>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</si>
  <si>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</si>
  <si>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</si>
  <si>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</si>
  <si>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</si>
  <si>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</si>
  <si>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</si>
  <si>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</si>
  <si>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</si>
  <si>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</si>
  <si>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</si>
  <si>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</si>
  <si>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</si>
  <si>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</si>
  <si>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</si>
  <si>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</si>
  <si>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</si>
  <si>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</si>
  <si>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</si>
  <si>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</si>
  <si>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</si>
  <si>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</si>
  <si>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</si>
  <si>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</si>
  <si>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</si>
  <si>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</si>
  <si>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</si>
  <si>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</si>
  <si>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</si>
  <si>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</si>
  <si>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</si>
  <si>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</si>
  <si>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</si>
  <si>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</si>
  <si>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</si>
  <si>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</si>
  <si>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</si>
  <si>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</si>
  <si>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</si>
  <si>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</si>
  <si>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</si>
  <si>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</si>
  <si>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</si>
  <si>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</si>
  <si>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</si>
  <si>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</si>
  <si>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</si>
  <si>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</si>
  <si>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</si>
  <si>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</si>
  <si>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</si>
  <si>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</si>
  <si>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</si>
  <si>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</si>
  <si>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</si>
  <si>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</si>
  <si>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</si>
  <si>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</si>
  <si>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</si>
  <si>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</si>
  <si>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</si>
  <si>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</si>
  <si>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</si>
  <si>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</si>
  <si>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</si>
  <si>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</si>
  <si>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</si>
  <si>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</si>
  <si>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</si>
  <si>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</si>
  <si>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</si>
  <si>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</si>
  <si>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</si>
  <si>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</si>
  <si>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</si>
  <si>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</si>
  <si>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</si>
  <si>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</si>
  <si>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</si>
  <si>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</si>
  <si>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</si>
  <si>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</si>
  <si>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</si>
  <si>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</si>
  <si>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</si>
  <si>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</si>
  <si>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</si>
  <si>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</si>
  <si>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</si>
  <si>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</si>
  <si>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</si>
  <si>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</si>
  <si>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</si>
  <si>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</si>
  <si>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</si>
  <si>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</si>
  <si>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</si>
  <si>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</si>
  <si>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</si>
  <si>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</si>
  <si>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</si>
  <si>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</si>
  <si>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</si>
  <si>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</si>
  <si>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</si>
  <si>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</si>
  <si>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</si>
  <si>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</si>
  <si>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</si>
  <si>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</si>
  <si>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</si>
  <si>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</si>
  <si>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</si>
  <si>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</si>
  <si>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</si>
  <si>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</si>
  <si>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</si>
  <si>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</si>
  <si>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</si>
  <si>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</si>
  <si>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</si>
  <si>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</si>
  <si>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</si>
  <si>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</si>
  <si>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</si>
  <si>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</si>
  <si>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</si>
  <si>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</si>
  <si>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</si>
  <si>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</si>
  <si>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</si>
  <si>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</si>
  <si>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</si>
  <si>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</si>
  <si>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</si>
  <si>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</si>
  <si>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</si>
  <si>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</si>
  <si>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</si>
  <si>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</si>
  <si>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</si>
  <si>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</si>
  <si>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</si>
  <si>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</si>
  <si>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</si>
  <si>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</si>
  <si>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</si>
  <si>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</si>
  <si>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</si>
  <si>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</si>
  <si>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</si>
  <si>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</si>
  <si>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</si>
  <si>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</si>
  <si>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</si>
  <si>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</si>
  <si>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</si>
  <si>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</si>
  <si>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</si>
  <si>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</si>
  <si>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</si>
  <si>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</si>
  <si>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</si>
  <si>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</si>
  <si>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</si>
  <si>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</si>
  <si>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</si>
  <si>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</si>
  <si>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</si>
  <si>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</si>
  <si>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</si>
  <si>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</si>
  <si>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</si>
  <si>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</si>
  <si>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</si>
  <si>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</si>
  <si>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</si>
  <si>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</si>
  <si>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</si>
  <si>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</si>
  <si>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</si>
  <si>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</si>
  <si>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</si>
  <si>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</si>
  <si>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</si>
  <si>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</si>
  <si>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</si>
  <si>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</si>
  <si>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</si>
  <si>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</si>
  <si>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</si>
  <si>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</si>
  <si>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</si>
  <si>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</si>
  <si>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</si>
  <si>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</si>
  <si>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</si>
  <si>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</si>
  <si>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</si>
  <si>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</si>
  <si>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</si>
  <si>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</si>
  <si>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</si>
  <si>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</si>
  <si>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</si>
  <si>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</si>
  <si>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</si>
  <si>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</si>
  <si>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</si>
  <si>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</si>
  <si>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</si>
  <si>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</si>
  <si>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</si>
  <si>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</si>
  <si>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</si>
  <si>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</si>
  <si>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</si>
  <si>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</si>
  <si>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</si>
  <si>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</si>
  <si>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</si>
  <si>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</si>
  <si>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</si>
  <si>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</si>
  <si>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</si>
  <si>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</si>
  <si>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</si>
  <si>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</si>
  <si>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</si>
  <si>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</si>
  <si>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</si>
  <si>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</si>
  <si>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</si>
  <si>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</si>
  <si>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</si>
  <si>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</si>
  <si>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</si>
  <si>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</si>
  <si>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</si>
  <si>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</si>
  <si>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</si>
  <si>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</si>
  <si>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</si>
  <si>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</si>
  <si>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</si>
  <si>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</si>
  <si>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</si>
  <si>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</si>
  <si>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</si>
  <si>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</si>
  <si>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</si>
  <si>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</si>
  <si>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</si>
  <si>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</si>
  <si>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</si>
  <si>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</si>
  <si>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</si>
  <si>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</si>
  <si>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</si>
  <si>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</si>
  <si>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</si>
  <si>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</si>
  <si>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</si>
  <si>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</si>
  <si>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</si>
  <si>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</si>
  <si>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</si>
  <si>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</si>
  <si>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</si>
  <si>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</si>
  <si>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</si>
  <si>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</si>
  <si>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</si>
  <si>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</si>
  <si>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</si>
  <si>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</si>
  <si>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</si>
  <si>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</si>
  <si>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</si>
  <si>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</si>
  <si>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</si>
  <si>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</si>
  <si>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</si>
  <si>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</si>
  <si>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</si>
  <si>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</si>
  <si>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</si>
  <si>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</si>
  <si>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</si>
  <si>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</si>
  <si>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</si>
  <si>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</si>
  <si>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</si>
  <si>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</si>
  <si>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</si>
  <si>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</si>
  <si>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</si>
  <si>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</si>
  <si>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</si>
  <si>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</si>
  <si>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</si>
  <si>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</si>
  <si>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</si>
  <si>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</si>
  <si>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</si>
  <si>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</si>
  <si>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</si>
  <si>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</si>
  <si>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</si>
  <si>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</si>
  <si>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</si>
  <si>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</si>
  <si>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</si>
  <si>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</si>
  <si>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</si>
  <si>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</si>
  <si>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</si>
  <si>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</si>
  <si>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</si>
  <si>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</si>
  <si>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</si>
  <si>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</si>
  <si>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</si>
  <si>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</si>
  <si>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</si>
  <si>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</si>
  <si>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</si>
  <si>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</si>
  <si>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</si>
  <si>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</si>
  <si>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</si>
  <si>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</si>
  <si>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</si>
  <si>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</si>
  <si>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</si>
  <si>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</si>
  <si>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</si>
  <si>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</si>
  <si>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</si>
  <si>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</si>
  <si>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</si>
  <si>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</si>
  <si>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</si>
  <si>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</si>
  <si>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</si>
  <si>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</si>
  <si>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</si>
  <si>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</si>
  <si>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</si>
  <si>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</si>
  <si>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</si>
  <si>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</si>
  <si>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</si>
  <si>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</si>
  <si>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</si>
  <si>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</si>
  <si>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</si>
  <si>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</si>
  <si>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</si>
  <si>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</si>
  <si>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</si>
  <si>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</si>
  <si>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</si>
  <si>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</si>
  <si>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</si>
  <si>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</si>
  <si>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</si>
  <si>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</si>
  <si>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</si>
  <si>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</si>
  <si>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</si>
  <si>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</si>
  <si>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</si>
  <si>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</si>
  <si>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</si>
  <si>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</si>
  <si>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</si>
  <si>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</si>
  <si>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</si>
  <si>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</si>
  <si>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</si>
  <si>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</si>
  <si>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</si>
  <si>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</si>
  <si>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</si>
  <si>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</si>
  <si>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</si>
  <si>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</si>
  <si>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</si>
  <si>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</si>
  <si>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</si>
  <si>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</si>
  <si>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</si>
  <si>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</si>
  <si>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</si>
  <si>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</si>
  <si>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</si>
  <si>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</si>
  <si>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</si>
  <si>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</si>
  <si>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</si>
  <si>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</si>
  <si>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</si>
  <si>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</si>
  <si>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</si>
  <si>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</si>
  <si>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</si>
  <si>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</si>
  <si>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</si>
  <si>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</si>
  <si>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</si>
  <si>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</si>
  <si>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</si>
  <si>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</si>
  <si>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</si>
  <si>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</si>
  <si>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</si>
  <si>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</si>
  <si>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</si>
  <si>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</si>
  <si>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</si>
  <si>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</si>
  <si>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</si>
  <si>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</si>
  <si>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</si>
  <si>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</si>
  <si>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</si>
  <si>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</si>
  <si>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</si>
  <si>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</si>
  <si>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</si>
  <si>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</si>
  <si>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</si>
  <si>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</si>
  <si>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</si>
  <si>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</si>
  <si>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</si>
  <si>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</si>
  <si>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</si>
  <si>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</si>
  <si>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</si>
  <si>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</si>
  <si>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</si>
  <si>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</si>
  <si>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</si>
  <si>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</si>
  <si>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</si>
  <si>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</si>
  <si>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</si>
  <si>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</si>
  <si>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</si>
  <si>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</si>
  <si>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</si>
  <si>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</si>
  <si>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</si>
  <si>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</si>
  <si>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</si>
  <si>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</si>
  <si>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</si>
  <si>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</si>
  <si>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</si>
  <si>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</si>
  <si>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</si>
  <si>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</si>
  <si>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</si>
  <si>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</si>
  <si>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</si>
  <si>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</si>
  <si>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</si>
  <si>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</si>
  <si>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</si>
  <si>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</si>
  <si>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</si>
  <si>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</si>
  <si>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</si>
  <si>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</si>
  <si>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</si>
  <si>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</si>
  <si>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</si>
  <si>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</si>
  <si>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</si>
  <si>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</si>
  <si>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</si>
  <si>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</si>
  <si>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</si>
  <si>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</si>
  <si>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</si>
  <si>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</si>
  <si>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</si>
  <si>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</si>
  <si>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</si>
  <si>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</si>
  <si>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</si>
  <si>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</si>
  <si>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</si>
  <si>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</si>
  <si>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</si>
  <si>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</si>
  <si>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</si>
  <si>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</si>
  <si>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</si>
  <si>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</si>
  <si>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</si>
  <si>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</si>
  <si>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</si>
  <si>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</si>
  <si>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</si>
  <si>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</si>
  <si>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</si>
  <si>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</si>
  <si>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</si>
  <si>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</si>
  <si>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</si>
  <si>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</si>
  <si>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</si>
  <si>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</si>
  <si>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</si>
  <si>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</si>
  <si>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</si>
  <si>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</si>
  <si>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</si>
  <si>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</si>
  <si>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</si>
  <si>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</si>
  <si>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</si>
  <si>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</si>
  <si>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</si>
  <si>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</si>
  <si>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</si>
  <si>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</si>
  <si>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</si>
  <si>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</si>
  <si>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</si>
  <si>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</si>
  <si>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</si>
  <si>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</si>
  <si>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</si>
  <si>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</si>
  <si>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</si>
  <si>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</si>
  <si>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</si>
  <si>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</si>
  <si>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</si>
  <si>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</si>
  <si>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</si>
  <si>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</si>
  <si>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</si>
  <si>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</si>
  <si>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</si>
  <si>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</si>
  <si>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</si>
  <si>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</si>
  <si>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</si>
  <si>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</si>
  <si>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</si>
  <si>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</si>
  <si>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</si>
  <si>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</si>
  <si>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</si>
  <si>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</si>
  <si>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</si>
  <si>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</si>
  <si>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</si>
  <si>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</si>
  <si>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</si>
  <si>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</si>
  <si>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</si>
  <si>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</si>
  <si>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</si>
  <si>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</si>
  <si>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</si>
  <si>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</si>
  <si>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</si>
  <si>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</si>
  <si>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</si>
  <si>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</si>
  <si>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</si>
  <si>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</si>
  <si>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</si>
  <si>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</si>
  <si>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</si>
  <si>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</si>
  <si>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</si>
  <si>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</si>
  <si>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</si>
  <si>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</si>
  <si>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</si>
  <si>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</si>
  <si>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</si>
  <si>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</si>
  <si>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</si>
  <si>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</si>
  <si>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</si>
  <si>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</si>
  <si>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</si>
  <si>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</si>
  <si>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</si>
  <si>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</si>
  <si>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</si>
  <si>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</si>
  <si>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</si>
  <si>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</si>
  <si>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</si>
  <si>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</si>
  <si>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</si>
  <si>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</si>
  <si>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</si>
  <si>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</si>
  <si>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</si>
  <si>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</si>
  <si>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</si>
  <si>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</si>
  <si>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</si>
  <si>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</si>
  <si>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</si>
  <si>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</si>
  <si>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</si>
  <si>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</si>
  <si>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</si>
  <si>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</si>
  <si>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</si>
  <si>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</si>
  <si>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</si>
  <si>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</si>
  <si>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</si>
  <si>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</si>
  <si>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</si>
  <si>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</si>
  <si>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</si>
  <si>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</si>
  <si>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</si>
  <si>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</si>
  <si>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</si>
  <si>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</si>
  <si>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</si>
  <si>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</si>
  <si>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</si>
  <si>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</si>
  <si>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</si>
  <si>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</si>
  <si>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</si>
  <si>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</si>
  <si>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</si>
  <si>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</si>
  <si>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</si>
  <si>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</si>
  <si>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</si>
  <si>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</si>
  <si>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</si>
  <si>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</si>
  <si>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</si>
  <si>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</si>
  <si>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</si>
  <si>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</si>
  <si>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</si>
  <si>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</si>
  <si>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</si>
  <si>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</si>
  <si>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</si>
  <si>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</si>
  <si>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</si>
  <si>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</si>
  <si>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</si>
  <si>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</si>
  <si>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</si>
  <si>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</si>
  <si>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</si>
  <si>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</si>
  <si>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</si>
  <si>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</si>
  <si>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</si>
  <si>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</si>
  <si>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</si>
  <si>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</si>
  <si>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</si>
  <si>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</si>
  <si>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</si>
  <si>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</si>
  <si>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</si>
  <si>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</si>
  <si>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</si>
  <si>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</si>
  <si>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</si>
  <si>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</si>
  <si>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</si>
  <si>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</si>
  <si>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</si>
  <si>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</si>
  <si>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</si>
  <si>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</si>
  <si>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</si>
  <si>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</si>
  <si>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</si>
  <si>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</si>
  <si>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</si>
  <si>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</si>
  <si>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</si>
  <si>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</si>
  <si>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</si>
  <si>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</si>
  <si>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</si>
  <si>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</si>
  <si>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</si>
  <si>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</si>
  <si>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</si>
  <si>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</si>
  <si>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</si>
  <si>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</si>
  <si>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</si>
  <si>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</si>
  <si>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</si>
  <si>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</si>
  <si>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</si>
  <si>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</si>
  <si>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</si>
  <si>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</si>
  <si>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</si>
  <si>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</si>
  <si>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</si>
  <si>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</si>
  <si>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</si>
  <si>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</si>
  <si>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</si>
  <si>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</si>
  <si>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</si>
  <si>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</si>
  <si>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</si>
  <si>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</si>
  <si>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</si>
  <si>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</si>
  <si>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</si>
  <si>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</si>
  <si>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</si>
  <si>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</si>
  <si>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</si>
  <si>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</si>
  <si>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</si>
  <si>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</si>
  <si>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</si>
  <si>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自持商品房</t>
    <phoneticPr fontId="233" type="noConversion"/>
  </si>
  <si>
    <t>1#</t>
    <phoneticPr fontId="233" type="noConversion"/>
  </si>
  <si>
    <t>商品房</t>
    <phoneticPr fontId="233" type="noConversion"/>
  </si>
  <si>
    <r>
      <t>2</t>
    </r>
    <r>
      <rPr>
        <sz val="11"/>
        <color theme="1"/>
        <rFont val="宋体"/>
        <family val="3"/>
        <charset val="134"/>
        <scheme val="minor"/>
      </rPr>
      <t>#</t>
    </r>
    <phoneticPr fontId="23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</si>
  <si>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</si>
  <si>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</si>
  <si>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</si>
  <si>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</si>
  <si>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t>总建筑面积</t>
    <phoneticPr fontId="233" type="noConversion"/>
  </si>
  <si>
    <t>地下面积</t>
    <phoneticPr fontId="233" type="noConversion"/>
  </si>
  <si>
    <t>地上面积</t>
    <phoneticPr fontId="233" type="noConversion"/>
  </si>
  <si>
    <t>公共配套</t>
    <phoneticPr fontId="233" type="noConversion"/>
  </si>
  <si>
    <t>设备</t>
    <phoneticPr fontId="233" type="noConversion"/>
  </si>
  <si>
    <t>人防</t>
    <phoneticPr fontId="233" type="noConversion"/>
  </si>
  <si>
    <r>
      <t>7</t>
    </r>
    <r>
      <rPr>
        <sz val="11"/>
        <color theme="1"/>
        <rFont val="宋体"/>
        <family val="3"/>
        <charset val="134"/>
        <scheme val="minor"/>
      </rPr>
      <t>#</t>
    </r>
    <phoneticPr fontId="233" type="noConversion"/>
  </si>
  <si>
    <t>储藏室</t>
    <phoneticPr fontId="233" type="noConversion"/>
  </si>
  <si>
    <t>自持商品房</t>
    <phoneticPr fontId="233" type="noConversion"/>
  </si>
  <si>
    <r>
      <t>8</t>
    </r>
    <r>
      <rPr>
        <sz val="11"/>
        <color theme="1"/>
        <rFont val="宋体"/>
        <family val="3"/>
        <charset val="134"/>
        <scheme val="minor"/>
      </rPr>
      <t xml:space="preserve"># </t>
    </r>
    <phoneticPr fontId="233" type="noConversion"/>
  </si>
  <si>
    <r>
      <t>9</t>
    </r>
    <r>
      <rPr>
        <sz val="11"/>
        <color theme="1"/>
        <rFont val="宋体"/>
        <family val="3"/>
        <charset val="134"/>
        <scheme val="minor"/>
      </rPr>
      <t>#</t>
    </r>
    <phoneticPr fontId="233" type="noConversion"/>
  </si>
  <si>
    <r>
      <t>1</t>
    </r>
    <r>
      <rPr>
        <sz val="11"/>
        <color theme="1"/>
        <rFont val="宋体"/>
        <family val="3"/>
        <charset val="134"/>
        <scheme val="minor"/>
      </rPr>
      <t>0#</t>
    </r>
    <phoneticPr fontId="233" type="noConversion"/>
  </si>
  <si>
    <r>
      <t>1</t>
    </r>
    <r>
      <rPr>
        <sz val="11"/>
        <color theme="1"/>
        <rFont val="宋体"/>
        <family val="3"/>
        <charset val="134"/>
        <scheme val="minor"/>
      </rPr>
      <t>7#</t>
    </r>
    <phoneticPr fontId="233" type="noConversion"/>
  </si>
  <si>
    <r>
      <t>1</t>
    </r>
    <r>
      <rPr>
        <sz val="11"/>
        <color theme="1"/>
        <rFont val="宋体"/>
        <family val="3"/>
        <charset val="134"/>
        <scheme val="minor"/>
      </rPr>
      <t>8#</t>
    </r>
    <phoneticPr fontId="233" type="noConversion"/>
  </si>
  <si>
    <r>
      <t>1</t>
    </r>
    <r>
      <rPr>
        <sz val="11"/>
        <color theme="1"/>
        <rFont val="宋体"/>
        <family val="3"/>
        <charset val="134"/>
        <scheme val="minor"/>
      </rPr>
      <t>9#</t>
    </r>
    <phoneticPr fontId="233" type="noConversion"/>
  </si>
  <si>
    <r>
      <t>2</t>
    </r>
    <r>
      <rPr>
        <sz val="11"/>
        <color theme="1"/>
        <rFont val="宋体"/>
        <family val="3"/>
        <charset val="134"/>
        <scheme val="minor"/>
      </rPr>
      <t>0#</t>
    </r>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</si>
  <si>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</si>
  <si>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</si>
  <si>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r>
      <t>2</t>
    </r>
    <r>
      <rPr>
        <sz val="11"/>
        <color theme="1"/>
        <rFont val="宋体"/>
        <family val="3"/>
        <charset val="134"/>
        <scheme val="minor"/>
      </rPr>
      <t>3#</t>
    </r>
    <phoneticPr fontId="233" type="noConversion"/>
  </si>
  <si>
    <r>
      <t>2</t>
    </r>
    <r>
      <rPr>
        <sz val="11"/>
        <color theme="1"/>
        <rFont val="宋体"/>
        <family val="3"/>
        <charset val="134"/>
        <scheme val="minor"/>
      </rPr>
      <t>4#</t>
    </r>
    <phoneticPr fontId="233" type="noConversion"/>
  </si>
  <si>
    <r>
      <t>2</t>
    </r>
    <r>
      <rPr>
        <sz val="11"/>
        <color theme="1"/>
        <rFont val="宋体"/>
        <family val="3"/>
        <charset val="134"/>
        <scheme val="minor"/>
      </rPr>
      <t>5#</t>
    </r>
    <phoneticPr fontId="233" type="noConversion"/>
  </si>
  <si>
    <r>
      <t>2</t>
    </r>
    <r>
      <rPr>
        <sz val="11"/>
        <color theme="1"/>
        <rFont val="宋体"/>
        <family val="3"/>
        <charset val="134"/>
        <scheme val="minor"/>
      </rPr>
      <t>6#</t>
    </r>
    <phoneticPr fontId="233" type="noConversion"/>
  </si>
  <si>
    <r>
      <t>2</t>
    </r>
    <r>
      <rPr>
        <sz val="11"/>
        <color theme="1"/>
        <rFont val="宋体"/>
        <family val="3"/>
        <charset val="134"/>
        <scheme val="minor"/>
      </rPr>
      <t>7#</t>
    </r>
    <phoneticPr fontId="233" type="noConversion"/>
  </si>
  <si>
    <r>
      <t>2</t>
    </r>
    <r>
      <rPr>
        <sz val="11"/>
        <color theme="1"/>
        <rFont val="宋体"/>
        <family val="3"/>
        <charset val="134"/>
        <scheme val="minor"/>
      </rPr>
      <t>8#</t>
    </r>
    <phoneticPr fontId="233" type="noConversion"/>
  </si>
  <si>
    <r>
      <t>2</t>
    </r>
    <r>
      <rPr>
        <sz val="11"/>
        <color theme="1"/>
        <rFont val="宋体"/>
        <family val="3"/>
        <charset val="134"/>
        <scheme val="minor"/>
      </rPr>
      <t>9#</t>
    </r>
    <phoneticPr fontId="233" type="noConversion"/>
  </si>
  <si>
    <r>
      <t>3</t>
    </r>
    <r>
      <rPr>
        <sz val="11"/>
        <color theme="1"/>
        <rFont val="宋体"/>
        <family val="3"/>
        <charset val="134"/>
        <scheme val="minor"/>
      </rPr>
      <t>0#</t>
    </r>
    <phoneticPr fontId="233" type="noConversion"/>
  </si>
  <si>
    <r>
      <t>3</t>
    </r>
    <r>
      <rPr>
        <sz val="11"/>
        <color theme="1"/>
        <rFont val="宋体"/>
        <family val="3"/>
        <charset val="134"/>
        <scheme val="minor"/>
      </rPr>
      <t>1#</t>
    </r>
    <phoneticPr fontId="233" type="noConversion"/>
  </si>
  <si>
    <r>
      <t>3</t>
    </r>
    <r>
      <rPr>
        <sz val="11"/>
        <color theme="1"/>
        <rFont val="宋体"/>
        <family val="3"/>
        <charset val="134"/>
        <scheme val="minor"/>
      </rPr>
      <t>2#</t>
    </r>
    <phoneticPr fontId="233" type="noConversion"/>
  </si>
  <si>
    <r>
      <t>3</t>
    </r>
    <r>
      <rPr>
        <sz val="11"/>
        <color theme="1"/>
        <rFont val="宋体"/>
        <family val="3"/>
        <charset val="134"/>
        <scheme val="minor"/>
      </rPr>
      <t>3#</t>
    </r>
    <phoneticPr fontId="233" type="noConversion"/>
  </si>
  <si>
    <r>
      <t>3</t>
    </r>
    <r>
      <rPr>
        <sz val="11"/>
        <color theme="1"/>
        <rFont val="宋体"/>
        <family val="3"/>
        <charset val="134"/>
        <scheme val="minor"/>
      </rPr>
      <t>4#</t>
    </r>
    <phoneticPr fontId="233" type="noConversion"/>
  </si>
  <si>
    <r>
      <t>3</t>
    </r>
    <r>
      <rPr>
        <sz val="11"/>
        <color theme="1"/>
        <rFont val="宋体"/>
        <family val="3"/>
        <charset val="134"/>
        <scheme val="minor"/>
      </rPr>
      <t>5#</t>
    </r>
    <phoneticPr fontId="233" type="noConversion"/>
  </si>
  <si>
    <r>
      <t>4</t>
    </r>
    <r>
      <rPr>
        <sz val="11"/>
        <color theme="1"/>
        <rFont val="宋体"/>
        <family val="3"/>
        <charset val="134"/>
        <scheme val="minor"/>
      </rPr>
      <t>5#</t>
    </r>
    <phoneticPr fontId="233" type="noConversion"/>
  </si>
  <si>
    <r>
      <t>4</t>
    </r>
    <r>
      <rPr>
        <sz val="11"/>
        <color theme="1"/>
        <rFont val="宋体"/>
        <family val="3"/>
        <charset val="134"/>
        <scheme val="minor"/>
      </rPr>
      <t>6#</t>
    </r>
    <phoneticPr fontId="233" type="noConversion"/>
  </si>
  <si>
    <r>
      <t>4</t>
    </r>
    <r>
      <rPr>
        <sz val="11"/>
        <color theme="1"/>
        <rFont val="宋体"/>
        <family val="3"/>
        <charset val="134"/>
        <scheme val="minor"/>
      </rPr>
      <t>7#</t>
    </r>
    <phoneticPr fontId="233" type="noConversion"/>
  </si>
  <si>
    <r>
      <t>4</t>
    </r>
    <r>
      <rPr>
        <sz val="11"/>
        <color theme="1"/>
        <rFont val="宋体"/>
        <family val="3"/>
        <charset val="134"/>
        <scheme val="minor"/>
      </rPr>
      <t>8#</t>
    </r>
    <phoneticPr fontId="233" type="noConversion"/>
  </si>
  <si>
    <r>
      <t>4</t>
    </r>
    <r>
      <rPr>
        <sz val="11"/>
        <color theme="1"/>
        <rFont val="宋体"/>
        <family val="3"/>
        <charset val="134"/>
        <scheme val="minor"/>
      </rPr>
      <t>9#</t>
    </r>
    <phoneticPr fontId="233" type="noConversion"/>
  </si>
  <si>
    <r>
      <t>5</t>
    </r>
    <r>
      <rPr>
        <sz val="11"/>
        <color theme="1"/>
        <rFont val="宋体"/>
        <family val="3"/>
        <charset val="134"/>
        <scheme val="minor"/>
      </rPr>
      <t>0#</t>
    </r>
    <phoneticPr fontId="233" type="noConversion"/>
  </si>
  <si>
    <t>设备</t>
    <phoneticPr fontId="233" type="noConversion"/>
  </si>
  <si>
    <r>
      <t>5</t>
    </r>
    <r>
      <rPr>
        <sz val="11"/>
        <color theme="1"/>
        <rFont val="宋体"/>
        <family val="3"/>
        <charset val="134"/>
        <scheme val="minor"/>
      </rPr>
      <t>1#</t>
    </r>
    <phoneticPr fontId="233" type="noConversion"/>
  </si>
  <si>
    <r>
      <t>5</t>
    </r>
    <r>
      <rPr>
        <sz val="11"/>
        <color theme="1"/>
        <rFont val="宋体"/>
        <family val="3"/>
        <charset val="134"/>
        <scheme val="minor"/>
      </rPr>
      <t>2#</t>
    </r>
    <phoneticPr fontId="233" type="noConversion"/>
  </si>
  <si>
    <r>
      <t>5</t>
    </r>
    <r>
      <rPr>
        <sz val="11"/>
        <color theme="1"/>
        <rFont val="宋体"/>
        <family val="3"/>
        <charset val="134"/>
        <scheme val="minor"/>
      </rPr>
      <t>3#</t>
    </r>
    <phoneticPr fontId="233" type="noConversion"/>
  </si>
  <si>
    <r>
      <t>5</t>
    </r>
    <r>
      <rPr>
        <sz val="11"/>
        <color theme="1"/>
        <rFont val="宋体"/>
        <family val="3"/>
        <charset val="134"/>
        <scheme val="minor"/>
      </rPr>
      <t>4#</t>
    </r>
    <phoneticPr fontId="233" type="noConversion"/>
  </si>
  <si>
    <r>
      <t>5</t>
    </r>
    <r>
      <rPr>
        <sz val="11"/>
        <color theme="1"/>
        <rFont val="宋体"/>
        <family val="3"/>
        <charset val="134"/>
        <scheme val="minor"/>
      </rPr>
      <t>5#</t>
    </r>
    <phoneticPr fontId="233" type="noConversion"/>
  </si>
  <si>
    <r>
      <t>5</t>
    </r>
    <r>
      <rPr>
        <sz val="11"/>
        <color theme="1"/>
        <rFont val="宋体"/>
        <family val="3"/>
        <charset val="134"/>
        <scheme val="minor"/>
      </rPr>
      <t>6#</t>
    </r>
    <phoneticPr fontId="233" type="noConversion"/>
  </si>
  <si>
    <r>
      <t>5</t>
    </r>
    <r>
      <rPr>
        <sz val="11"/>
        <color theme="1"/>
        <rFont val="宋体"/>
        <family val="3"/>
        <charset val="134"/>
        <scheme val="minor"/>
      </rPr>
      <t>7#</t>
    </r>
    <phoneticPr fontId="233" type="noConversion"/>
  </si>
  <si>
    <r>
      <t>5</t>
    </r>
    <r>
      <rPr>
        <sz val="11"/>
        <color theme="1"/>
        <rFont val="宋体"/>
        <family val="3"/>
        <charset val="134"/>
        <scheme val="minor"/>
      </rPr>
      <t>8#</t>
    </r>
    <phoneticPr fontId="233" type="noConversion"/>
  </si>
  <si>
    <r>
      <t>5</t>
    </r>
    <r>
      <rPr>
        <sz val="11"/>
        <color theme="1"/>
        <rFont val="宋体"/>
        <family val="3"/>
        <charset val="134"/>
        <scheme val="minor"/>
      </rPr>
      <t>9#</t>
    </r>
    <phoneticPr fontId="233" type="noConversion"/>
  </si>
  <si>
    <r>
      <t>6</t>
    </r>
    <r>
      <rPr>
        <sz val="11"/>
        <color theme="1"/>
        <rFont val="宋体"/>
        <family val="3"/>
        <charset val="134"/>
        <scheme val="minor"/>
      </rPr>
      <t>0#</t>
    </r>
    <phoneticPr fontId="233" type="noConversion"/>
  </si>
  <si>
    <r>
      <t>6</t>
    </r>
    <r>
      <rPr>
        <sz val="11"/>
        <color theme="1"/>
        <rFont val="宋体"/>
        <family val="3"/>
        <charset val="134"/>
        <scheme val="minor"/>
      </rPr>
      <t>1#</t>
    </r>
    <phoneticPr fontId="233" type="noConversion"/>
  </si>
  <si>
    <r>
      <t>6</t>
    </r>
    <r>
      <rPr>
        <sz val="11"/>
        <color theme="1"/>
        <rFont val="宋体"/>
        <family val="3"/>
        <charset val="134"/>
        <scheme val="minor"/>
      </rPr>
      <t>2#</t>
    </r>
    <phoneticPr fontId="233" type="noConversion"/>
  </si>
  <si>
    <r>
      <t>6</t>
    </r>
    <r>
      <rPr>
        <sz val="11"/>
        <color theme="1"/>
        <rFont val="宋体"/>
        <family val="3"/>
        <charset val="134"/>
        <scheme val="minor"/>
      </rPr>
      <t>3#</t>
    </r>
    <phoneticPr fontId="233" type="noConversion"/>
  </si>
  <si>
    <r>
      <t>6</t>
    </r>
    <r>
      <rPr>
        <sz val="11"/>
        <color theme="1"/>
        <rFont val="宋体"/>
        <family val="3"/>
        <charset val="134"/>
        <scheme val="minor"/>
      </rPr>
      <t>4#</t>
    </r>
    <phoneticPr fontId="233" type="noConversion"/>
  </si>
  <si>
    <t>S1#</t>
    <phoneticPr fontId="233" type="noConversion"/>
  </si>
  <si>
    <t>配套公建</t>
    <phoneticPr fontId="233" type="noConversion"/>
  </si>
  <si>
    <t>公厕</t>
    <phoneticPr fontId="233" type="noConversion"/>
  </si>
  <si>
    <t>小型商业服务设施</t>
    <phoneticPr fontId="233" type="noConversion"/>
  </si>
  <si>
    <t>物业管理用房</t>
    <phoneticPr fontId="233" type="noConversion"/>
  </si>
  <si>
    <t>社区文化活动</t>
    <phoneticPr fontId="233"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</si>
  <si>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</si>
  <si>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</si>
  <si>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</si>
  <si>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</si>
  <si>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</si>
  <si>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</si>
  <si>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</si>
  <si>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</si>
  <si>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</si>
  <si>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</si>
  <si>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</si>
  <si>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</si>
  <si>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</si>
  <si>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</si>
  <si>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</si>
  <si>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</si>
  <si>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</si>
  <si>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</si>
  <si>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</si>
  <si>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</si>
  <si>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</si>
  <si>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</si>
  <si>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</si>
  <si>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</si>
  <si>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</si>
  <si>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</si>
  <si>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</si>
  <si>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</si>
  <si>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</si>
  <si>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</si>
  <si>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</si>
  <si>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</si>
  <si>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</si>
  <si>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</si>
  <si>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</si>
  <si>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</si>
  <si>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</si>
  <si>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</si>
  <si>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</si>
  <si>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</si>
  <si>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</si>
  <si>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</si>
  <si>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</si>
  <si>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</si>
  <si>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</si>
  <si>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</si>
  <si>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</si>
  <si>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</si>
  <si>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</si>
  <si>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</si>
  <si>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</si>
  <si>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</si>
  <si>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</si>
  <si>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</si>
  <si>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</si>
  <si>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</si>
  <si>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</si>
  <si>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</si>
  <si>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</si>
  <si>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</si>
  <si>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</si>
  <si>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</si>
  <si>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</si>
  <si>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</si>
  <si>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地上</t>
  </si>
  <si>
    <t>洋房</t>
  </si>
  <si>
    <t>地下</t>
  </si>
  <si>
    <t>叠拼</t>
  </si>
  <si>
    <t>合院</t>
  </si>
  <si>
    <t>合院</t>
    <phoneticPr fontId="14" type="noConversion"/>
  </si>
  <si>
    <t>车库</t>
  </si>
  <si>
    <t>仓储</t>
  </si>
  <si>
    <t>戊类库房</t>
  </si>
  <si>
    <t>地下车库及设备用房</t>
    <phoneticPr fontId="3" type="noConversion"/>
  </si>
  <si>
    <r>
      <t>S1#</t>
    </r>
    <r>
      <rPr>
        <sz val="11"/>
        <color indexed="8"/>
        <rFont val="宋体"/>
        <family val="3"/>
        <charset val="134"/>
      </rPr>
      <t>配套公建</t>
    </r>
    <phoneticPr fontId="3" type="noConversion"/>
  </si>
  <si>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</si>
  <si>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</si>
  <si>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</si>
  <si>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</si>
  <si>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</si>
  <si>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</si>
  <si>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</si>
  <si>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</si>
  <si>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</si>
  <si>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</si>
  <si>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</si>
  <si>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</si>
  <si>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</si>
  <si>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</si>
  <si>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</si>
  <si>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</si>
  <si>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</si>
  <si>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</si>
  <si>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</si>
  <si>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</si>
  <si>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</si>
  <si>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</si>
  <si>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</si>
  <si>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</si>
  <si>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</si>
  <si>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</si>
  <si>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</si>
  <si>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</si>
  <si>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</si>
  <si>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</si>
  <si>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</si>
  <si>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</si>
  <si>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</si>
  <si>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</si>
  <si>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</si>
  <si>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</si>
  <si>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</si>
  <si>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</si>
  <si>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</si>
  <si>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</si>
  <si>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</si>
  <si>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</si>
  <si>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</si>
  <si>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</si>
  <si>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</si>
  <si>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</si>
  <si>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</si>
  <si>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</si>
  <si>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</si>
  <si>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r>
      <rPr>
        <sz val="11"/>
        <rFont val="宋体"/>
        <family val="3"/>
        <charset val="134"/>
      </rPr>
      <t>估价对象周边</t>
    </r>
    <r>
      <rPr>
        <sz val="11"/>
        <rFont val="Arial"/>
        <family val="2"/>
      </rPr>
      <t>1</t>
    </r>
    <r>
      <rPr>
        <sz val="11"/>
        <rFont val="宋体"/>
        <family val="3"/>
        <charset val="134"/>
      </rPr>
      <t>公里内仅有阿凯笛亚庄园、莫奈花园，综合评价居住社区成熟度一般</t>
    </r>
    <phoneticPr fontId="3" type="noConversion"/>
  </si>
  <si>
    <t>一般</t>
  </si>
  <si>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</si>
  <si>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t>较好</t>
  </si>
  <si>
    <t>区域自然环境：罗马湖公园；人文环境：中央美术学院；综合评价环境状况较好</t>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</si>
  <si>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</si>
  <si>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t>七通</t>
  </si>
  <si>
    <t>正常</t>
  </si>
  <si>
    <t>崔锴</t>
  </si>
  <si>
    <t>赵雯</t>
  </si>
  <si>
    <t>北京中铁诺德隆兴置业有限公司</t>
    <phoneticPr fontId="3" type="noConversion"/>
  </si>
  <si>
    <t>中国农业银行股份有限公司北京宣武支行</t>
    <phoneticPr fontId="3" type="noConversion"/>
  </si>
  <si>
    <t>抵押</t>
  </si>
  <si>
    <t>抵押价格</t>
  </si>
  <si>
    <t>顺义区后沙峪镇31-18-001e地块R2二类居住用地</t>
    <phoneticPr fontId="3" type="noConversion"/>
  </si>
  <si>
    <t>企业</t>
  </si>
  <si>
    <t>出让</t>
  </si>
  <si>
    <t>一致</t>
  </si>
  <si>
    <t>符合</t>
  </si>
  <si>
    <t>地下仓储</t>
  </si>
  <si>
    <t>居住项目</t>
  </si>
  <si>
    <t>无</t>
  </si>
  <si>
    <t>场地平整</t>
  </si>
  <si>
    <t>平整</t>
  </si>
  <si>
    <t>通路</t>
  </si>
  <si>
    <t>通电</t>
  </si>
  <si>
    <t>通讯</t>
  </si>
  <si>
    <t>通上水</t>
  </si>
  <si>
    <t>通下水</t>
  </si>
  <si>
    <t>燃气</t>
  </si>
  <si>
    <t>——</t>
    <phoneticPr fontId="3" type="noConversion"/>
  </si>
  <si>
    <t>估价对象所在区域基础设施水平七通一平</t>
    <phoneticPr fontId="3" type="noConversion"/>
  </si>
  <si>
    <t>估价对象周边1公里内仅有龙湖滟澜山、优山美地D区等，综合评价居住社区成熟度较好</t>
    <phoneticPr fontId="3" type="noConversion"/>
  </si>
  <si>
    <t>较一致</t>
    <phoneticPr fontId="21" type="noConversion"/>
  </si>
  <si>
    <t>多面临街</t>
  </si>
  <si>
    <t>估价对象所在区域公共配套设施齐备情况较差，2公里内有银行、社区医院等</t>
    <phoneticPr fontId="3" type="noConversion"/>
  </si>
  <si>
    <t>区域自然环境：温榆河；人文环境：北京国际标准舞学院；综合评价环境状况较好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</si>
  <si>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安庆街</t>
    </r>
    <phoneticPr fontId="3" type="noConversion"/>
  </si>
  <si>
    <t>较差</t>
  </si>
  <si>
    <t>基础设施水平</t>
  </si>
  <si>
    <t>六通</t>
  </si>
  <si>
    <r>
      <rPr>
        <sz val="11"/>
        <rFont val="宋体"/>
        <family val="3"/>
        <charset val="134"/>
      </rPr>
      <t>估价对象周边</t>
    </r>
    <r>
      <rPr>
        <sz val="11"/>
        <rFont val="Arial"/>
        <family val="2"/>
      </rPr>
      <t>1</t>
    </r>
    <r>
      <rPr>
        <sz val="11"/>
        <rFont val="宋体"/>
        <family val="3"/>
        <charset val="134"/>
      </rPr>
      <t>公里内仅有观承别墅、新于庄园，综合评价居住社区成熟度一般</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</si>
  <si>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</si>
  <si>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13</t>
    </r>
    <r>
      <rPr>
        <sz val="11"/>
        <rFont val="宋体"/>
        <family val="3"/>
        <charset val="134"/>
      </rPr>
      <t>、</t>
    </r>
    <r>
      <rPr>
        <sz val="11"/>
        <rFont val="Arial"/>
        <family val="2"/>
      </rPr>
      <t>942</t>
    </r>
    <r>
      <rPr>
        <sz val="11"/>
        <rFont val="宋体"/>
        <family val="3"/>
        <charset val="134"/>
      </rPr>
      <t>路公交线路、距京承高速公路</t>
    </r>
    <r>
      <rPr>
        <sz val="11"/>
        <rFont val="Arial"/>
        <family val="2"/>
      </rPr>
      <t>1.1</t>
    </r>
    <r>
      <rPr>
        <sz val="11"/>
        <rFont val="宋体"/>
        <family val="3"/>
        <charset val="134"/>
      </rPr>
      <t>公里、停车较便捷，综合评价交通便捷度较好</t>
    </r>
    <phoneticPr fontId="26" type="noConversion"/>
  </si>
  <si>
    <t>估价对象周边1公里内公共交通通达情况较好，有942、855路公交线路、距京承高速公路1.3公里、停车较便捷，综合评价交通便捷度较好</t>
    <phoneticPr fontId="3" type="noConversion"/>
  </si>
  <si>
    <t>较一致</t>
    <phoneticPr fontId="26" type="noConversion"/>
  </si>
  <si>
    <t>较一致</t>
    <phoneticPr fontId="26" type="noConversion"/>
  </si>
  <si>
    <t>区域自然环境：罗马湖公园；人文环境：中央美术学院；综合评价环境状况较好</t>
    <phoneticPr fontId="3" type="noConversion"/>
  </si>
  <si>
    <t>区域自然环境：春晖园温泉度假村；人文环境：唐自头影视基地；综合评价环境状况较好</t>
    <phoneticPr fontId="26"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</si>
  <si>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</si>
  <si>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公里内有银行、购物中心、学校等</t>
    </r>
    <phoneticPr fontId="26" type="noConversion"/>
  </si>
  <si>
    <t>七通</t>
    <phoneticPr fontId="26" type="noConversion"/>
  </si>
  <si>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</si>
  <si>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</si>
  <si>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</si>
  <si>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</si>
  <si>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</si>
  <si>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</si>
  <si>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</si>
  <si>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</si>
  <si>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</si>
  <si>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</si>
  <si>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</si>
  <si>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</si>
  <si>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</si>
  <si>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</si>
  <si>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</si>
  <si>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</si>
  <si>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</si>
  <si>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</si>
  <si>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</si>
  <si>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</si>
  <si>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</si>
  <si>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</si>
  <si>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</si>
  <si>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</si>
  <si>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</si>
  <si>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</si>
  <si>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</si>
  <si>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</si>
  <si>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</si>
  <si>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</si>
  <si>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</si>
  <si>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地下仓储</t>
    <phoneticPr fontId="7" type="noConversion"/>
  </si>
  <si>
    <t>地下车库</t>
    <phoneticPr fontId="7"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</si>
  <si>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</si>
  <si>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</si>
  <si>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已全部缴纳</t>
  </si>
  <si>
    <t>销售住宅</t>
  </si>
  <si>
    <t>销售住宅</t>
    <phoneticPr fontId="7" type="noConversion"/>
  </si>
  <si>
    <t>自持住宅</t>
  </si>
  <si>
    <t>自持住宅</t>
    <phoneticPr fontId="7" type="noConversion"/>
  </si>
  <si>
    <t>正常操作</t>
  </si>
  <si>
    <t>钢混</t>
  </si>
  <si>
    <t>按租金收入计税</t>
  </si>
  <si>
    <t>押一</t>
  </si>
  <si>
    <t>土地（套用方法）</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</si>
  <si>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</si>
  <si>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</si>
  <si>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</si>
  <si>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t>不动产收益法-仓储</t>
  </si>
  <si>
    <t>不动产收益法-车库</t>
  </si>
  <si>
    <t>不动产收益法-自持住宅</t>
  </si>
  <si>
    <t>剩余法-待开发</t>
  </si>
  <si>
    <t>比较法-住宅、综合</t>
  </si>
  <si>
    <t>项目全部</t>
  </si>
  <si>
    <t>土地</t>
  </si>
  <si>
    <t>顺义区后沙峪镇31-18-001e地块R2二类居住用地</t>
  </si>
  <si>
    <t>顺义区高丽营镇于庄</t>
  </si>
  <si>
    <t>顺义区高丽营镇于庄</t>
    <phoneticPr fontId="3" type="noConversion"/>
  </si>
  <si>
    <t>顺义区后沙峪镇马头庄村</t>
  </si>
  <si>
    <t>顺义区后沙峪镇马头庄村</t>
    <phoneticPr fontId="26" type="noConversion"/>
  </si>
  <si>
    <t>顺义区后沙峪镇马头庄村</t>
    <phoneticPr fontId="3" type="noConversion"/>
  </si>
  <si>
    <t>顺义区后沙峪镇</t>
  </si>
  <si>
    <t>顺义区后沙峪镇</t>
    <phoneticPr fontId="3" type="noConversion"/>
  </si>
  <si>
    <t>比较因素</t>
  </si>
  <si>
    <t>估价对象</t>
  </si>
  <si>
    <t>案例A</t>
  </si>
  <si>
    <t>案例B</t>
  </si>
  <si>
    <t>案例C</t>
  </si>
  <si>
    <t>交易时间</t>
  </si>
  <si>
    <t>交易情况</t>
  </si>
  <si>
    <t>用途</t>
  </si>
  <si>
    <t>土地使用年限（年）</t>
  </si>
  <si>
    <t>60-70（含）</t>
  </si>
  <si>
    <t>区域因素</t>
  </si>
  <si>
    <t>公共配套设施</t>
  </si>
  <si>
    <t>个别因素</t>
  </si>
  <si>
    <t>宗地面积</t>
  </si>
  <si>
    <t>宗地形状</t>
  </si>
  <si>
    <t>临街宽度及深度</t>
  </si>
  <si>
    <t>宗地开发程度</t>
  </si>
  <si>
    <t>工程地质条件</t>
  </si>
  <si>
    <t>七通</t>
    <phoneticPr fontId="233" type="noConversion"/>
  </si>
  <si>
    <t>系数</t>
    <phoneticPr fontId="233" type="noConversion"/>
  </si>
  <si>
    <t>自定义</t>
  </si>
  <si>
    <t>11#</t>
    <phoneticPr fontId="233" type="noConversion"/>
  </si>
  <si>
    <t>12#</t>
    <phoneticPr fontId="233" type="noConversion"/>
  </si>
  <si>
    <t>13#</t>
    <phoneticPr fontId="233" type="noConversion"/>
  </si>
  <si>
    <t>14#</t>
    <phoneticPr fontId="233" type="noConversion"/>
  </si>
  <si>
    <t>15#</t>
    <phoneticPr fontId="233" type="noConversion"/>
  </si>
  <si>
    <t>16#</t>
    <phoneticPr fontId="233" type="noConversion"/>
  </si>
  <si>
    <t>36#</t>
    <phoneticPr fontId="233" type="noConversion"/>
  </si>
  <si>
    <t>37#</t>
    <phoneticPr fontId="233" type="noConversion"/>
  </si>
  <si>
    <t>38#</t>
    <phoneticPr fontId="233" type="noConversion"/>
  </si>
  <si>
    <t>39#</t>
    <phoneticPr fontId="233" type="noConversion"/>
  </si>
  <si>
    <t>40#</t>
    <phoneticPr fontId="233" type="noConversion"/>
  </si>
  <si>
    <t>41#</t>
    <phoneticPr fontId="233" type="noConversion"/>
  </si>
  <si>
    <t>42#</t>
    <phoneticPr fontId="233" type="noConversion"/>
  </si>
  <si>
    <t>43#</t>
    <phoneticPr fontId="233" type="noConversion"/>
  </si>
  <si>
    <t>44#</t>
    <phoneticPr fontId="233" type="noConversion"/>
  </si>
  <si>
    <t>机动车库</t>
    <phoneticPr fontId="233" type="noConversion"/>
  </si>
  <si>
    <t>设备</t>
    <phoneticPr fontId="233" type="noConversion"/>
  </si>
  <si>
    <t>仓储</t>
    <phoneticPr fontId="233" type="noConversion"/>
  </si>
  <si>
    <t>配套</t>
    <phoneticPr fontId="233" type="noConversion"/>
  </si>
  <si>
    <t>人防</t>
    <phoneticPr fontId="233" type="noConversion"/>
  </si>
  <si>
    <t>2#地下车库</t>
    <phoneticPr fontId="233" type="noConversion"/>
  </si>
  <si>
    <r>
      <t>1</t>
    </r>
    <r>
      <rPr>
        <sz val="11"/>
        <color theme="1"/>
        <rFont val="宋体"/>
        <family val="3"/>
        <charset val="134"/>
        <scheme val="minor"/>
      </rPr>
      <t>#地下车库</t>
    </r>
    <phoneticPr fontId="233" type="noConversion"/>
  </si>
  <si>
    <t>地下车库</t>
    <phoneticPr fontId="233" type="noConversion"/>
  </si>
  <si>
    <t>设备</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</si>
</sst>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147" fillId="0" borderId="0" xfId="0" applyFont="1">
      <alignment vertical="center"/>
    </xf>
    <xf numFmtId="0" fontId="277" fillId="0" borderId="0" xfId="0" applyFont="1">
      <alignment vertical="center"/>
    </xf>
    <xf numFmtId="0" fontId="0" fillId="7" borderId="0" xfId="0" applyFill="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49" fontId="144" fillId="0" borderId="18"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0" fillId="0" borderId="2" xfId="0" applyBorder="1" applyAlignment="1">
      <alignment vertical="center" wrapText="1"/>
    </xf>
    <xf numFmtId="14" fontId="0" fillId="0" borderId="2" xfId="0" applyNumberFormat="1" applyBorder="1" applyAlignment="1">
      <alignment vertical="center" wrapText="1"/>
    </xf>
    <xf numFmtId="0" fontId="145" fillId="0" borderId="2" xfId="0" applyFont="1" applyBorder="1" applyAlignment="1">
      <alignment vertical="center" wrapText="1"/>
    </xf>
    <xf numFmtId="186" fontId="71" fillId="0" borderId="2" xfId="0" applyNumberFormat="1" applyFont="1" applyBorder="1" applyAlignment="1" applyProtection="1">
      <alignment vertical="center" wrapText="1"/>
      <protection locked="0"/>
    </xf>
    <xf numFmtId="181" fontId="158" fillId="6" borderId="2" xfId="0" applyNumberFormat="1" applyFont="1" applyFill="1" applyBorder="1" applyAlignment="1" applyProtection="1">
      <alignment horizontal="center"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177" fontId="158" fillId="6" borderId="12" xfId="2" applyNumberFormat="1" applyFont="1" applyFill="1" applyBorder="1" applyAlignment="1" applyProtection="1">
      <alignment horizontal="center"/>
    </xf>
    <xf numFmtId="177" fontId="86" fillId="8" borderId="2" xfId="2"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0" fillId="0" borderId="0" xfId="0" applyFill="1">
      <alignment vertical="center"/>
    </xf>
    <xf numFmtId="0" fontId="277" fillId="0" borderId="0" xfId="0" applyFont="1" applyFill="1">
      <alignment vertical="center"/>
    </xf>
    <xf numFmtId="0" fontId="145" fillId="0" borderId="0" xfId="0" applyFont="1" applyFill="1">
      <alignment vertical="center"/>
    </xf>
    <xf numFmtId="0" fontId="84" fillId="0" borderId="32" xfId="0" applyFont="1" applyFill="1" applyBorder="1" applyProtection="1">
      <alignment vertical="center"/>
      <protection locked="0"/>
    </xf>
    <xf numFmtId="0" fontId="84" fillId="0" borderId="1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lignment horizontal="center" vertical="center" wrapText="1"/>
    </xf>
    <xf numFmtId="0" fontId="145" fillId="0" borderId="2"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981075</xdr:colOff>
      <xdr:row>44</xdr:row>
      <xdr:rowOff>95250</xdr:rowOff>
    </xdr:to>
    <xdr:pic>
      <xdr:nvPicPr>
        <xdr:cNvPr id="2" name="图片 1" descr="C:\Documents and Settings\Administrator\Application Data\Tencent\Users\896593153\QQ\WinTemp\RichOle\Y7FX%C]~UM3DALO[%}HR55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1750"/>
          <a:ext cx="57816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北京市顺义区后沙峪镇31-18-001e地块R2二类居住用地出让国有建设用地使用权抵押价格预评估</v>
      </c>
      <c r="AX2" s="2893"/>
      <c r="AZ2" s="2893"/>
      <c r="BA2" s="2894"/>
      <c r="BC2" s="2894"/>
    </row>
    <row r="3" spans="1:55" s="2895" customFormat="1">
      <c r="A3" s="2874" t="s">
        <v>2662</v>
      </c>
      <c r="B3" s="2877" t="str">
        <f>'预评函-封皮'!B40</f>
        <v>北京中铁诺德隆兴置业有限公司</v>
      </c>
    </row>
    <row r="4" spans="1:55" s="2876" customFormat="1">
      <c r="A4" s="2874" t="s">
        <v>2663</v>
      </c>
      <c r="B4" s="2875" t="str">
        <f>'预评函-封皮'!B46</f>
        <v>崔锴、赵雯</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受贵公司委托，我公司对北京市顺义区后沙峪镇31-18-001e地块R2二类居住用地出让国有建设用地使用权抵押价格进行了预评估。</v>
      </c>
      <c r="AM6" s="2899"/>
    </row>
    <row r="7" spans="1:55" s="2873" customFormat="1">
      <c r="A7" s="2874" t="s">
        <v>2658</v>
      </c>
      <c r="B7" s="2875" t="str">
        <f>'预评函-1'!A6</f>
        <v>估价对象为使用的、位于北京市顺义区后沙峪镇31-18-001e地块R2二类居住用地出让国有建设用地使用权。根据《国有土地使用证》[]，估价对象（分摊）出让国有建设用地使用权面积为147515.15平方米。根据《建设工程规划许可证》[]、《出让合同》[]，估价对象规划建筑面积为317024.16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2018年10月30日（评估专业人员勘察现场之日）</v>
      </c>
    </row>
    <row r="11" spans="1:55" s="2873" customFormat="1">
      <c r="A11" s="2874" t="s">
        <v>2666</v>
      </c>
      <c r="B11" s="2875" t="str">
        <f>'预评函-1'!A14</f>
        <v>根据《国有土地使用证》[]，本次评估估价对象证载（地类）用途为。</v>
      </c>
    </row>
    <row r="12" spans="1:55" s="2873" customFormat="1">
      <c r="A12" s="2874" t="s">
        <v>2667</v>
      </c>
      <c r="B12" s="2875" t="str">
        <f>'预评函-1'!A15</f>
        <v>本次评估设定用途即为证载用途。</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根据《国有土地使用证》[]，估价对象（分摊）出让国有建设用地使用权面积为147515.15平方米。根据《建设工程规划许可证》[]、《出让合同》[]，估价对象规划建筑面积为317024.16平方米。</v>
      </c>
    </row>
    <row r="16" spans="1:55" s="2873" customFormat="1">
      <c r="A16" s="2874" t="s">
        <v>2670</v>
      </c>
      <c r="B16" s="2875" t="str">
        <f>'预评函-1'!A22</f>
        <v>本次估价对象为出让国有建设用地使用权，《国有土地使用证》[]证载土地终止日期为住宅2088年7月16日地下车库2068年7月16日、地下仓储2068年7月16日。截至估价期日，出让国有建设用地使用权剩余土地使用年限为。</v>
      </c>
    </row>
    <row r="17" spans="1:48" s="2873" customFormat="1">
      <c r="A17" s="2874" t="s">
        <v>2671</v>
      </c>
      <c r="B17" s="2875" t="str">
        <f>'预评函-1'!A23</f>
        <v>本次评估设定估价对象剩余土地使用年限为。</v>
      </c>
    </row>
    <row r="18" spans="1:48" s="2873" customFormat="1">
      <c r="A18" s="2874" t="s">
        <v>2672</v>
      </c>
      <c r="B18" s="2875" t="str">
        <f>'预评函-1'!A25</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估价期日：2018年10月30日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f>'预评函-2'!E5</f>
        <v>0</v>
      </c>
      <c r="AV32" s="2879"/>
    </row>
    <row r="33" spans="1:2">
      <c r="A33" s="2874" t="s">
        <v>2714</v>
      </c>
      <c r="B33" s="2875">
        <f>'预评函-2'!F5</f>
        <v>258</v>
      </c>
    </row>
    <row r="34" spans="1:2">
      <c r="A34" s="2874" t="s">
        <v>2715</v>
      </c>
      <c r="B34" s="2875">
        <f>'预评函-2'!G5</f>
        <v>0</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红线外七通、宗地红线内场地平整</v>
      </c>
    </row>
    <row r="40" spans="1:2">
      <c r="A40" s="2874" t="s">
        <v>2739</v>
      </c>
      <c r="B40" s="2875" t="str">
        <f>'预评函-2'!M3</f>
        <v>（剩余）土地使用年限/年</v>
      </c>
    </row>
    <row r="41" spans="1:2">
      <c r="A41" s="2874" t="s">
        <v>2721</v>
      </c>
      <c r="B41" s="2875">
        <f>'预评函-2'!M5</f>
        <v>0</v>
      </c>
    </row>
    <row r="42" spans="1:2">
      <c r="A42" s="2874" t="s">
        <v>2740</v>
      </c>
      <c r="B42" s="2875" t="str">
        <f>'预评函-2'!N3</f>
        <v>（分摊）出让国有建设用地使用权面积/㎡</v>
      </c>
    </row>
    <row r="43" spans="1:2">
      <c r="A43" s="2874" t="s">
        <v>2722</v>
      </c>
      <c r="B43" s="2875">
        <f>'预评函-2'!N5</f>
        <v>147515.15</v>
      </c>
    </row>
    <row r="44" spans="1:2">
      <c r="A44" s="2874" t="s">
        <v>2741</v>
      </c>
      <c r="B44" s="2875" t="str">
        <f>'预评函-2'!O3</f>
        <v>规划建筑面积/㎡</v>
      </c>
    </row>
    <row r="45" spans="1:2">
      <c r="A45" s="2874" t="s">
        <v>2723</v>
      </c>
      <c r="B45" s="2875">
        <f>'预评函-2'!O5</f>
        <v>317024.16000000015</v>
      </c>
    </row>
    <row r="46" spans="1:2">
      <c r="A46" s="2874" t="s">
        <v>2724</v>
      </c>
      <c r="B46" s="2875">
        <f ca="1">'预评函-2'!P5</f>
        <v>47310</v>
      </c>
    </row>
    <row r="47" spans="1:2">
      <c r="A47" s="2874" t="s">
        <v>2725</v>
      </c>
      <c r="B47" s="2875">
        <f ca="1">'预评函-2'!Q5</f>
        <v>22014</v>
      </c>
    </row>
    <row r="48" spans="1:2">
      <c r="A48" s="2874" t="s">
        <v>2726</v>
      </c>
      <c r="B48" s="2875">
        <f ca="1">'预评函-2'!R5</f>
        <v>697897</v>
      </c>
    </row>
    <row r="49" spans="1:2">
      <c r="A49" s="2874" t="s">
        <v>2742</v>
      </c>
      <c r="B49" s="2875" t="str">
        <f>'预评函-2'!A6</f>
        <v>抵押价格</v>
      </c>
    </row>
    <row r="50" spans="1:2">
      <c r="A50" s="2874" t="s">
        <v>2727</v>
      </c>
      <c r="B50" s="2875">
        <f ca="1">'预评函-2'!R6</f>
        <v>660497</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1.权利限制：根据估价对象《不动产权证书》原件、《国有土地使用权》复印件，截至估价期日，估价对象抵押权未见登记。未设定租赁等其他他项权利。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2.基础设施条件：估价对象实际开发程度为红线外七通、宗地红线内场地平整；本次评估设定开发程度为红线外七通、宗地红线内场地平整。</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（1）根据估价对象《不动产权证书》原件、《国有土地使用权》复印件，截至估价期日，估价对象抵押权未见登记。</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综上，本次评估估价师知悉的法定优先受偿款为人民币37400万元整。</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崔锴</v>
      </c>
    </row>
    <row r="70" spans="1:2">
      <c r="A70" s="2874" t="s">
        <v>2691</v>
      </c>
      <c r="B70" s="2881">
        <f ca="1">'预评函-3'!B20</f>
        <v>2010110070</v>
      </c>
    </row>
    <row r="71" spans="1:2">
      <c r="A71" s="2874" t="s">
        <v>2692</v>
      </c>
      <c r="B71" s="2875" t="str">
        <f>'预评函-3'!A21</f>
        <v>赵雯</v>
      </c>
    </row>
    <row r="72" spans="1:2" s="2889" customFormat="1" ht="15" thickBot="1">
      <c r="A72" s="2896" t="s">
        <v>2692</v>
      </c>
      <c r="B72" s="2902">
        <f ca="1">'预评函-3'!B21</f>
        <v>2011110090</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2788</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3" sqref="B43:E43"/>
    </sheetView>
  </sheetViews>
  <sheetFormatPr defaultColWidth="10" defaultRowHeight="14.25"/>
  <cols>
    <col min="1" max="1" width="15.375" style="1686" customWidth="1"/>
    <col min="2" max="2" width="11.375" style="1686" customWidth="1"/>
    <col min="3" max="3" width="12.625" style="1686" customWidth="1"/>
    <col min="4" max="4" width="12"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41" t="str">
        <f>IF(B10="北京市","北京市",C10)&amp;F10&amp;B16&amp;"国有建设用地使用权"&amp;B9&amp;"预评估"</f>
        <v>北京市顺义区后沙峪镇31-18-001e地块R2二类居住用地出让国有建设用地使用权抵押价格预评估</v>
      </c>
      <c r="C1" s="3242"/>
      <c r="D1" s="3242"/>
      <c r="E1" s="3242"/>
      <c r="F1" s="3242"/>
      <c r="G1" s="3242"/>
      <c r="H1" s="3242"/>
      <c r="I1" s="3243"/>
      <c r="J1" s="1689"/>
      <c r="K1" s="2451" t="str">
        <f>IF(B10="北京市","北京市",C10)&amp;F10&amp;B16&amp;"国有建设用地使用权"&amp;B9</f>
        <v>北京市顺义区后沙峪镇31-18-001e地块R2二类居住用地出让国有建设用地使用权抵押价格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51" t="str">
        <f>IF(B10="北京市","北京市",C10)&amp;F10&amp;B16&amp;"国有建设用地使用权"</f>
        <v>北京市顺义区后沙峪镇31-18-001e地块R2二类居住用地出让国有建设用地使用权</v>
      </c>
      <c r="L2" s="1718"/>
      <c r="M2" s="1718"/>
      <c r="N2" s="1689"/>
      <c r="O2" s="1690"/>
      <c r="P2" s="1689"/>
      <c r="Q2" s="1689"/>
      <c r="R2" s="1689"/>
      <c r="S2" s="1689"/>
      <c r="T2" s="1689"/>
      <c r="U2" s="1689"/>
    </row>
    <row r="3" spans="1:21">
      <c r="A3" s="1656" t="s">
        <v>1941</v>
      </c>
      <c r="B3" s="1657">
        <v>43403</v>
      </c>
      <c r="C3" s="1658" t="s">
        <v>1997</v>
      </c>
      <c r="D3" s="1657">
        <f>B3</f>
        <v>43403</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3181</v>
      </c>
      <c r="C4" s="1841">
        <f ca="1">SUMIF(土地估价师,B4,估价师及机构信息!E3:E24)</f>
        <v>2010110070</v>
      </c>
      <c r="D4" s="1838" t="s">
        <v>3182</v>
      </c>
      <c r="E4" s="1841">
        <f ca="1">SUMIF(土地估价师,D4,估价师及机构信息!E3:E24)</f>
        <v>2011110090</v>
      </c>
      <c r="F4" s="1838" t="s">
        <v>951</v>
      </c>
      <c r="G4" s="1841">
        <f>SUMIF(土地估价师,F4,估价师及机构信息!E3:E24)</f>
        <v>0</v>
      </c>
      <c r="H4" s="1838" t="s">
        <v>951</v>
      </c>
      <c r="I4" s="1841">
        <f>SUMIF(土地估价师,H4,估价师及机构信息!E3:E24)</f>
        <v>0</v>
      </c>
      <c r="J4" s="1689"/>
      <c r="K4" s="2451" t="str">
        <f>IF(AND(F4="——",H4="——"),B4&amp;"、"&amp;D4,IF(AND(F4&lt;&gt;"——",H4="——"),B4&amp;"、"&amp;D4&amp;"、"&amp;F4,B4&amp;"、"&amp;D4&amp;"、"&amp;F4&amp;"、"&amp;H4))</f>
        <v>崔锴、赵雯</v>
      </c>
      <c r="L4" s="1718"/>
      <c r="M4" s="1718"/>
      <c r="N4" s="1689"/>
      <c r="O4" s="1690"/>
      <c r="P4" s="1689"/>
      <c r="Q4" s="1689"/>
      <c r="R4" s="1689"/>
      <c r="S4" s="1689"/>
      <c r="T4" s="1689"/>
      <c r="U4" s="1689"/>
    </row>
    <row r="5" spans="1:21" ht="15" thickTop="1">
      <c r="A5" s="1660" t="s">
        <v>1943</v>
      </c>
      <c r="B5" s="1784" t="s">
        <v>3183</v>
      </c>
      <c r="C5" s="1661"/>
      <c r="D5" s="1662"/>
      <c r="E5" s="1689"/>
      <c r="F5" s="1689"/>
      <c r="G5" s="1689"/>
      <c r="H5" s="1655"/>
      <c r="I5" s="1690"/>
      <c r="J5" s="1689"/>
      <c r="K5" s="1769"/>
      <c r="L5" s="1718"/>
      <c r="M5" s="1718"/>
      <c r="N5" s="1689"/>
      <c r="O5" s="1690"/>
      <c r="P5" s="1689"/>
      <c r="Q5" s="1689"/>
      <c r="R5" s="1689"/>
      <c r="S5" s="1689"/>
      <c r="T5" s="1689"/>
      <c r="U5" s="1689"/>
    </row>
    <row r="6" spans="1:21" ht="26.25">
      <c r="A6" s="1658" t="s">
        <v>2707</v>
      </c>
      <c r="B6" s="1784" t="s">
        <v>3184</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3185</v>
      </c>
      <c r="C8" s="1666"/>
      <c r="D8" s="3247" t="s">
        <v>1946</v>
      </c>
      <c r="E8" s="1839" t="s">
        <v>3186</v>
      </c>
      <c r="F8" s="1667"/>
      <c r="G8" s="1655"/>
      <c r="H8" s="1655"/>
      <c r="I8" s="1702"/>
      <c r="J8" s="1689"/>
      <c r="K8" s="1769"/>
      <c r="L8" s="1718"/>
      <c r="M8" s="1718"/>
      <c r="N8" s="1689"/>
      <c r="O8" s="1690"/>
      <c r="P8" s="1689"/>
      <c r="Q8" s="1689"/>
      <c r="R8" s="1689"/>
      <c r="S8" s="1689"/>
      <c r="T8" s="1689"/>
      <c r="U8" s="1689"/>
    </row>
    <row r="9" spans="1:21" ht="15" thickBot="1">
      <c r="A9" s="1668" t="s">
        <v>1945</v>
      </c>
      <c r="B9" s="1669" t="s">
        <v>3186</v>
      </c>
      <c r="C9" s="1670"/>
      <c r="D9" s="3248"/>
      <c r="E9" s="1669" t="s">
        <v>951</v>
      </c>
      <c r="F9" s="1742"/>
      <c r="G9" s="1737"/>
      <c r="H9" s="1737"/>
      <c r="I9" s="1738"/>
      <c r="J9" s="1689"/>
      <c r="K9" s="1769"/>
      <c r="L9" s="1718"/>
      <c r="M9" s="1718"/>
      <c r="N9" s="1689"/>
      <c r="O9" s="1690"/>
      <c r="P9" s="1689"/>
      <c r="Q9" s="1689"/>
      <c r="R9" s="1689"/>
      <c r="S9" s="1689"/>
      <c r="T9" s="1689"/>
      <c r="U9" s="1689"/>
    </row>
    <row r="10" spans="1:21" ht="15" thickTop="1">
      <c r="A10" s="1739" t="s">
        <v>2001</v>
      </c>
      <c r="B10" s="1714" t="s">
        <v>1947</v>
      </c>
      <c r="C10" s="1671"/>
      <c r="D10" s="1662"/>
      <c r="E10" s="1672" t="s">
        <v>1948</v>
      </c>
      <c r="F10" s="1673" t="s">
        <v>3187</v>
      </c>
      <c r="G10" s="1740"/>
      <c r="H10" s="1741"/>
      <c r="I10" s="1662"/>
      <c r="J10" s="1689"/>
      <c r="K10" s="1769"/>
      <c r="L10" s="1718"/>
      <c r="M10" s="1718"/>
      <c r="N10" s="1689"/>
      <c r="O10" s="1690"/>
      <c r="P10" s="1689"/>
      <c r="Q10" s="1689"/>
      <c r="R10" s="1689"/>
      <c r="S10" s="1689"/>
      <c r="T10" s="1689"/>
      <c r="U10" s="1689"/>
    </row>
    <row r="11" spans="1:21">
      <c r="A11" s="1692" t="s">
        <v>2002</v>
      </c>
      <c r="B11" s="1693" t="s">
        <v>3188</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244"/>
      <c r="C12" s="3245"/>
      <c r="D12" s="3246"/>
      <c r="E12" s="1694" t="s">
        <v>2063</v>
      </c>
      <c r="F12" s="3262" t="s">
        <v>2890</v>
      </c>
      <c r="G12" s="3263"/>
      <c r="H12" s="3263"/>
      <c r="I12" s="3264"/>
      <c r="J12" s="1689"/>
      <c r="K12" s="1769"/>
      <c r="L12" s="1718"/>
      <c r="M12" s="1718"/>
      <c r="N12" s="1689"/>
      <c r="O12" s="1690"/>
      <c r="P12" s="1689"/>
      <c r="Q12" s="1689"/>
      <c r="R12" s="1689"/>
      <c r="S12" s="1689"/>
      <c r="T12" s="1689"/>
      <c r="U12" s="1689"/>
    </row>
    <row r="13" spans="1:21">
      <c r="A13" s="1682" t="s">
        <v>2061</v>
      </c>
      <c r="B13" s="3244"/>
      <c r="C13" s="3245"/>
      <c r="D13" s="3246"/>
      <c r="E13" s="1694" t="s">
        <v>2063</v>
      </c>
      <c r="F13" s="3262" t="s">
        <v>2891</v>
      </c>
      <c r="G13" s="3263"/>
      <c r="H13" s="3263"/>
      <c r="I13" s="3264"/>
      <c r="J13" s="1689"/>
      <c r="K13" s="1769"/>
      <c r="L13" s="1718"/>
      <c r="M13" s="1718"/>
      <c r="N13" s="1689"/>
      <c r="O13" s="1690"/>
      <c r="P13" s="1689"/>
      <c r="Q13" s="1689"/>
      <c r="R13" s="1689"/>
      <c r="S13" s="1689"/>
      <c r="T13" s="1689"/>
      <c r="U13" s="1689"/>
    </row>
    <row r="14" spans="1:21">
      <c r="A14" s="1656" t="s">
        <v>2064</v>
      </c>
      <c r="B14" s="1694"/>
      <c r="C14" s="1840" t="s">
        <v>3190</v>
      </c>
      <c r="D14" s="1728" t="str">
        <f>IF(C14="不一致","是否符合证载地类范围","")</f>
        <v/>
      </c>
      <c r="E14" s="1694"/>
      <c r="F14" s="1785" t="s">
        <v>3191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3189</v>
      </c>
      <c r="C16" s="1694" t="s">
        <v>1950</v>
      </c>
      <c r="D16" s="2642" t="s">
        <v>1951</v>
      </c>
      <c r="E16" s="1717"/>
      <c r="F16" s="1717"/>
      <c r="G16" s="1717" t="s">
        <v>35</v>
      </c>
      <c r="H16" s="1717" t="s">
        <v>3192</v>
      </c>
      <c r="I16" s="1681" t="s">
        <v>1956</v>
      </c>
      <c r="J16" s="1689"/>
      <c r="K16" s="2452" t="str">
        <f>IF(D17="","",D16&amp;TEXT(D17,"yyyy年m月d日;;"))</f>
        <v>住宅2088年7月16日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地下车库2068年7月16日</v>
      </c>
      <c r="R16" s="1694" t="str">
        <f>IF(OR(Q16="",S16=""),"","、")</f>
        <v>、</v>
      </c>
      <c r="S16" s="2452" t="str">
        <f>IF(H17="","",H16&amp;TEXT(H17,"yyyy年m月d日;;"))</f>
        <v>地下仓储2068年7月16日</v>
      </c>
      <c r="T16" s="1694" t="str">
        <f>IF(OR(S16="",U16=""),"","、")</f>
        <v/>
      </c>
      <c r="U16" s="2452" t="str">
        <f>IF(I17="","",I16&amp;TEXT(I17,"yyyy年m月d日;;"))</f>
        <v/>
      </c>
    </row>
    <row r="17" spans="1:21">
      <c r="A17" s="1758"/>
      <c r="B17" s="1677"/>
      <c r="C17" s="1678" t="s">
        <v>1957</v>
      </c>
      <c r="D17" s="1695">
        <v>68865</v>
      </c>
      <c r="E17" s="1695"/>
      <c r="F17" s="1695"/>
      <c r="G17" s="1695">
        <v>61560</v>
      </c>
      <c r="H17" s="1695">
        <v>61560</v>
      </c>
      <c r="I17" s="1695"/>
      <c r="J17" s="1689"/>
      <c r="K17" s="2451" t="str">
        <f>CONCATENATE(K16,L16,M16,N16,O16,P16,Q16,R16,S16,T16,,U16)</f>
        <v>住宅2088年7月16日地下车库2068年7月16日、地下仓储2068年7月16日</v>
      </c>
      <c r="L17" s="1718"/>
      <c r="M17" s="1718"/>
      <c r="N17" s="1689"/>
      <c r="O17" s="1690"/>
      <c r="P17" s="1689"/>
      <c r="Q17" s="1689"/>
      <c r="R17" s="1689"/>
      <c r="S17" s="1689"/>
      <c r="T17" s="1689"/>
      <c r="U17" s="1689"/>
    </row>
    <row r="18" spans="1:21">
      <c r="A18" s="1758"/>
      <c r="B18" s="1677"/>
      <c r="C18" s="1678" t="s">
        <v>1958</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69.75</v>
      </c>
      <c r="E19" s="1680" t="str">
        <f>IF(B16="出让",IF(E17="","",ROUNDDOWN(MIN((E17-$D$3)/365,E18),2)),E18)</f>
        <v/>
      </c>
      <c r="F19" s="1680" t="str">
        <f>IF(B16="出让",IF(F17="","",ROUNDDOWN(MIN((F17-$D$3)/365,F18),2)),F18)</f>
        <v/>
      </c>
      <c r="G19" s="1680">
        <f>IF(B16="出让",IF(G17="","",ROUNDDOWN(MIN((G17-$D$3)/365,G18),2)),G18)</f>
        <v>49.74</v>
      </c>
      <c r="H19" s="1680">
        <f>IF(B16="出让",IF(H17="","",ROUNDDOWN(MIN((H17-$D$3)/365,H18),2)),H18)</f>
        <v>49.74</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59"/>
      <c r="E20" s="3260"/>
      <c r="F20" s="3260"/>
      <c r="G20" s="3260"/>
      <c r="H20" s="3260"/>
      <c r="I20" s="3261"/>
      <c r="J20" s="1689"/>
      <c r="K20" s="1769"/>
      <c r="L20" s="1718"/>
      <c r="M20" s="1718"/>
      <c r="N20" s="1689"/>
      <c r="O20" s="1690"/>
      <c r="P20" s="1689"/>
      <c r="Q20" s="1689"/>
      <c r="R20" s="1689"/>
      <c r="S20" s="1689"/>
      <c r="T20" s="1689"/>
      <c r="U20" s="1689"/>
    </row>
    <row r="21" spans="1:21">
      <c r="A21" s="1758" t="s">
        <v>1960</v>
      </c>
      <c r="B21" s="1759" t="s">
        <v>1961</v>
      </c>
      <c r="C21" s="1754">
        <f>'数据-汇总表'!E3</f>
        <v>317024.16000000015</v>
      </c>
      <c r="D21" s="1755" t="s">
        <v>1962</v>
      </c>
      <c r="E21" s="3249" t="s">
        <v>2000</v>
      </c>
      <c r="F21" s="3250"/>
      <c r="G21" s="3250"/>
      <c r="H21" s="3250"/>
      <c r="I21" s="3251"/>
      <c r="J21" s="1689"/>
      <c r="K21" s="1769"/>
      <c r="L21" s="1718"/>
      <c r="M21" s="1718"/>
      <c r="N21" s="1689"/>
      <c r="O21" s="1690"/>
      <c r="P21" s="1689"/>
      <c r="Q21" s="1689"/>
      <c r="R21" s="1689"/>
      <c r="S21" s="1689"/>
      <c r="T21" s="1689"/>
      <c r="U21" s="1689"/>
    </row>
    <row r="22" spans="1:21">
      <c r="A22" s="3140" t="s">
        <v>951</v>
      </c>
      <c r="B22" s="1656" t="s">
        <v>1963</v>
      </c>
      <c r="C22" s="1681">
        <f>'数据-汇总表'!D3</f>
        <v>147515.15</v>
      </c>
      <c r="D22" s="1682" t="s">
        <v>1962</v>
      </c>
      <c r="E22" s="3249" t="s">
        <v>2892</v>
      </c>
      <c r="F22" s="3250"/>
      <c r="G22" s="3250"/>
      <c r="H22" s="3250"/>
      <c r="I22" s="3251"/>
      <c r="J22" s="1689"/>
      <c r="K22" s="1769"/>
      <c r="L22" s="1718"/>
      <c r="M22" s="1718"/>
      <c r="N22" s="1689"/>
      <c r="O22" s="1690"/>
      <c r="P22" s="1689"/>
      <c r="Q22" s="1689"/>
      <c r="R22" s="1689"/>
      <c r="S22" s="1689"/>
      <c r="T22" s="1689"/>
      <c r="U22" s="1689"/>
    </row>
    <row r="23" spans="1:21" ht="43.5" thickBot="1">
      <c r="A23" s="1760" t="s">
        <v>1964</v>
      </c>
      <c r="B23" s="1696" t="s">
        <v>1965</v>
      </c>
      <c r="C23" s="1697" t="s">
        <v>3124</v>
      </c>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52" t="s">
        <v>1968</v>
      </c>
      <c r="C24" s="3253"/>
      <c r="D24" s="3254" t="s">
        <v>1969</v>
      </c>
      <c r="E24" s="3255"/>
      <c r="F24" s="1703" t="s">
        <v>1970</v>
      </c>
      <c r="G24" s="1689"/>
      <c r="H24" s="1689"/>
      <c r="I24" s="1702"/>
      <c r="J24" s="1689"/>
      <c r="K24" s="3240" t="s">
        <v>1971</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2327</v>
      </c>
      <c r="C25" s="1704" t="s">
        <v>1972</v>
      </c>
      <c r="D25" s="1705"/>
      <c r="E25" s="1706" t="s">
        <v>951</v>
      </c>
      <c r="F25" s="1707"/>
      <c r="G25" s="1689"/>
      <c r="H25" s="1689"/>
      <c r="I25" s="1702"/>
      <c r="J25" s="1689"/>
      <c r="K25" s="3240"/>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1973</v>
      </c>
      <c r="C26" s="1704" t="s">
        <v>2328</v>
      </c>
      <c r="D26" s="1655"/>
      <c r="E26" s="1655"/>
      <c r="F26" s="1683"/>
      <c r="G26" s="1689"/>
      <c r="H26" s="1689"/>
      <c r="I26" s="1702"/>
      <c r="J26" s="1689"/>
      <c r="K26" s="3240"/>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47"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48"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48"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49" t="s">
        <v>1978</v>
      </c>
      <c r="E30" s="1713"/>
      <c r="F30" s="1684"/>
      <c r="G30" s="1737"/>
      <c r="H30" s="1737"/>
      <c r="I30" s="1738"/>
      <c r="J30" s="1689"/>
      <c r="K30" s="1769"/>
      <c r="L30" s="1718"/>
      <c r="M30" s="1718"/>
      <c r="N30" s="1689"/>
      <c r="O30" s="1690"/>
      <c r="P30" s="1689"/>
      <c r="Q30" s="1689"/>
      <c r="R30" s="1689"/>
      <c r="S30" s="1689"/>
      <c r="T30" s="1689"/>
      <c r="U30" s="1689"/>
    </row>
    <row r="31" spans="1:21" ht="15" thickTop="1">
      <c r="A31" s="3267" t="s">
        <v>2003</v>
      </c>
      <c r="B31" s="1759" t="s">
        <v>2004</v>
      </c>
      <c r="C31" s="3265" t="s">
        <v>3193</v>
      </c>
      <c r="D31" s="3266"/>
      <c r="E31" s="1689"/>
      <c r="F31" s="1689"/>
      <c r="G31" s="1689"/>
      <c r="H31" s="1689"/>
      <c r="I31" s="1702"/>
      <c r="J31" s="1689"/>
      <c r="K31" s="2454"/>
      <c r="L31" s="1689"/>
      <c r="M31" s="1689"/>
      <c r="N31" s="1689"/>
      <c r="O31" s="1689"/>
      <c r="P31" s="1689"/>
      <c r="Q31" s="1689"/>
      <c r="R31" s="1689"/>
      <c r="S31" s="1689"/>
      <c r="T31" s="1689"/>
      <c r="U31" s="1689"/>
    </row>
    <row r="32" spans="1:21">
      <c r="A32" s="3267"/>
      <c r="B32" s="1656" t="s">
        <v>2005</v>
      </c>
      <c r="C32" s="1714" t="s">
        <v>3194</v>
      </c>
      <c r="D32" s="1715"/>
      <c r="E32" s="1689"/>
      <c r="F32" s="1689"/>
      <c r="G32" s="1689"/>
      <c r="H32" s="1689"/>
      <c r="I32" s="1702"/>
      <c r="J32" s="1689"/>
      <c r="K32" s="2454"/>
      <c r="L32" s="1689"/>
      <c r="M32" s="1689"/>
      <c r="N32" s="1689"/>
      <c r="O32" s="1689"/>
      <c r="P32" s="1689"/>
      <c r="Q32" s="1689"/>
      <c r="R32" s="1689"/>
      <c r="S32" s="1689"/>
      <c r="T32" s="1689"/>
      <c r="U32" s="1689"/>
    </row>
    <row r="33" spans="1:21">
      <c r="A33" s="3267"/>
      <c r="B33" s="1656" t="s">
        <v>2006</v>
      </c>
      <c r="C33" s="1716" t="s">
        <v>3124</v>
      </c>
      <c r="D33" s="1833"/>
      <c r="E33" s="1689"/>
      <c r="F33" s="1689"/>
      <c r="G33" s="1689"/>
      <c r="H33" s="1689"/>
      <c r="I33" s="1702"/>
      <c r="J33" s="1689"/>
      <c r="K33" s="2454"/>
      <c r="L33" s="1689"/>
      <c r="M33" s="1689"/>
      <c r="N33" s="1689"/>
      <c r="O33" s="1689"/>
      <c r="P33" s="1689"/>
      <c r="Q33" s="1689"/>
      <c r="R33" s="1689"/>
      <c r="S33" s="1689"/>
      <c r="T33" s="1689"/>
      <c r="U33" s="1689"/>
    </row>
    <row r="34" spans="1:21">
      <c r="A34" s="3268"/>
      <c r="B34" s="1656" t="s">
        <v>2007</v>
      </c>
      <c r="C34" s="3269"/>
      <c r="D34" s="3270"/>
      <c r="E34" s="1689"/>
      <c r="F34" s="1689"/>
      <c r="G34" s="1689"/>
      <c r="H34" s="1689"/>
      <c r="I34" s="1702"/>
      <c r="J34" s="1689"/>
      <c r="K34" s="2454"/>
      <c r="L34" s="1689"/>
      <c r="M34" s="1689"/>
      <c r="N34" s="1689"/>
      <c r="O34" s="1689"/>
      <c r="P34" s="1689"/>
      <c r="Q34" s="1689"/>
      <c r="R34" s="1689"/>
      <c r="S34" s="1689"/>
      <c r="T34" s="1689"/>
      <c r="U34" s="1689"/>
    </row>
    <row r="35" spans="1:21">
      <c r="A35" s="3271" t="s">
        <v>846</v>
      </c>
      <c r="B35" s="1717" t="s">
        <v>3195</v>
      </c>
      <c r="C35" s="1771" t="str">
        <f>IF(B35="场地平整","——","具体情况：")</f>
        <v>——</v>
      </c>
      <c r="D35" s="3273"/>
      <c r="E35" s="3274"/>
      <c r="F35" s="3274"/>
      <c r="G35" s="3274"/>
      <c r="H35" s="3274"/>
      <c r="I35" s="3275"/>
      <c r="J35" s="1689"/>
      <c r="K35" s="1770"/>
      <c r="L35" s="1718"/>
      <c r="M35" s="1718"/>
      <c r="N35" s="1689"/>
      <c r="O35" s="1690"/>
      <c r="P35" s="1689"/>
      <c r="Q35" s="1689"/>
      <c r="R35" s="1689"/>
      <c r="S35" s="1689"/>
      <c r="T35" s="1689"/>
      <c r="U35" s="1689"/>
    </row>
    <row r="36" spans="1:21">
      <c r="A36" s="3267"/>
      <c r="B36" s="3276" t="s">
        <v>2056</v>
      </c>
      <c r="C36" s="3277"/>
      <c r="D36" s="1787" t="s">
        <v>3196</v>
      </c>
      <c r="E36" s="3278"/>
      <c r="F36" s="3278"/>
      <c r="G36" s="1682" t="str">
        <f>IF(B35="场地未平整","估价结果处理","")</f>
        <v/>
      </c>
      <c r="H36" s="3279"/>
      <c r="I36" s="3279"/>
      <c r="J36" s="1689"/>
      <c r="K36" s="1770"/>
      <c r="L36" s="1718"/>
      <c r="M36" s="1718"/>
      <c r="N36" s="1689"/>
      <c r="O36" s="1690"/>
      <c r="P36" s="1689"/>
      <c r="Q36" s="1689"/>
      <c r="R36" s="1689"/>
      <c r="S36" s="1689"/>
      <c r="T36" s="1689"/>
      <c r="U36" s="1689"/>
    </row>
    <row r="37" spans="1:21" ht="28.5">
      <c r="A37" s="3267"/>
      <c r="B37" s="3256" t="s">
        <v>847</v>
      </c>
      <c r="C37" s="1719" t="s">
        <v>848</v>
      </c>
      <c r="D37" s="1720">
        <v>44386</v>
      </c>
      <c r="E37" s="1721"/>
      <c r="F37" s="1689"/>
      <c r="G37" s="1689"/>
      <c r="H37" s="1689"/>
      <c r="I37" s="1702"/>
      <c r="J37" s="1689"/>
      <c r="K37" s="1770"/>
      <c r="L37" s="1689"/>
      <c r="M37" s="1689"/>
      <c r="N37" s="1689"/>
      <c r="O37" s="1689"/>
      <c r="P37" s="1689"/>
      <c r="Q37" s="1689"/>
      <c r="R37" s="1689"/>
      <c r="S37" s="1689"/>
      <c r="T37" s="1689"/>
      <c r="U37" s="1689"/>
    </row>
    <row r="38" spans="1:21">
      <c r="A38" s="3267"/>
      <c r="B38" s="3257"/>
      <c r="C38" s="1664" t="s">
        <v>849</v>
      </c>
      <c r="D38" s="1786">
        <f>ROUNDDOWN(MIN(('数据-取费表'!$B$2-D37)/365,D34),1)</f>
        <v>-2.6</v>
      </c>
      <c r="E38" s="1722" t="s">
        <v>850</v>
      </c>
      <c r="F38" s="1689"/>
      <c r="G38" s="1689"/>
      <c r="H38" s="1689"/>
      <c r="I38" s="1702"/>
      <c r="J38" s="1689"/>
      <c r="K38" s="1770"/>
      <c r="L38" s="1689"/>
      <c r="M38" s="1689"/>
      <c r="N38" s="1689"/>
      <c r="O38" s="1689"/>
      <c r="P38" s="1689"/>
      <c r="Q38" s="1689"/>
      <c r="R38" s="1689"/>
      <c r="S38" s="1689"/>
      <c r="T38" s="1689"/>
      <c r="U38" s="1689"/>
    </row>
    <row r="39" spans="1:21">
      <c r="A39" s="3268"/>
      <c r="B39" s="3258"/>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3197</v>
      </c>
      <c r="C40" s="1685" t="s">
        <v>3198</v>
      </c>
      <c r="D40" s="1685" t="s">
        <v>3199</v>
      </c>
      <c r="E40" s="1685" t="s">
        <v>3200</v>
      </c>
      <c r="F40" s="1685" t="s">
        <v>3201</v>
      </c>
      <c r="G40" s="1685" t="s">
        <v>3202</v>
      </c>
      <c r="H40" s="1685"/>
      <c r="I40" s="1702"/>
      <c r="J40" s="1689"/>
      <c r="K40" s="1725">
        <f>COUNTIF(B40:H40,"——")</f>
        <v>0</v>
      </c>
      <c r="L40" s="1694" t="s">
        <v>1980</v>
      </c>
      <c r="M40" s="1691" t="s">
        <v>1981</v>
      </c>
      <c r="N40" s="1691" t="s">
        <v>1982</v>
      </c>
      <c r="O40" s="1691" t="s">
        <v>1983</v>
      </c>
      <c r="P40" s="1691" t="s">
        <v>1984</v>
      </c>
      <c r="Q40" s="1691" t="s">
        <v>1985</v>
      </c>
      <c r="R40" s="1691" t="s">
        <v>1986</v>
      </c>
      <c r="S40" s="3239" t="s">
        <v>1987</v>
      </c>
      <c r="T40" s="1726" t="str">
        <f>NUMBERSTRING(7-K40,1)&amp;"通"</f>
        <v>七通</v>
      </c>
      <c r="U40" s="1689"/>
    </row>
    <row r="41" spans="1:21">
      <c r="A41" s="1658"/>
      <c r="B41" s="3272" t="s">
        <v>1721</v>
      </c>
      <c r="C41" s="3272"/>
      <c r="D41" s="3272"/>
      <c r="E41" s="3272"/>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39"/>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1409</v>
      </c>
      <c r="C43" s="1733" t="s">
        <v>1409</v>
      </c>
      <c r="D43" s="1733" t="s">
        <v>1409</v>
      </c>
      <c r="E43" s="1733" t="s">
        <v>1409</v>
      </c>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2893</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70" activePane="bottomRight" state="frozen"/>
      <selection pane="topRight" activeCell="E1" sqref="E1"/>
      <selection pane="bottomLeft" activeCell="A12" sqref="A12"/>
      <selection pane="bottomRight" activeCell="H77" sqref="H7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6" t="s">
        <v>2335</v>
      </c>
      <c r="BA2" s="2357" t="s">
        <v>2334</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147538.60999999999</v>
      </c>
      <c r="B3" s="22">
        <f>IF(C3="否",G5-AT5,G5)</f>
        <v>317074.57000000018</v>
      </c>
      <c r="C3" s="23" t="s">
        <v>3124</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331077.07000000018</v>
      </c>
      <c r="H5" s="27">
        <f t="shared" ref="H5:AT5" si="0">SUM(H13:H641)</f>
        <v>285953.58000000007</v>
      </c>
      <c r="I5" s="27">
        <f t="shared" si="0"/>
        <v>23598.74</v>
      </c>
      <c r="J5" s="27">
        <f t="shared" si="0"/>
        <v>0</v>
      </c>
      <c r="K5" s="27">
        <f t="shared" si="0"/>
        <v>84219.620000000024</v>
      </c>
      <c r="L5" s="27">
        <f t="shared" si="0"/>
        <v>0</v>
      </c>
      <c r="M5" s="27">
        <f t="shared" si="0"/>
        <v>39905.640000000007</v>
      </c>
      <c r="N5" s="27">
        <f t="shared" si="0"/>
        <v>0</v>
      </c>
      <c r="O5" s="27">
        <f t="shared" si="0"/>
        <v>79869.01999999996</v>
      </c>
      <c r="P5" s="27">
        <f t="shared" si="0"/>
        <v>0</v>
      </c>
      <c r="Q5" s="27">
        <f t="shared" si="0"/>
        <v>58360.560000000005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31120.989999999998</v>
      </c>
      <c r="AD5" s="27">
        <f t="shared" si="0"/>
        <v>920</v>
      </c>
      <c r="AE5" s="27">
        <f t="shared" si="0"/>
        <v>0</v>
      </c>
      <c r="AF5" s="27">
        <f t="shared" si="0"/>
        <v>4227.3500000000004</v>
      </c>
      <c r="AG5" s="27">
        <f t="shared" si="0"/>
        <v>0</v>
      </c>
      <c r="AH5" s="27">
        <f t="shared" si="0"/>
        <v>100</v>
      </c>
      <c r="AI5" s="27">
        <f t="shared" si="0"/>
        <v>0</v>
      </c>
      <c r="AJ5" s="27">
        <f t="shared" si="0"/>
        <v>50.41</v>
      </c>
      <c r="AK5" s="27">
        <f t="shared" si="0"/>
        <v>0</v>
      </c>
      <c r="AL5" s="27">
        <f t="shared" si="0"/>
        <v>50</v>
      </c>
      <c r="AM5" s="27">
        <f t="shared" si="0"/>
        <v>0</v>
      </c>
      <c r="AN5" s="27">
        <f t="shared" si="0"/>
        <v>25773.23</v>
      </c>
      <c r="AO5" s="27">
        <f t="shared" si="0"/>
        <v>0</v>
      </c>
      <c r="AP5" s="27">
        <f t="shared" si="0"/>
        <v>0</v>
      </c>
      <c r="AQ5" s="27">
        <f t="shared" si="0"/>
        <v>0</v>
      </c>
      <c r="AR5" s="27">
        <f t="shared" si="0"/>
        <v>0</v>
      </c>
      <c r="AS5" s="27">
        <f t="shared" si="0"/>
        <v>0</v>
      </c>
      <c r="AT5" s="27">
        <f t="shared" si="0"/>
        <v>14002.5</v>
      </c>
      <c r="AU5" s="985"/>
      <c r="AV5" s="26" t="s">
        <v>167</v>
      </c>
      <c r="AW5" s="986"/>
      <c r="AX5" s="986"/>
      <c r="AY5" s="28" t="s">
        <v>3</v>
      </c>
      <c r="AZ5" s="29">
        <f t="shared" ref="AZ5:BT5" si="1">SUM(AZ13:AZ641)</f>
        <v>317024.16000000015</v>
      </c>
      <c r="BA5" s="29">
        <f t="shared" si="1"/>
        <v>285953.58000000007</v>
      </c>
      <c r="BB5" s="29">
        <f t="shared" si="1"/>
        <v>23598.74</v>
      </c>
      <c r="BC5" s="29">
        <f t="shared" si="1"/>
        <v>84219.620000000024</v>
      </c>
      <c r="BD5" s="29">
        <f t="shared" si="1"/>
        <v>39905.640000000007</v>
      </c>
      <c r="BE5" s="29">
        <f t="shared" si="1"/>
        <v>79869.01999999996</v>
      </c>
      <c r="BF5" s="29">
        <f t="shared" si="1"/>
        <v>58360.560000000005</v>
      </c>
      <c r="BG5" s="29">
        <f t="shared" si="1"/>
        <v>0</v>
      </c>
      <c r="BH5" s="29">
        <f t="shared" si="1"/>
        <v>0</v>
      </c>
      <c r="BI5" s="29">
        <f t="shared" si="1"/>
        <v>0</v>
      </c>
      <c r="BJ5" s="29">
        <f t="shared" si="1"/>
        <v>0</v>
      </c>
      <c r="BK5" s="29">
        <f t="shared" si="1"/>
        <v>0</v>
      </c>
      <c r="BL5" s="29">
        <f t="shared" si="1"/>
        <v>31070.579999999998</v>
      </c>
      <c r="BM5" s="29">
        <f t="shared" si="1"/>
        <v>920</v>
      </c>
      <c r="BN5" s="29">
        <f t="shared" si="1"/>
        <v>4227.3500000000004</v>
      </c>
      <c r="BO5" s="29">
        <f t="shared" si="1"/>
        <v>100</v>
      </c>
      <c r="BP5" s="29">
        <f t="shared" si="1"/>
        <v>0</v>
      </c>
      <c r="BQ5" s="29">
        <f t="shared" si="1"/>
        <v>50</v>
      </c>
      <c r="BR5" s="29">
        <f t="shared" si="1"/>
        <v>25773.23</v>
      </c>
      <c r="BS5" s="29">
        <f t="shared" si="1"/>
        <v>0</v>
      </c>
      <c r="BT5" s="30">
        <f t="shared" si="1"/>
        <v>0</v>
      </c>
    </row>
    <row r="6" spans="1:72" s="37" customFormat="1" ht="12.75">
      <c r="A6" s="26" t="s">
        <v>168</v>
      </c>
      <c r="B6" s="31"/>
      <c r="C6" s="31"/>
      <c r="D6" s="32"/>
      <c r="E6" s="27">
        <f>H6+AC6+AT6</f>
        <v>147538.62</v>
      </c>
      <c r="F6" s="27" t="s">
        <v>1</v>
      </c>
      <c r="G6" s="27" t="s">
        <v>2</v>
      </c>
      <c r="H6" s="33">
        <f>SUMIF(I$12:AB$12,"总值",I6:AB6)</f>
        <v>133057.63999999998</v>
      </c>
      <c r="I6" s="27">
        <f t="shared" ref="I6:AB6" si="2">ROUND($A$3*I5/$B$3,2)</f>
        <v>10980.78</v>
      </c>
      <c r="J6" s="27">
        <f t="shared" si="2"/>
        <v>0</v>
      </c>
      <c r="K6" s="27">
        <f t="shared" si="2"/>
        <v>39188.400000000001</v>
      </c>
      <c r="L6" s="27">
        <f t="shared" si="2"/>
        <v>0</v>
      </c>
      <c r="M6" s="27">
        <f t="shared" si="2"/>
        <v>18568.57</v>
      </c>
      <c r="N6" s="27">
        <f t="shared" si="2"/>
        <v>0</v>
      </c>
      <c r="O6" s="27">
        <f t="shared" si="2"/>
        <v>37164.019999999997</v>
      </c>
      <c r="P6" s="27">
        <f t="shared" si="2"/>
        <v>0</v>
      </c>
      <c r="Q6" s="27">
        <f t="shared" si="2"/>
        <v>27155.87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14480.98</v>
      </c>
      <c r="AD6" s="27">
        <f t="shared" ref="AD6:AS6" si="3">ROUND($A$3*AD5/$B$3,2)</f>
        <v>428.09</v>
      </c>
      <c r="AE6" s="27">
        <f t="shared" si="3"/>
        <v>0</v>
      </c>
      <c r="AF6" s="27">
        <f t="shared" si="3"/>
        <v>1967.04</v>
      </c>
      <c r="AG6" s="27">
        <f t="shared" si="3"/>
        <v>0</v>
      </c>
      <c r="AH6" s="27">
        <f t="shared" si="3"/>
        <v>46.53</v>
      </c>
      <c r="AI6" s="27">
        <f t="shared" si="3"/>
        <v>0</v>
      </c>
      <c r="AJ6" s="27">
        <f t="shared" si="3"/>
        <v>23.46</v>
      </c>
      <c r="AK6" s="27">
        <f t="shared" si="3"/>
        <v>0</v>
      </c>
      <c r="AL6" s="27">
        <f t="shared" si="3"/>
        <v>23.27</v>
      </c>
      <c r="AM6" s="27">
        <f t="shared" si="3"/>
        <v>0</v>
      </c>
      <c r="AN6" s="27">
        <f t="shared" si="3"/>
        <v>11992.59</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147515.15</v>
      </c>
      <c r="AZ6" s="27" t="s">
        <v>3</v>
      </c>
      <c r="BA6" s="27">
        <f>ROUND($AY$6*BA5/$AZ$5,2)</f>
        <v>133057.64000000001</v>
      </c>
      <c r="BB6" s="27">
        <f>ROUND($AY$6*BB5/$AZ$5,2)</f>
        <v>10980.78</v>
      </c>
      <c r="BC6" s="27">
        <f t="shared" ref="BC6:BH6" si="4">ROUND($AY$6*BC5/$AZ$5,2)</f>
        <v>39188.400000000001</v>
      </c>
      <c r="BD6" s="27">
        <f t="shared" si="4"/>
        <v>18568.57</v>
      </c>
      <c r="BE6" s="27">
        <f t="shared" si="4"/>
        <v>37164.01</v>
      </c>
      <c r="BF6" s="27">
        <f t="shared" si="4"/>
        <v>27155.87</v>
      </c>
      <c r="BG6" s="27">
        <f t="shared" si="4"/>
        <v>0</v>
      </c>
      <c r="BH6" s="27">
        <f t="shared" si="4"/>
        <v>0</v>
      </c>
      <c r="BI6" s="27">
        <f t="shared" ref="BI6:BT6" si="5">ROUND($AY$6*BI5/$AZ$5,2)</f>
        <v>0</v>
      </c>
      <c r="BJ6" s="27">
        <f t="shared" si="5"/>
        <v>0</v>
      </c>
      <c r="BK6" s="27">
        <f t="shared" si="5"/>
        <v>0</v>
      </c>
      <c r="BL6" s="27">
        <f t="shared" si="5"/>
        <v>14457.51</v>
      </c>
      <c r="BM6" s="27">
        <f t="shared" si="5"/>
        <v>428.09</v>
      </c>
      <c r="BN6" s="27">
        <f t="shared" si="5"/>
        <v>1967.04</v>
      </c>
      <c r="BO6" s="27">
        <f t="shared" si="5"/>
        <v>46.53</v>
      </c>
      <c r="BP6" s="27">
        <f t="shared" si="5"/>
        <v>0</v>
      </c>
      <c r="BQ6" s="27">
        <f t="shared" si="5"/>
        <v>23.27</v>
      </c>
      <c r="BR6" s="27">
        <f t="shared" si="5"/>
        <v>11992.59</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3"/>
      <c r="AT8" s="2324" t="s">
        <v>854</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12" t="s">
        <v>3113</v>
      </c>
      <c r="J9" s="51"/>
      <c r="K9" s="3012" t="s">
        <v>3113</v>
      </c>
      <c r="L9" s="51"/>
      <c r="M9" s="3012" t="s">
        <v>3113</v>
      </c>
      <c r="N9" s="51"/>
      <c r="O9" s="59" t="s">
        <v>3115</v>
      </c>
      <c r="P9" s="51"/>
      <c r="Q9" s="59" t="s">
        <v>3115</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5"/>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12" t="s">
        <v>922</v>
      </c>
      <c r="J10" s="51"/>
      <c r="K10" s="3014" t="s">
        <v>922</v>
      </c>
      <c r="L10" s="51"/>
      <c r="M10" s="3014" t="s">
        <v>922</v>
      </c>
      <c r="N10" s="51"/>
      <c r="O10" s="66" t="s">
        <v>3120</v>
      </c>
      <c r="P10" s="51"/>
      <c r="Q10" s="66" t="s">
        <v>3119</v>
      </c>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t="s">
        <v>3114</v>
      </c>
      <c r="J11" s="71"/>
      <c r="K11" s="3013" t="s">
        <v>3116</v>
      </c>
      <c r="L11" s="71"/>
      <c r="M11" s="70" t="s">
        <v>3117</v>
      </c>
      <c r="N11" s="71"/>
      <c r="O11" s="70" t="s">
        <v>3121</v>
      </c>
      <c r="P11" s="71"/>
      <c r="Q11" s="70" t="s">
        <v>3119</v>
      </c>
      <c r="R11" s="71"/>
      <c r="S11" s="70"/>
      <c r="T11" s="71"/>
      <c r="U11" s="70"/>
      <c r="V11" s="71"/>
      <c r="W11" s="70"/>
      <c r="X11" s="71"/>
      <c r="Y11" s="70"/>
      <c r="Z11" s="71"/>
      <c r="AA11" s="70"/>
      <c r="AB11" s="71"/>
      <c r="AC11" s="55"/>
      <c r="AD11" s="2330" t="s">
        <v>2332</v>
      </c>
      <c r="AE11" s="999"/>
      <c r="AF11" s="2330" t="s">
        <v>2332</v>
      </c>
      <c r="AG11" s="999"/>
      <c r="AH11" s="2330" t="s">
        <v>2331</v>
      </c>
      <c r="AI11" s="2331"/>
      <c r="AJ11" s="2330" t="s">
        <v>2331</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住宅</v>
      </c>
      <c r="BE11" s="50" t="str">
        <f>O10</f>
        <v>仓储</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洋房</v>
      </c>
      <c r="BC12" s="79" t="str">
        <f>K11</f>
        <v>叠拼</v>
      </c>
      <c r="BD12" s="79" t="str">
        <f>M11</f>
        <v>合院</v>
      </c>
      <c r="BE12" s="50" t="str">
        <f>O11</f>
        <v>戊类库房</v>
      </c>
      <c r="BF12" s="50" t="str">
        <f>Q11</f>
        <v>车库</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t="s">
        <v>3049</v>
      </c>
      <c r="D13" s="3010" t="s">
        <v>1678</v>
      </c>
      <c r="E13" s="27">
        <f t="shared" ref="E13:E20" si="6">IF($C$3="是",ROUND($A$3*G13/$B$3,2),ROUND($A$3*(G13-AT13)/$B$3,2))</f>
        <v>1526.56</v>
      </c>
      <c r="F13" s="81"/>
      <c r="G13" s="82">
        <f t="shared" ref="G13:G20" si="7">H13+AC13+AT13</f>
        <v>3280.72</v>
      </c>
      <c r="H13" s="33">
        <f t="shared" ref="H13:H20" si="8">SUMIF(I$12:AB$12,"总值",I13:AB13)</f>
        <v>3280.72</v>
      </c>
      <c r="I13" s="3011">
        <f>面积表!G2+面积表!G3</f>
        <v>3280.72</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t="str">
        <f t="shared" si="10"/>
        <v>1#</v>
      </c>
      <c r="AY13" s="993">
        <f t="shared" ref="AY13:AY20" si="11">ROUND($AY$6*AZ13/$AZ$5,2)</f>
        <v>1526.56</v>
      </c>
      <c r="AZ13" s="27">
        <f t="shared" ref="AZ13:AZ20" si="12">BA13+BL13</f>
        <v>3280.72</v>
      </c>
      <c r="BA13" s="27">
        <f t="shared" ref="BA13:BA20" si="13">SUM(BB13:BK13)</f>
        <v>3280.72</v>
      </c>
      <c r="BB13" s="27">
        <f t="shared" ref="BB13:BB20" si="14">IF($D13="是",I13-J13,0)</f>
        <v>3280.72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09" t="s">
        <v>3050</v>
      </c>
      <c r="D14" s="3010" t="s">
        <v>1678</v>
      </c>
      <c r="E14" s="27">
        <f t="shared" si="6"/>
        <v>1526.56</v>
      </c>
      <c r="F14" s="81"/>
      <c r="G14" s="82">
        <f t="shared" si="7"/>
        <v>3280.72</v>
      </c>
      <c r="H14" s="33">
        <f t="shared" si="8"/>
        <v>3280.72</v>
      </c>
      <c r="I14" s="3011">
        <f>面积表!G4</f>
        <v>3280.72</v>
      </c>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2#</v>
      </c>
      <c r="AY14" s="993">
        <f t="shared" si="11"/>
        <v>1526.56</v>
      </c>
      <c r="AZ14" s="27">
        <f t="shared" si="12"/>
        <v>3280.72</v>
      </c>
      <c r="BA14" s="27">
        <f t="shared" si="13"/>
        <v>3280.72</v>
      </c>
      <c r="BB14" s="27">
        <f t="shared" si="14"/>
        <v>3280.72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09" t="s">
        <v>3051</v>
      </c>
      <c r="D15" s="3010" t="s">
        <v>1678</v>
      </c>
      <c r="E15" s="27">
        <f t="shared" si="6"/>
        <v>2036.48</v>
      </c>
      <c r="F15" s="81"/>
      <c r="G15" s="82">
        <f t="shared" si="7"/>
        <v>4376.6000000000004</v>
      </c>
      <c r="H15" s="33">
        <f t="shared" si="8"/>
        <v>4376.6000000000004</v>
      </c>
      <c r="I15" s="3011">
        <f>面积表!G5</f>
        <v>4376.6000000000004</v>
      </c>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3#</v>
      </c>
      <c r="AY15" s="993">
        <f t="shared" si="11"/>
        <v>2036.48</v>
      </c>
      <c r="AZ15" s="27">
        <f t="shared" si="12"/>
        <v>4376.6000000000004</v>
      </c>
      <c r="BA15" s="27">
        <f t="shared" si="13"/>
        <v>4376.6000000000004</v>
      </c>
      <c r="BB15" s="27">
        <f t="shared" si="14"/>
        <v>4376.6000000000004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09" t="s">
        <v>3052</v>
      </c>
      <c r="D16" s="3010" t="s">
        <v>1678</v>
      </c>
      <c r="E16" s="27">
        <f t="shared" si="6"/>
        <v>2036.48</v>
      </c>
      <c r="F16" s="81"/>
      <c r="G16" s="82">
        <f t="shared" si="7"/>
        <v>4376.6000000000004</v>
      </c>
      <c r="H16" s="33">
        <f t="shared" si="8"/>
        <v>4376.6000000000004</v>
      </c>
      <c r="I16" s="3011">
        <f>面积表!G6</f>
        <v>4376.6000000000004</v>
      </c>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t="str">
        <f t="shared" si="10"/>
        <v>4#</v>
      </c>
      <c r="AY16" s="993">
        <f t="shared" si="11"/>
        <v>2036.48</v>
      </c>
      <c r="AZ16" s="27">
        <f t="shared" si="12"/>
        <v>4376.6000000000004</v>
      </c>
      <c r="BA16" s="27">
        <f t="shared" si="13"/>
        <v>4376.6000000000004</v>
      </c>
      <c r="BB16" s="27">
        <f t="shared" si="14"/>
        <v>4376.6000000000004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09" t="s">
        <v>3053</v>
      </c>
      <c r="D17" s="3010" t="s">
        <v>1678</v>
      </c>
      <c r="E17" s="27">
        <f t="shared" si="6"/>
        <v>2034.87</v>
      </c>
      <c r="F17" s="81"/>
      <c r="G17" s="82">
        <f t="shared" si="7"/>
        <v>4373.12</v>
      </c>
      <c r="H17" s="33">
        <f t="shared" si="8"/>
        <v>4373.12</v>
      </c>
      <c r="I17" s="3011">
        <f>面积表!C7</f>
        <v>4373.12</v>
      </c>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t="str">
        <f t="shared" si="10"/>
        <v>5#</v>
      </c>
      <c r="AY17" s="993">
        <f t="shared" si="11"/>
        <v>2034.87</v>
      </c>
      <c r="AZ17" s="27">
        <f t="shared" si="12"/>
        <v>4373.12</v>
      </c>
      <c r="BA17" s="27">
        <f t="shared" si="13"/>
        <v>4373.12</v>
      </c>
      <c r="BB17" s="27">
        <f t="shared" si="14"/>
        <v>4373.12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09" t="s">
        <v>3054</v>
      </c>
      <c r="D18" s="3010" t="s">
        <v>1678</v>
      </c>
      <c r="E18" s="87">
        <f t="shared" si="6"/>
        <v>2131.59</v>
      </c>
      <c r="F18" s="88"/>
      <c r="G18" s="89">
        <f t="shared" si="7"/>
        <v>4590.9799999999996</v>
      </c>
      <c r="H18" s="90">
        <f t="shared" si="8"/>
        <v>3910.9799999999996</v>
      </c>
      <c r="I18" s="3011">
        <f>面积表!H9</f>
        <v>3910.9799999999996</v>
      </c>
      <c r="J18" s="91"/>
      <c r="K18" s="1390"/>
      <c r="L18" s="91"/>
      <c r="M18" s="91"/>
      <c r="N18" s="91"/>
      <c r="O18" s="91"/>
      <c r="P18" s="91"/>
      <c r="Q18" s="91"/>
      <c r="R18" s="91"/>
      <c r="S18" s="91"/>
      <c r="T18" s="91"/>
      <c r="U18" s="91"/>
      <c r="V18" s="91"/>
      <c r="W18" s="91"/>
      <c r="X18" s="91"/>
      <c r="Y18" s="91"/>
      <c r="Z18" s="91"/>
      <c r="AA18" s="91"/>
      <c r="AB18" s="91"/>
      <c r="AC18" s="87">
        <f t="shared" si="9"/>
        <v>670</v>
      </c>
      <c r="AD18" s="92">
        <f>面积表!H8</f>
        <v>620</v>
      </c>
      <c r="AE18" s="92"/>
      <c r="AF18" s="1390"/>
      <c r="AG18" s="92"/>
      <c r="AH18" s="92"/>
      <c r="AI18" s="92"/>
      <c r="AJ18" s="92"/>
      <c r="AK18" s="92"/>
      <c r="AL18" s="1361">
        <f>面积表!H10</f>
        <v>50</v>
      </c>
      <c r="AM18" s="92"/>
      <c r="AN18" s="3015"/>
      <c r="AO18" s="92"/>
      <c r="AP18" s="92"/>
      <c r="AQ18" s="92"/>
      <c r="AR18" s="92"/>
      <c r="AS18" s="92"/>
      <c r="AT18" s="93">
        <f>面积表!H11</f>
        <v>10</v>
      </c>
      <c r="AU18" s="94"/>
      <c r="AV18" s="989">
        <f t="shared" si="10"/>
        <v>0</v>
      </c>
      <c r="AW18" s="989">
        <f t="shared" si="10"/>
        <v>0</v>
      </c>
      <c r="AX18" s="989" t="str">
        <f t="shared" si="10"/>
        <v>6#</v>
      </c>
      <c r="AY18" s="95">
        <f t="shared" si="11"/>
        <v>2131.59</v>
      </c>
      <c r="AZ18" s="87">
        <f t="shared" si="12"/>
        <v>4580.9799999999996</v>
      </c>
      <c r="BA18" s="87">
        <f t="shared" si="13"/>
        <v>3910.9799999999996</v>
      </c>
      <c r="BB18" s="87">
        <f t="shared" si="14"/>
        <v>3910.9799999999996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670</v>
      </c>
      <c r="BM18" s="87">
        <f t="shared" si="25"/>
        <v>620</v>
      </c>
      <c r="BN18" s="87">
        <f t="shared" si="26"/>
        <v>0</v>
      </c>
      <c r="BO18" s="87">
        <f t="shared" si="27"/>
        <v>0</v>
      </c>
      <c r="BP18" s="87">
        <f t="shared" si="28"/>
        <v>0</v>
      </c>
      <c r="BQ18" s="87">
        <f t="shared" si="29"/>
        <v>50</v>
      </c>
      <c r="BR18" s="87">
        <f t="shared" si="30"/>
        <v>0</v>
      </c>
      <c r="BS18" s="87">
        <f t="shared" si="31"/>
        <v>0</v>
      </c>
      <c r="BT18" s="96">
        <f t="shared" si="32"/>
        <v>0</v>
      </c>
    </row>
    <row r="19" spans="1:72">
      <c r="A19" s="84"/>
      <c r="B19" s="1394"/>
      <c r="C19" s="3009" t="s">
        <v>3055</v>
      </c>
      <c r="D19" s="3010" t="s">
        <v>1678</v>
      </c>
      <c r="E19" s="87">
        <f t="shared" si="6"/>
        <v>1968.35</v>
      </c>
      <c r="F19" s="88"/>
      <c r="G19" s="89">
        <f t="shared" si="7"/>
        <v>4230.17</v>
      </c>
      <c r="H19" s="90">
        <f t="shared" si="8"/>
        <v>3830.17</v>
      </c>
      <c r="I19" s="1390"/>
      <c r="J19" s="91"/>
      <c r="K19" s="1390">
        <f>面积表!G12</f>
        <v>2431.69</v>
      </c>
      <c r="L19" s="91"/>
      <c r="M19" s="91"/>
      <c r="N19" s="91"/>
      <c r="O19" s="91">
        <f>面积表!E13</f>
        <v>1398.48</v>
      </c>
      <c r="P19" s="91"/>
      <c r="Q19" s="91"/>
      <c r="R19" s="91"/>
      <c r="S19" s="91"/>
      <c r="T19" s="91"/>
      <c r="U19" s="91"/>
      <c r="V19" s="91"/>
      <c r="W19" s="91"/>
      <c r="X19" s="91"/>
      <c r="Y19" s="91"/>
      <c r="Z19" s="91"/>
      <c r="AA19" s="91"/>
      <c r="AB19" s="91"/>
      <c r="AC19" s="87">
        <f t="shared" si="9"/>
        <v>400</v>
      </c>
      <c r="AD19" s="92"/>
      <c r="AE19" s="92"/>
      <c r="AF19" s="1390"/>
      <c r="AG19" s="92"/>
      <c r="AH19" s="92"/>
      <c r="AI19" s="92"/>
      <c r="AJ19" s="92"/>
      <c r="AK19" s="92"/>
      <c r="AL19" s="92"/>
      <c r="AM19" s="92"/>
      <c r="AN19" s="1390">
        <f>面积表!E12</f>
        <v>400</v>
      </c>
      <c r="AO19" s="92"/>
      <c r="AP19" s="92"/>
      <c r="AQ19" s="92"/>
      <c r="AR19" s="92"/>
      <c r="AS19" s="92"/>
      <c r="AT19" s="93"/>
      <c r="AU19" s="94"/>
      <c r="AV19" s="989">
        <f t="shared" si="10"/>
        <v>0</v>
      </c>
      <c r="AW19" s="989">
        <f t="shared" si="10"/>
        <v>0</v>
      </c>
      <c r="AX19" s="989" t="str">
        <f t="shared" si="10"/>
        <v>7#</v>
      </c>
      <c r="AY19" s="95">
        <f t="shared" si="11"/>
        <v>1968.35</v>
      </c>
      <c r="AZ19" s="87">
        <f t="shared" si="12"/>
        <v>4230.17</v>
      </c>
      <c r="BA19" s="87">
        <f t="shared" si="13"/>
        <v>3830.17</v>
      </c>
      <c r="BB19" s="87">
        <f t="shared" si="14"/>
        <v>0</v>
      </c>
      <c r="BC19" s="87">
        <f t="shared" si="15"/>
        <v>2431.69</v>
      </c>
      <c r="BD19" s="87">
        <f t="shared" si="16"/>
        <v>0</v>
      </c>
      <c r="BE19" s="87">
        <f t="shared" si="17"/>
        <v>1398.48</v>
      </c>
      <c r="BF19" s="87">
        <f t="shared" si="18"/>
        <v>0</v>
      </c>
      <c r="BG19" s="87">
        <f t="shared" si="19"/>
        <v>0</v>
      </c>
      <c r="BH19" s="87">
        <f t="shared" si="20"/>
        <v>0</v>
      </c>
      <c r="BI19" s="87">
        <f t="shared" si="21"/>
        <v>0</v>
      </c>
      <c r="BJ19" s="87">
        <f t="shared" si="22"/>
        <v>0</v>
      </c>
      <c r="BK19" s="87">
        <f t="shared" si="23"/>
        <v>0</v>
      </c>
      <c r="BL19" s="87">
        <f t="shared" si="24"/>
        <v>400</v>
      </c>
      <c r="BM19" s="87">
        <f t="shared" si="25"/>
        <v>0</v>
      </c>
      <c r="BN19" s="87">
        <f t="shared" si="26"/>
        <v>0</v>
      </c>
      <c r="BO19" s="87">
        <f t="shared" si="27"/>
        <v>0</v>
      </c>
      <c r="BP19" s="87">
        <f t="shared" si="28"/>
        <v>0</v>
      </c>
      <c r="BQ19" s="87">
        <f t="shared" si="29"/>
        <v>0</v>
      </c>
      <c r="BR19" s="87">
        <f t="shared" si="30"/>
        <v>400</v>
      </c>
      <c r="BS19" s="87">
        <f t="shared" si="31"/>
        <v>0</v>
      </c>
      <c r="BT19" s="96">
        <f t="shared" si="32"/>
        <v>0</v>
      </c>
    </row>
    <row r="20" spans="1:72">
      <c r="A20" s="84"/>
      <c r="B20" s="1394"/>
      <c r="C20" s="3009" t="s">
        <v>3056</v>
      </c>
      <c r="D20" s="3010" t="s">
        <v>1678</v>
      </c>
      <c r="E20" s="87">
        <f t="shared" si="6"/>
        <v>2465.4699999999998</v>
      </c>
      <c r="F20" s="88"/>
      <c r="G20" s="89">
        <f t="shared" si="7"/>
        <v>5298.53</v>
      </c>
      <c r="H20" s="90">
        <f t="shared" si="8"/>
        <v>4798.53</v>
      </c>
      <c r="I20" s="1390"/>
      <c r="J20" s="91"/>
      <c r="K20" s="1390">
        <f>面积表!G14</f>
        <v>3039.6</v>
      </c>
      <c r="L20" s="91"/>
      <c r="M20" s="91"/>
      <c r="N20" s="91"/>
      <c r="O20" s="91">
        <f>面积表!E15</f>
        <v>1758.93</v>
      </c>
      <c r="P20" s="91"/>
      <c r="Q20" s="91"/>
      <c r="R20" s="91"/>
      <c r="S20" s="91"/>
      <c r="T20" s="91"/>
      <c r="U20" s="91"/>
      <c r="V20" s="91"/>
      <c r="W20" s="91"/>
      <c r="X20" s="91"/>
      <c r="Y20" s="91"/>
      <c r="Z20" s="91"/>
      <c r="AA20" s="91"/>
      <c r="AB20" s="91"/>
      <c r="AC20" s="87">
        <f t="shared" si="9"/>
        <v>500</v>
      </c>
      <c r="AD20" s="92"/>
      <c r="AE20" s="92"/>
      <c r="AF20" s="1390"/>
      <c r="AG20" s="92"/>
      <c r="AH20" s="92"/>
      <c r="AI20" s="92"/>
      <c r="AJ20" s="92"/>
      <c r="AK20" s="92"/>
      <c r="AL20" s="92"/>
      <c r="AM20" s="92"/>
      <c r="AN20" s="1390">
        <f>面积表!E14</f>
        <v>500</v>
      </c>
      <c r="AO20" s="92"/>
      <c r="AP20" s="92"/>
      <c r="AQ20" s="92"/>
      <c r="AR20" s="92"/>
      <c r="AS20" s="92"/>
      <c r="AT20" s="93"/>
      <c r="AU20" s="94"/>
      <c r="AV20" s="989">
        <f t="shared" si="10"/>
        <v>0</v>
      </c>
      <c r="AW20" s="989">
        <f t="shared" si="10"/>
        <v>0</v>
      </c>
      <c r="AX20" s="989" t="str">
        <f t="shared" si="10"/>
        <v>8#</v>
      </c>
      <c r="AY20" s="95">
        <f t="shared" si="11"/>
        <v>2465.4699999999998</v>
      </c>
      <c r="AZ20" s="87">
        <f t="shared" si="12"/>
        <v>5298.53</v>
      </c>
      <c r="BA20" s="87">
        <f t="shared" si="13"/>
        <v>4798.53</v>
      </c>
      <c r="BB20" s="87">
        <f t="shared" si="14"/>
        <v>0</v>
      </c>
      <c r="BC20" s="87">
        <f t="shared" si="15"/>
        <v>3039.6</v>
      </c>
      <c r="BD20" s="87">
        <f t="shared" si="16"/>
        <v>0</v>
      </c>
      <c r="BE20" s="87">
        <f t="shared" si="17"/>
        <v>1758.93</v>
      </c>
      <c r="BF20" s="87">
        <f t="shared" si="18"/>
        <v>0</v>
      </c>
      <c r="BG20" s="87">
        <f t="shared" si="19"/>
        <v>0</v>
      </c>
      <c r="BH20" s="87">
        <f t="shared" si="20"/>
        <v>0</v>
      </c>
      <c r="BI20" s="87">
        <f t="shared" si="21"/>
        <v>0</v>
      </c>
      <c r="BJ20" s="87">
        <f t="shared" si="22"/>
        <v>0</v>
      </c>
      <c r="BK20" s="87">
        <f t="shared" si="23"/>
        <v>0</v>
      </c>
      <c r="BL20" s="87">
        <f t="shared" si="24"/>
        <v>500</v>
      </c>
      <c r="BM20" s="87">
        <f t="shared" si="25"/>
        <v>0</v>
      </c>
      <c r="BN20" s="87">
        <f t="shared" si="26"/>
        <v>0</v>
      </c>
      <c r="BO20" s="87">
        <f t="shared" si="27"/>
        <v>0</v>
      </c>
      <c r="BP20" s="87">
        <f t="shared" si="28"/>
        <v>0</v>
      </c>
      <c r="BQ20" s="87">
        <f t="shared" si="29"/>
        <v>0</v>
      </c>
      <c r="BR20" s="87">
        <f t="shared" si="30"/>
        <v>500</v>
      </c>
      <c r="BS20" s="87">
        <f t="shared" si="31"/>
        <v>0</v>
      </c>
      <c r="BT20" s="96">
        <f t="shared" si="32"/>
        <v>0</v>
      </c>
    </row>
    <row r="21" spans="1:72">
      <c r="A21" s="84"/>
      <c r="B21" s="1389"/>
      <c r="C21" s="3009" t="s">
        <v>3057</v>
      </c>
      <c r="D21" s="3010" t="s">
        <v>1678</v>
      </c>
      <c r="E21" s="87">
        <f t="shared" ref="E21:E112" si="33">IF($C$3="是",ROUND($A$3*G21/$B$3,2),ROUND($A$3*(G21-AT21)/$B$3,2))</f>
        <v>2465.4699999999998</v>
      </c>
      <c r="F21" s="88"/>
      <c r="G21" s="89">
        <f t="shared" ref="G21:G109" si="34">H21+AC21+AT21</f>
        <v>5298.53</v>
      </c>
      <c r="H21" s="90">
        <f t="shared" ref="H21:H109" si="35">SUMIF(I$12:AB$12,"总值",I21:AB21)</f>
        <v>4798.53</v>
      </c>
      <c r="I21" s="1392"/>
      <c r="J21" s="91"/>
      <c r="K21" s="1392">
        <f>面积表!G16</f>
        <v>3039.6</v>
      </c>
      <c r="L21" s="91"/>
      <c r="M21" s="91"/>
      <c r="N21" s="91"/>
      <c r="O21" s="91">
        <f>面积表!E17</f>
        <v>1758.93</v>
      </c>
      <c r="P21" s="91"/>
      <c r="Q21" s="91"/>
      <c r="R21" s="91"/>
      <c r="S21" s="91"/>
      <c r="T21" s="91"/>
      <c r="U21" s="91"/>
      <c r="V21" s="91"/>
      <c r="W21" s="91"/>
      <c r="X21" s="91"/>
      <c r="Y21" s="91"/>
      <c r="Z21" s="91"/>
      <c r="AA21" s="91"/>
      <c r="AB21" s="91"/>
      <c r="AC21" s="87">
        <f t="shared" ref="AC21:AC109" si="36">SUMIF(AD$12:AS$12,"总值",AD21:AS21)</f>
        <v>500</v>
      </c>
      <c r="AD21" s="92"/>
      <c r="AE21" s="92"/>
      <c r="AF21" s="1393"/>
      <c r="AG21" s="92"/>
      <c r="AH21" s="92"/>
      <c r="AI21" s="92"/>
      <c r="AJ21" s="92"/>
      <c r="AK21" s="92"/>
      <c r="AL21" s="92"/>
      <c r="AM21" s="92"/>
      <c r="AN21" s="1361">
        <f>面积表!E16</f>
        <v>500</v>
      </c>
      <c r="AO21" s="92"/>
      <c r="AP21" s="92"/>
      <c r="AQ21" s="92"/>
      <c r="AR21" s="92"/>
      <c r="AS21" s="92"/>
      <c r="AT21" s="93"/>
      <c r="AU21" s="94"/>
      <c r="AV21" s="1975">
        <f t="shared" ref="AV21:AV112" si="37">A21</f>
        <v>0</v>
      </c>
      <c r="AW21" s="1975">
        <f t="shared" ref="AW21:AW112" si="38">B21</f>
        <v>0</v>
      </c>
      <c r="AX21" s="1975" t="str">
        <f t="shared" ref="AX21:AX112" si="39">C21</f>
        <v>9#</v>
      </c>
      <c r="AY21" s="95">
        <f t="shared" ref="AY21:AY109" si="40">ROUND($AY$6*AZ21/$AZ$5,2)</f>
        <v>2465.4699999999998</v>
      </c>
      <c r="AZ21" s="87">
        <f t="shared" ref="AZ21:AZ109" si="41">BA21+BL21</f>
        <v>5298.53</v>
      </c>
      <c r="BA21" s="87">
        <f t="shared" ref="BA21:BA109" si="42">SUM(BB21:BK21)</f>
        <v>4798.53</v>
      </c>
      <c r="BB21" s="87">
        <f t="shared" ref="BB21:BB109" si="43">IF($D21="是",I21-J21,0)</f>
        <v>0</v>
      </c>
      <c r="BC21" s="87">
        <f t="shared" ref="BC21:BC109" si="44">IF($D21="是",K21-L21,0)</f>
        <v>3039.6</v>
      </c>
      <c r="BD21" s="87">
        <f t="shared" ref="BD21:BD109" si="45">IF($D21="是",M21-N21,0)</f>
        <v>0</v>
      </c>
      <c r="BE21" s="87">
        <f t="shared" ref="BE21:BE109" si="46">IF($D21="是",O21-P21,0)</f>
        <v>1758.93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500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500</v>
      </c>
      <c r="BS21" s="87">
        <f t="shared" ref="BS21:BS109" si="60">IF($D21="是",AP21-AQ21,0)</f>
        <v>0</v>
      </c>
      <c r="BT21" s="96">
        <f t="shared" ref="BT21:BT109" si="61">IF($D21="是",AR21-AS21,0)</f>
        <v>0</v>
      </c>
    </row>
    <row r="22" spans="1:72">
      <c r="A22" s="84"/>
      <c r="B22" s="1389"/>
      <c r="C22" s="3009" t="s">
        <v>3058</v>
      </c>
      <c r="D22" s="3010" t="s">
        <v>1678</v>
      </c>
      <c r="E22" s="87">
        <f t="shared" si="33"/>
        <v>2465.4699999999998</v>
      </c>
      <c r="F22" s="88"/>
      <c r="G22" s="89">
        <f t="shared" si="34"/>
        <v>5298.53</v>
      </c>
      <c r="H22" s="90">
        <f t="shared" si="35"/>
        <v>4798.53</v>
      </c>
      <c r="I22" s="1392"/>
      <c r="J22" s="91"/>
      <c r="K22" s="1392">
        <f>面积表!G18</f>
        <v>3039.6</v>
      </c>
      <c r="L22" s="91"/>
      <c r="M22" s="1361"/>
      <c r="N22" s="91"/>
      <c r="O22" s="91">
        <f>面积表!E19</f>
        <v>1758.93</v>
      </c>
      <c r="P22" s="91"/>
      <c r="Q22" s="91"/>
      <c r="R22" s="91"/>
      <c r="S22" s="91"/>
      <c r="T22" s="91"/>
      <c r="U22" s="91"/>
      <c r="V22" s="91"/>
      <c r="W22" s="91"/>
      <c r="X22" s="91"/>
      <c r="Y22" s="91"/>
      <c r="Z22" s="91"/>
      <c r="AA22" s="91"/>
      <c r="AB22" s="91"/>
      <c r="AC22" s="87">
        <f t="shared" si="36"/>
        <v>500</v>
      </c>
      <c r="AD22" s="1361"/>
      <c r="AE22" s="92"/>
      <c r="AF22" s="1393"/>
      <c r="AG22" s="92"/>
      <c r="AH22" s="92"/>
      <c r="AI22" s="92"/>
      <c r="AJ22" s="92"/>
      <c r="AK22" s="92"/>
      <c r="AL22" s="1361"/>
      <c r="AM22" s="92"/>
      <c r="AN22" s="1361">
        <f>面积表!E18</f>
        <v>500</v>
      </c>
      <c r="AO22" s="92"/>
      <c r="AP22" s="92"/>
      <c r="AQ22" s="92"/>
      <c r="AR22" s="92"/>
      <c r="AS22" s="92"/>
      <c r="AT22" s="93"/>
      <c r="AU22" s="94"/>
      <c r="AV22" s="1975">
        <f t="shared" si="37"/>
        <v>0</v>
      </c>
      <c r="AW22" s="1975">
        <f t="shared" si="38"/>
        <v>0</v>
      </c>
      <c r="AX22" s="1975" t="str">
        <f t="shared" si="39"/>
        <v>10#</v>
      </c>
      <c r="AY22" s="95">
        <f t="shared" si="40"/>
        <v>2465.4699999999998</v>
      </c>
      <c r="AZ22" s="87">
        <f t="shared" si="41"/>
        <v>5298.53</v>
      </c>
      <c r="BA22" s="87">
        <f t="shared" si="42"/>
        <v>4798.53</v>
      </c>
      <c r="BB22" s="87">
        <f t="shared" si="43"/>
        <v>0</v>
      </c>
      <c r="BC22" s="87">
        <f t="shared" si="44"/>
        <v>3039.6</v>
      </c>
      <c r="BD22" s="87">
        <f t="shared" si="45"/>
        <v>0</v>
      </c>
      <c r="BE22" s="87">
        <f t="shared" si="46"/>
        <v>1758.93</v>
      </c>
      <c r="BF22" s="87">
        <f t="shared" si="47"/>
        <v>0</v>
      </c>
      <c r="BG22" s="87">
        <f t="shared" si="48"/>
        <v>0</v>
      </c>
      <c r="BH22" s="87">
        <f t="shared" si="49"/>
        <v>0</v>
      </c>
      <c r="BI22" s="87">
        <f t="shared" si="50"/>
        <v>0</v>
      </c>
      <c r="BJ22" s="87">
        <f t="shared" si="51"/>
        <v>0</v>
      </c>
      <c r="BK22" s="87">
        <f t="shared" si="52"/>
        <v>0</v>
      </c>
      <c r="BL22" s="87">
        <f t="shared" si="53"/>
        <v>500</v>
      </c>
      <c r="BM22" s="87">
        <f t="shared" si="54"/>
        <v>0</v>
      </c>
      <c r="BN22" s="87">
        <f t="shared" si="55"/>
        <v>0</v>
      </c>
      <c r="BO22" s="87">
        <f t="shared" si="56"/>
        <v>0</v>
      </c>
      <c r="BP22" s="87">
        <f t="shared" si="57"/>
        <v>0</v>
      </c>
      <c r="BQ22" s="87">
        <f t="shared" si="58"/>
        <v>0</v>
      </c>
      <c r="BR22" s="87">
        <f t="shared" si="59"/>
        <v>500</v>
      </c>
      <c r="BS22" s="87">
        <f t="shared" si="60"/>
        <v>0</v>
      </c>
      <c r="BT22" s="96">
        <f t="shared" si="61"/>
        <v>0</v>
      </c>
    </row>
    <row r="23" spans="1:72">
      <c r="A23" s="84"/>
      <c r="B23" s="1389"/>
      <c r="C23" s="3009" t="s">
        <v>3059</v>
      </c>
      <c r="D23" s="3010" t="s">
        <v>1678</v>
      </c>
      <c r="E23" s="87">
        <f t="shared" si="33"/>
        <v>2498.38</v>
      </c>
      <c r="F23" s="88"/>
      <c r="G23" s="89">
        <f t="shared" si="34"/>
        <v>5369.26</v>
      </c>
      <c r="H23" s="90">
        <f t="shared" si="35"/>
        <v>4869.26</v>
      </c>
      <c r="I23" s="1392"/>
      <c r="J23" s="91"/>
      <c r="K23" s="1392">
        <f>面积表!G20</f>
        <v>3039.6</v>
      </c>
      <c r="L23" s="91"/>
      <c r="M23" s="1361"/>
      <c r="N23" s="91"/>
      <c r="O23" s="91">
        <f>面积表!E21</f>
        <v>1829.66</v>
      </c>
      <c r="P23" s="91"/>
      <c r="Q23" s="91"/>
      <c r="R23" s="91"/>
      <c r="S23" s="91"/>
      <c r="T23" s="91"/>
      <c r="U23" s="91"/>
      <c r="V23" s="91"/>
      <c r="W23" s="91"/>
      <c r="X23" s="91"/>
      <c r="Y23" s="91"/>
      <c r="Z23" s="91"/>
      <c r="AA23" s="91"/>
      <c r="AB23" s="91"/>
      <c r="AC23" s="87">
        <f t="shared" si="36"/>
        <v>500</v>
      </c>
      <c r="AD23" s="92"/>
      <c r="AE23" s="92"/>
      <c r="AF23" s="1393"/>
      <c r="AG23" s="92"/>
      <c r="AH23" s="92"/>
      <c r="AI23" s="92"/>
      <c r="AJ23" s="92"/>
      <c r="AK23" s="92"/>
      <c r="AL23" s="1361"/>
      <c r="AM23" s="92"/>
      <c r="AN23" s="1361">
        <f>面积表!E20</f>
        <v>500</v>
      </c>
      <c r="AO23" s="92"/>
      <c r="AP23" s="92"/>
      <c r="AQ23" s="92"/>
      <c r="AR23" s="92"/>
      <c r="AS23" s="92"/>
      <c r="AT23" s="93"/>
      <c r="AU23" s="94"/>
      <c r="AV23" s="1975">
        <f t="shared" si="37"/>
        <v>0</v>
      </c>
      <c r="AW23" s="1975">
        <f t="shared" si="38"/>
        <v>0</v>
      </c>
      <c r="AX23" s="1975" t="str">
        <f t="shared" si="39"/>
        <v>11#</v>
      </c>
      <c r="AY23" s="95">
        <f t="shared" si="40"/>
        <v>2498.38</v>
      </c>
      <c r="AZ23" s="87">
        <f t="shared" si="41"/>
        <v>5369.26</v>
      </c>
      <c r="BA23" s="87">
        <f t="shared" si="42"/>
        <v>4869.26</v>
      </c>
      <c r="BB23" s="87">
        <f t="shared" si="43"/>
        <v>0</v>
      </c>
      <c r="BC23" s="87">
        <f t="shared" si="44"/>
        <v>3039.6</v>
      </c>
      <c r="BD23" s="87">
        <f t="shared" si="45"/>
        <v>0</v>
      </c>
      <c r="BE23" s="87">
        <f t="shared" si="46"/>
        <v>1829.66</v>
      </c>
      <c r="BF23" s="87">
        <f t="shared" si="47"/>
        <v>0</v>
      </c>
      <c r="BG23" s="87">
        <f t="shared" si="48"/>
        <v>0</v>
      </c>
      <c r="BH23" s="87">
        <f t="shared" si="49"/>
        <v>0</v>
      </c>
      <c r="BI23" s="87">
        <f t="shared" si="50"/>
        <v>0</v>
      </c>
      <c r="BJ23" s="87">
        <f t="shared" si="51"/>
        <v>0</v>
      </c>
      <c r="BK23" s="87">
        <f t="shared" si="52"/>
        <v>0</v>
      </c>
      <c r="BL23" s="87">
        <f t="shared" si="53"/>
        <v>500</v>
      </c>
      <c r="BM23" s="87">
        <f t="shared" si="54"/>
        <v>0</v>
      </c>
      <c r="BN23" s="87">
        <f t="shared" si="55"/>
        <v>0</v>
      </c>
      <c r="BO23" s="87">
        <f t="shared" si="56"/>
        <v>0</v>
      </c>
      <c r="BP23" s="87">
        <f t="shared" si="57"/>
        <v>0</v>
      </c>
      <c r="BQ23" s="87">
        <f t="shared" si="58"/>
        <v>0</v>
      </c>
      <c r="BR23" s="87">
        <f t="shared" si="59"/>
        <v>500</v>
      </c>
      <c r="BS23" s="87">
        <f t="shared" si="60"/>
        <v>0</v>
      </c>
      <c r="BT23" s="96">
        <f t="shared" si="61"/>
        <v>0</v>
      </c>
    </row>
    <row r="24" spans="1:72">
      <c r="A24" s="84"/>
      <c r="B24" s="1389"/>
      <c r="C24" s="3009" t="s">
        <v>3060</v>
      </c>
      <c r="D24" s="3010" t="s">
        <v>1678</v>
      </c>
      <c r="E24" s="87">
        <f t="shared" si="33"/>
        <v>2498.39</v>
      </c>
      <c r="F24" s="88"/>
      <c r="G24" s="89">
        <f t="shared" si="34"/>
        <v>5369.27</v>
      </c>
      <c r="H24" s="90">
        <f t="shared" si="35"/>
        <v>4869.2700000000004</v>
      </c>
      <c r="I24" s="1392"/>
      <c r="J24" s="91"/>
      <c r="K24" s="1392">
        <f>面积表!G22</f>
        <v>3039.6</v>
      </c>
      <c r="L24" s="91"/>
      <c r="M24" s="91"/>
      <c r="N24" s="91"/>
      <c r="O24" s="1361">
        <f>面积表!E23</f>
        <v>1829.67</v>
      </c>
      <c r="P24" s="91"/>
      <c r="Q24" s="91"/>
      <c r="R24" s="91"/>
      <c r="S24" s="91"/>
      <c r="T24" s="91"/>
      <c r="U24" s="91"/>
      <c r="V24" s="91"/>
      <c r="W24" s="91"/>
      <c r="X24" s="91"/>
      <c r="Y24" s="91"/>
      <c r="Z24" s="91"/>
      <c r="AA24" s="91"/>
      <c r="AB24" s="91"/>
      <c r="AC24" s="87">
        <f t="shared" si="36"/>
        <v>500</v>
      </c>
      <c r="AD24" s="92"/>
      <c r="AE24" s="92"/>
      <c r="AF24" s="1393"/>
      <c r="AG24" s="92"/>
      <c r="AH24" s="92"/>
      <c r="AI24" s="92"/>
      <c r="AJ24" s="92"/>
      <c r="AK24" s="92"/>
      <c r="AL24" s="92"/>
      <c r="AM24" s="92"/>
      <c r="AN24" s="1361">
        <f>面积表!E22</f>
        <v>500</v>
      </c>
      <c r="AO24" s="92"/>
      <c r="AP24" s="92"/>
      <c r="AQ24" s="92"/>
      <c r="AR24" s="92"/>
      <c r="AS24" s="92"/>
      <c r="AT24" s="93"/>
      <c r="AU24" s="94"/>
      <c r="AV24" s="1975">
        <f t="shared" si="37"/>
        <v>0</v>
      </c>
      <c r="AW24" s="1975">
        <f t="shared" si="38"/>
        <v>0</v>
      </c>
      <c r="AX24" s="1975" t="str">
        <f t="shared" si="39"/>
        <v>12#</v>
      </c>
      <c r="AY24" s="95">
        <f t="shared" si="40"/>
        <v>2498.39</v>
      </c>
      <c r="AZ24" s="87">
        <f t="shared" si="41"/>
        <v>5369.27</v>
      </c>
      <c r="BA24" s="87">
        <f t="shared" si="42"/>
        <v>4869.2700000000004</v>
      </c>
      <c r="BB24" s="87">
        <f t="shared" si="43"/>
        <v>0</v>
      </c>
      <c r="BC24" s="87">
        <f t="shared" si="44"/>
        <v>3039.6</v>
      </c>
      <c r="BD24" s="87">
        <f t="shared" si="45"/>
        <v>0</v>
      </c>
      <c r="BE24" s="87">
        <f t="shared" si="46"/>
        <v>1829.67</v>
      </c>
      <c r="BF24" s="87">
        <f t="shared" si="47"/>
        <v>0</v>
      </c>
      <c r="BG24" s="87">
        <f t="shared" si="48"/>
        <v>0</v>
      </c>
      <c r="BH24" s="87">
        <f t="shared" si="49"/>
        <v>0</v>
      </c>
      <c r="BI24" s="87">
        <f t="shared" si="50"/>
        <v>0</v>
      </c>
      <c r="BJ24" s="87">
        <f t="shared" si="51"/>
        <v>0</v>
      </c>
      <c r="BK24" s="87">
        <f t="shared" si="52"/>
        <v>0</v>
      </c>
      <c r="BL24" s="87">
        <f t="shared" si="53"/>
        <v>500</v>
      </c>
      <c r="BM24" s="87">
        <f t="shared" si="54"/>
        <v>0</v>
      </c>
      <c r="BN24" s="87">
        <f t="shared" si="55"/>
        <v>0</v>
      </c>
      <c r="BO24" s="87">
        <f t="shared" si="56"/>
        <v>0</v>
      </c>
      <c r="BP24" s="87">
        <f t="shared" si="57"/>
        <v>0</v>
      </c>
      <c r="BQ24" s="87">
        <f t="shared" si="58"/>
        <v>0</v>
      </c>
      <c r="BR24" s="87">
        <f t="shared" si="59"/>
        <v>500</v>
      </c>
      <c r="BS24" s="87">
        <f t="shared" si="60"/>
        <v>0</v>
      </c>
      <c r="BT24" s="96">
        <f t="shared" si="61"/>
        <v>0</v>
      </c>
    </row>
    <row r="25" spans="1:72">
      <c r="A25" s="84"/>
      <c r="B25" s="1389"/>
      <c r="C25" s="3009" t="s">
        <v>3061</v>
      </c>
      <c r="D25" s="3010" t="s">
        <v>1678</v>
      </c>
      <c r="E25" s="87">
        <f t="shared" si="33"/>
        <v>2465.5300000000002</v>
      </c>
      <c r="F25" s="88"/>
      <c r="G25" s="89">
        <f t="shared" si="34"/>
        <v>5298.66</v>
      </c>
      <c r="H25" s="90">
        <f t="shared" si="35"/>
        <v>4798.66</v>
      </c>
      <c r="I25" s="1392"/>
      <c r="J25" s="91"/>
      <c r="K25" s="1392">
        <f>面积表!G24</f>
        <v>3039.6</v>
      </c>
      <c r="L25" s="91"/>
      <c r="M25" s="91"/>
      <c r="N25" s="91"/>
      <c r="O25" s="91">
        <f>面积表!E25</f>
        <v>1759.06</v>
      </c>
      <c r="P25" s="91"/>
      <c r="Q25" s="91"/>
      <c r="R25" s="91"/>
      <c r="S25" s="91"/>
      <c r="T25" s="91"/>
      <c r="U25" s="91"/>
      <c r="V25" s="91"/>
      <c r="W25" s="91"/>
      <c r="X25" s="91"/>
      <c r="Y25" s="91"/>
      <c r="Z25" s="91"/>
      <c r="AA25" s="91"/>
      <c r="AB25" s="91"/>
      <c r="AC25" s="87">
        <f t="shared" si="36"/>
        <v>500</v>
      </c>
      <c r="AD25" s="92"/>
      <c r="AE25" s="92"/>
      <c r="AF25" s="1393"/>
      <c r="AG25" s="92"/>
      <c r="AH25" s="92"/>
      <c r="AI25" s="92"/>
      <c r="AJ25" s="92"/>
      <c r="AK25" s="92"/>
      <c r="AL25" s="92"/>
      <c r="AM25" s="92"/>
      <c r="AN25" s="92">
        <f>面积表!E24</f>
        <v>500</v>
      </c>
      <c r="AO25" s="92"/>
      <c r="AP25" s="92"/>
      <c r="AQ25" s="92"/>
      <c r="AR25" s="92"/>
      <c r="AS25" s="92"/>
      <c r="AT25" s="93"/>
      <c r="AU25" s="94"/>
      <c r="AV25" s="1975">
        <f t="shared" si="37"/>
        <v>0</v>
      </c>
      <c r="AW25" s="1975">
        <f t="shared" si="38"/>
        <v>0</v>
      </c>
      <c r="AX25" s="1975" t="str">
        <f t="shared" si="39"/>
        <v>13#</v>
      </c>
      <c r="AY25" s="95">
        <f t="shared" si="40"/>
        <v>2465.5300000000002</v>
      </c>
      <c r="AZ25" s="87">
        <f t="shared" si="41"/>
        <v>5298.66</v>
      </c>
      <c r="BA25" s="87">
        <f t="shared" si="42"/>
        <v>4798.66</v>
      </c>
      <c r="BB25" s="87">
        <f t="shared" si="43"/>
        <v>0</v>
      </c>
      <c r="BC25" s="87">
        <f t="shared" si="44"/>
        <v>3039.6</v>
      </c>
      <c r="BD25" s="87">
        <f t="shared" si="45"/>
        <v>0</v>
      </c>
      <c r="BE25" s="87">
        <f t="shared" si="46"/>
        <v>1759.06</v>
      </c>
      <c r="BF25" s="87">
        <f t="shared" si="47"/>
        <v>0</v>
      </c>
      <c r="BG25" s="87">
        <f t="shared" si="48"/>
        <v>0</v>
      </c>
      <c r="BH25" s="87">
        <f t="shared" si="49"/>
        <v>0</v>
      </c>
      <c r="BI25" s="87">
        <f t="shared" si="50"/>
        <v>0</v>
      </c>
      <c r="BJ25" s="87">
        <f t="shared" si="51"/>
        <v>0</v>
      </c>
      <c r="BK25" s="87">
        <f t="shared" si="52"/>
        <v>0</v>
      </c>
      <c r="BL25" s="87">
        <f t="shared" si="53"/>
        <v>500</v>
      </c>
      <c r="BM25" s="87">
        <f t="shared" si="54"/>
        <v>0</v>
      </c>
      <c r="BN25" s="87">
        <f t="shared" si="55"/>
        <v>0</v>
      </c>
      <c r="BO25" s="87">
        <f t="shared" si="56"/>
        <v>0</v>
      </c>
      <c r="BP25" s="87">
        <f t="shared" si="57"/>
        <v>0</v>
      </c>
      <c r="BQ25" s="87">
        <f t="shared" si="58"/>
        <v>0</v>
      </c>
      <c r="BR25" s="87">
        <f t="shared" si="59"/>
        <v>500</v>
      </c>
      <c r="BS25" s="87">
        <f t="shared" si="60"/>
        <v>0</v>
      </c>
      <c r="BT25" s="96">
        <f t="shared" si="61"/>
        <v>0</v>
      </c>
    </row>
    <row r="26" spans="1:72">
      <c r="A26" s="84"/>
      <c r="B26" s="1389"/>
      <c r="C26" s="3009" t="s">
        <v>3062</v>
      </c>
      <c r="D26" s="3010" t="s">
        <v>1678</v>
      </c>
      <c r="E26" s="87">
        <f t="shared" si="33"/>
        <v>2465.5300000000002</v>
      </c>
      <c r="F26" s="88"/>
      <c r="G26" s="89">
        <f t="shared" si="34"/>
        <v>5298.66</v>
      </c>
      <c r="H26" s="90">
        <f t="shared" si="35"/>
        <v>4798.66</v>
      </c>
      <c r="I26" s="1392"/>
      <c r="J26" s="91"/>
      <c r="K26" s="1392">
        <f>面积表!G26</f>
        <v>3039.6</v>
      </c>
      <c r="L26" s="91"/>
      <c r="M26" s="91"/>
      <c r="N26" s="91"/>
      <c r="O26" s="91">
        <f>面积表!E27</f>
        <v>1759.06</v>
      </c>
      <c r="P26" s="91"/>
      <c r="Q26" s="91"/>
      <c r="R26" s="91"/>
      <c r="S26" s="91"/>
      <c r="T26" s="91"/>
      <c r="U26" s="91"/>
      <c r="V26" s="91"/>
      <c r="W26" s="91"/>
      <c r="X26" s="91"/>
      <c r="Y26" s="91"/>
      <c r="Z26" s="91"/>
      <c r="AA26" s="91"/>
      <c r="AB26" s="91"/>
      <c r="AC26" s="87">
        <f t="shared" si="36"/>
        <v>500</v>
      </c>
      <c r="AD26" s="92"/>
      <c r="AE26" s="92"/>
      <c r="AF26" s="1393"/>
      <c r="AG26" s="92"/>
      <c r="AH26" s="92"/>
      <c r="AI26" s="92"/>
      <c r="AJ26" s="92"/>
      <c r="AK26" s="92"/>
      <c r="AL26" s="92"/>
      <c r="AM26" s="92"/>
      <c r="AN26" s="92">
        <f>面积表!E26</f>
        <v>500</v>
      </c>
      <c r="AO26" s="92"/>
      <c r="AP26" s="92"/>
      <c r="AQ26" s="92"/>
      <c r="AR26" s="92"/>
      <c r="AS26" s="92"/>
      <c r="AT26" s="93"/>
      <c r="AU26" s="94"/>
      <c r="AV26" s="1975">
        <f t="shared" si="37"/>
        <v>0</v>
      </c>
      <c r="AW26" s="1975">
        <f t="shared" si="38"/>
        <v>0</v>
      </c>
      <c r="AX26" s="1975" t="str">
        <f t="shared" si="39"/>
        <v>14#</v>
      </c>
      <c r="AY26" s="95">
        <f t="shared" si="40"/>
        <v>2465.5300000000002</v>
      </c>
      <c r="AZ26" s="87">
        <f t="shared" si="41"/>
        <v>5298.66</v>
      </c>
      <c r="BA26" s="87">
        <f t="shared" si="42"/>
        <v>4798.66</v>
      </c>
      <c r="BB26" s="87">
        <f t="shared" si="43"/>
        <v>0</v>
      </c>
      <c r="BC26" s="87">
        <f t="shared" si="44"/>
        <v>3039.6</v>
      </c>
      <c r="BD26" s="87">
        <f t="shared" si="45"/>
        <v>0</v>
      </c>
      <c r="BE26" s="87">
        <f t="shared" si="46"/>
        <v>1759.06</v>
      </c>
      <c r="BF26" s="87">
        <f t="shared" si="47"/>
        <v>0</v>
      </c>
      <c r="BG26" s="87">
        <f t="shared" si="48"/>
        <v>0</v>
      </c>
      <c r="BH26" s="87">
        <f t="shared" si="49"/>
        <v>0</v>
      </c>
      <c r="BI26" s="87">
        <f t="shared" si="50"/>
        <v>0</v>
      </c>
      <c r="BJ26" s="87">
        <f t="shared" si="51"/>
        <v>0</v>
      </c>
      <c r="BK26" s="87">
        <f t="shared" si="52"/>
        <v>0</v>
      </c>
      <c r="BL26" s="87">
        <f t="shared" si="53"/>
        <v>500</v>
      </c>
      <c r="BM26" s="87">
        <f t="shared" si="54"/>
        <v>0</v>
      </c>
      <c r="BN26" s="87">
        <f t="shared" si="55"/>
        <v>0</v>
      </c>
      <c r="BO26" s="87">
        <f t="shared" si="56"/>
        <v>0</v>
      </c>
      <c r="BP26" s="87">
        <f t="shared" si="57"/>
        <v>0</v>
      </c>
      <c r="BQ26" s="87">
        <f t="shared" si="58"/>
        <v>0</v>
      </c>
      <c r="BR26" s="87">
        <f t="shared" si="59"/>
        <v>500</v>
      </c>
      <c r="BS26" s="87">
        <f t="shared" si="60"/>
        <v>0</v>
      </c>
      <c r="BT26" s="96">
        <f t="shared" si="61"/>
        <v>0</v>
      </c>
    </row>
    <row r="27" spans="1:72">
      <c r="A27" s="84"/>
      <c r="B27" s="1389"/>
      <c r="C27" s="3009" t="s">
        <v>3063</v>
      </c>
      <c r="D27" s="3010" t="s">
        <v>1678</v>
      </c>
      <c r="E27" s="87">
        <f t="shared" si="33"/>
        <v>2465.5300000000002</v>
      </c>
      <c r="F27" s="88"/>
      <c r="G27" s="89">
        <f t="shared" si="34"/>
        <v>5298.66</v>
      </c>
      <c r="H27" s="90">
        <f t="shared" si="35"/>
        <v>4798.66</v>
      </c>
      <c r="I27" s="1392"/>
      <c r="J27" s="91"/>
      <c r="K27" s="1392">
        <f>面积表!G28</f>
        <v>3039.6</v>
      </c>
      <c r="L27" s="91"/>
      <c r="M27" s="91"/>
      <c r="N27" s="91"/>
      <c r="O27" s="91">
        <f>面积表!E29</f>
        <v>1759.06</v>
      </c>
      <c r="P27" s="91"/>
      <c r="Q27" s="91"/>
      <c r="R27" s="91"/>
      <c r="S27" s="91"/>
      <c r="T27" s="91"/>
      <c r="U27" s="91"/>
      <c r="V27" s="91"/>
      <c r="W27" s="91"/>
      <c r="X27" s="91"/>
      <c r="Y27" s="91"/>
      <c r="Z27" s="91"/>
      <c r="AA27" s="91"/>
      <c r="AB27" s="91"/>
      <c r="AC27" s="87">
        <f t="shared" si="36"/>
        <v>500</v>
      </c>
      <c r="AD27" s="92"/>
      <c r="AE27" s="92"/>
      <c r="AF27" s="1393"/>
      <c r="AG27" s="92"/>
      <c r="AH27" s="92"/>
      <c r="AI27" s="92"/>
      <c r="AJ27" s="92"/>
      <c r="AK27" s="92"/>
      <c r="AL27" s="92"/>
      <c r="AM27" s="92"/>
      <c r="AN27" s="92">
        <f>面积表!E28</f>
        <v>500</v>
      </c>
      <c r="AO27" s="92"/>
      <c r="AP27" s="92"/>
      <c r="AQ27" s="92"/>
      <c r="AR27" s="92"/>
      <c r="AS27" s="92"/>
      <c r="AT27" s="93"/>
      <c r="AU27" s="94"/>
      <c r="AV27" s="1975">
        <f t="shared" si="37"/>
        <v>0</v>
      </c>
      <c r="AW27" s="1975">
        <f t="shared" si="38"/>
        <v>0</v>
      </c>
      <c r="AX27" s="1975" t="str">
        <f t="shared" si="39"/>
        <v>15#</v>
      </c>
      <c r="AY27" s="95">
        <f t="shared" si="40"/>
        <v>2465.5300000000002</v>
      </c>
      <c r="AZ27" s="87">
        <f t="shared" si="41"/>
        <v>5298.66</v>
      </c>
      <c r="BA27" s="87">
        <f t="shared" si="42"/>
        <v>4798.66</v>
      </c>
      <c r="BB27" s="87">
        <f t="shared" si="43"/>
        <v>0</v>
      </c>
      <c r="BC27" s="87">
        <f t="shared" si="44"/>
        <v>3039.6</v>
      </c>
      <c r="BD27" s="87">
        <f t="shared" si="45"/>
        <v>0</v>
      </c>
      <c r="BE27" s="87">
        <f t="shared" si="46"/>
        <v>1759.06</v>
      </c>
      <c r="BF27" s="87">
        <f t="shared" si="47"/>
        <v>0</v>
      </c>
      <c r="BG27" s="87">
        <f t="shared" si="48"/>
        <v>0</v>
      </c>
      <c r="BH27" s="87">
        <f t="shared" si="49"/>
        <v>0</v>
      </c>
      <c r="BI27" s="87">
        <f t="shared" si="50"/>
        <v>0</v>
      </c>
      <c r="BJ27" s="87">
        <f t="shared" si="51"/>
        <v>0</v>
      </c>
      <c r="BK27" s="87">
        <f t="shared" si="52"/>
        <v>0</v>
      </c>
      <c r="BL27" s="87">
        <f t="shared" si="53"/>
        <v>500</v>
      </c>
      <c r="BM27" s="87">
        <f t="shared" si="54"/>
        <v>0</v>
      </c>
      <c r="BN27" s="87">
        <f t="shared" si="55"/>
        <v>0</v>
      </c>
      <c r="BO27" s="87">
        <f t="shared" si="56"/>
        <v>0</v>
      </c>
      <c r="BP27" s="87">
        <f t="shared" si="57"/>
        <v>0</v>
      </c>
      <c r="BQ27" s="87">
        <f t="shared" si="58"/>
        <v>0</v>
      </c>
      <c r="BR27" s="87">
        <f t="shared" si="59"/>
        <v>500</v>
      </c>
      <c r="BS27" s="87">
        <f t="shared" si="60"/>
        <v>0</v>
      </c>
      <c r="BT27" s="96">
        <f t="shared" si="61"/>
        <v>0</v>
      </c>
    </row>
    <row r="28" spans="1:72">
      <c r="A28" s="84"/>
      <c r="B28" s="1389"/>
      <c r="C28" s="3009" t="s">
        <v>3064</v>
      </c>
      <c r="D28" s="3010" t="s">
        <v>1678</v>
      </c>
      <c r="E28" s="87">
        <f t="shared" si="33"/>
        <v>2626.91</v>
      </c>
      <c r="F28" s="88"/>
      <c r="G28" s="89">
        <f t="shared" si="34"/>
        <v>5645.48</v>
      </c>
      <c r="H28" s="90">
        <f t="shared" si="35"/>
        <v>5145.4799999999996</v>
      </c>
      <c r="I28" s="1392"/>
      <c r="J28" s="91"/>
      <c r="K28" s="1392">
        <f>面积表!G30</f>
        <v>3039.6</v>
      </c>
      <c r="L28" s="91"/>
      <c r="M28" s="91"/>
      <c r="N28" s="91"/>
      <c r="O28" s="91">
        <f>面积表!E31</f>
        <v>2105.88</v>
      </c>
      <c r="P28" s="91"/>
      <c r="Q28" s="91"/>
      <c r="R28" s="91"/>
      <c r="S28" s="91"/>
      <c r="T28" s="91"/>
      <c r="U28" s="91"/>
      <c r="V28" s="91"/>
      <c r="W28" s="91"/>
      <c r="X28" s="91"/>
      <c r="Y28" s="91"/>
      <c r="Z28" s="91"/>
      <c r="AA28" s="91"/>
      <c r="AB28" s="91"/>
      <c r="AC28" s="87">
        <f t="shared" si="36"/>
        <v>500</v>
      </c>
      <c r="AD28" s="92"/>
      <c r="AE28" s="92"/>
      <c r="AF28" s="1392"/>
      <c r="AG28" s="92"/>
      <c r="AH28" s="92"/>
      <c r="AI28" s="92"/>
      <c r="AJ28" s="92"/>
      <c r="AK28" s="92"/>
      <c r="AL28" s="92"/>
      <c r="AM28" s="92"/>
      <c r="AN28" s="92">
        <f>面积表!E30</f>
        <v>500</v>
      </c>
      <c r="AO28" s="92"/>
      <c r="AP28" s="92"/>
      <c r="AQ28" s="92"/>
      <c r="AR28" s="92"/>
      <c r="AS28" s="92"/>
      <c r="AT28" s="93"/>
      <c r="AU28" s="94"/>
      <c r="AV28" s="1975">
        <f t="shared" si="37"/>
        <v>0</v>
      </c>
      <c r="AW28" s="1975">
        <f t="shared" si="38"/>
        <v>0</v>
      </c>
      <c r="AX28" s="1975" t="str">
        <f t="shared" si="39"/>
        <v>16#</v>
      </c>
      <c r="AY28" s="95">
        <f t="shared" si="40"/>
        <v>2626.91</v>
      </c>
      <c r="AZ28" s="87">
        <f t="shared" si="41"/>
        <v>5645.48</v>
      </c>
      <c r="BA28" s="87">
        <f t="shared" si="42"/>
        <v>5145.4799999999996</v>
      </c>
      <c r="BB28" s="87">
        <f t="shared" si="43"/>
        <v>0</v>
      </c>
      <c r="BC28" s="87">
        <f t="shared" si="44"/>
        <v>3039.6</v>
      </c>
      <c r="BD28" s="87">
        <f t="shared" si="45"/>
        <v>0</v>
      </c>
      <c r="BE28" s="87">
        <f t="shared" si="46"/>
        <v>2105.88</v>
      </c>
      <c r="BF28" s="87">
        <f t="shared" si="47"/>
        <v>0</v>
      </c>
      <c r="BG28" s="87">
        <f t="shared" si="48"/>
        <v>0</v>
      </c>
      <c r="BH28" s="87">
        <f t="shared" si="49"/>
        <v>0</v>
      </c>
      <c r="BI28" s="87">
        <f t="shared" si="50"/>
        <v>0</v>
      </c>
      <c r="BJ28" s="87">
        <f t="shared" si="51"/>
        <v>0</v>
      </c>
      <c r="BK28" s="87">
        <f t="shared" si="52"/>
        <v>0</v>
      </c>
      <c r="BL28" s="87">
        <f t="shared" si="53"/>
        <v>500</v>
      </c>
      <c r="BM28" s="87">
        <f t="shared" si="54"/>
        <v>0</v>
      </c>
      <c r="BN28" s="87">
        <f t="shared" si="55"/>
        <v>0</v>
      </c>
      <c r="BO28" s="87">
        <f t="shared" si="56"/>
        <v>0</v>
      </c>
      <c r="BP28" s="87">
        <f t="shared" si="57"/>
        <v>0</v>
      </c>
      <c r="BQ28" s="87">
        <f t="shared" si="58"/>
        <v>0</v>
      </c>
      <c r="BR28" s="87">
        <f t="shared" si="59"/>
        <v>500</v>
      </c>
      <c r="BS28" s="87">
        <f t="shared" si="60"/>
        <v>0</v>
      </c>
      <c r="BT28" s="96">
        <f t="shared" si="61"/>
        <v>0</v>
      </c>
    </row>
    <row r="29" spans="1:72">
      <c r="A29" s="84"/>
      <c r="B29" s="1391"/>
      <c r="C29" s="3009" t="s">
        <v>3065</v>
      </c>
      <c r="D29" s="3010" t="s">
        <v>1678</v>
      </c>
      <c r="E29" s="87">
        <f t="shared" si="33"/>
        <v>2098.41</v>
      </c>
      <c r="F29" s="88"/>
      <c r="G29" s="89">
        <f t="shared" si="34"/>
        <v>4509.6900000000005</v>
      </c>
      <c r="H29" s="90">
        <f t="shared" si="35"/>
        <v>4109.6900000000005</v>
      </c>
      <c r="I29" s="1392"/>
      <c r="J29" s="91"/>
      <c r="K29" s="1392">
        <f>面积表!G32</f>
        <v>2431.69</v>
      </c>
      <c r="L29" s="91"/>
      <c r="M29" s="91"/>
      <c r="N29" s="91"/>
      <c r="O29" s="91">
        <f>面积表!E33</f>
        <v>1678</v>
      </c>
      <c r="P29" s="91"/>
      <c r="Q29" s="91"/>
      <c r="R29" s="91"/>
      <c r="S29" s="91"/>
      <c r="T29" s="91"/>
      <c r="U29" s="91"/>
      <c r="V29" s="91"/>
      <c r="W29" s="91"/>
      <c r="X29" s="91"/>
      <c r="Y29" s="91"/>
      <c r="Z29" s="91"/>
      <c r="AA29" s="91"/>
      <c r="AB29" s="91"/>
      <c r="AC29" s="87">
        <f t="shared" si="36"/>
        <v>400</v>
      </c>
      <c r="AD29" s="92"/>
      <c r="AE29" s="92"/>
      <c r="AF29" s="1392"/>
      <c r="AG29" s="92"/>
      <c r="AH29" s="92"/>
      <c r="AI29" s="92"/>
      <c r="AJ29" s="92"/>
      <c r="AK29" s="92"/>
      <c r="AL29" s="92"/>
      <c r="AM29" s="92"/>
      <c r="AN29" s="92">
        <f>面积表!E32</f>
        <v>400</v>
      </c>
      <c r="AO29" s="92"/>
      <c r="AP29" s="92"/>
      <c r="AQ29" s="92"/>
      <c r="AR29" s="92"/>
      <c r="AS29" s="92"/>
      <c r="AT29" s="93"/>
      <c r="AU29" s="94"/>
      <c r="AV29" s="1975">
        <f t="shared" si="37"/>
        <v>0</v>
      </c>
      <c r="AW29" s="1975">
        <f t="shared" si="38"/>
        <v>0</v>
      </c>
      <c r="AX29" s="1975" t="str">
        <f t="shared" si="39"/>
        <v>17#</v>
      </c>
      <c r="AY29" s="95">
        <f t="shared" si="40"/>
        <v>2098.41</v>
      </c>
      <c r="AZ29" s="87">
        <f t="shared" si="41"/>
        <v>4509.6900000000005</v>
      </c>
      <c r="BA29" s="87">
        <f t="shared" si="42"/>
        <v>4109.6900000000005</v>
      </c>
      <c r="BB29" s="87">
        <f t="shared" si="43"/>
        <v>0</v>
      </c>
      <c r="BC29" s="87">
        <f t="shared" si="44"/>
        <v>2431.69</v>
      </c>
      <c r="BD29" s="87">
        <f t="shared" si="45"/>
        <v>0</v>
      </c>
      <c r="BE29" s="87">
        <f t="shared" si="46"/>
        <v>1678</v>
      </c>
      <c r="BF29" s="87">
        <f t="shared" si="47"/>
        <v>0</v>
      </c>
      <c r="BG29" s="87">
        <f t="shared" si="48"/>
        <v>0</v>
      </c>
      <c r="BH29" s="87">
        <f t="shared" si="49"/>
        <v>0</v>
      </c>
      <c r="BI29" s="87">
        <f t="shared" si="50"/>
        <v>0</v>
      </c>
      <c r="BJ29" s="87">
        <f t="shared" si="51"/>
        <v>0</v>
      </c>
      <c r="BK29" s="87">
        <f t="shared" si="52"/>
        <v>0</v>
      </c>
      <c r="BL29" s="87">
        <f t="shared" si="53"/>
        <v>400</v>
      </c>
      <c r="BM29" s="87">
        <f t="shared" si="54"/>
        <v>0</v>
      </c>
      <c r="BN29" s="87">
        <f t="shared" si="55"/>
        <v>0</v>
      </c>
      <c r="BO29" s="87">
        <f t="shared" si="56"/>
        <v>0</v>
      </c>
      <c r="BP29" s="87">
        <f t="shared" si="57"/>
        <v>0</v>
      </c>
      <c r="BQ29" s="87">
        <f t="shared" si="58"/>
        <v>0</v>
      </c>
      <c r="BR29" s="87">
        <f t="shared" si="59"/>
        <v>400</v>
      </c>
      <c r="BS29" s="87">
        <f t="shared" si="60"/>
        <v>0</v>
      </c>
      <c r="BT29" s="96">
        <f t="shared" si="61"/>
        <v>0</v>
      </c>
    </row>
    <row r="30" spans="1:72">
      <c r="A30" s="84"/>
      <c r="B30" s="1389"/>
      <c r="C30" s="3009" t="s">
        <v>3066</v>
      </c>
      <c r="D30" s="3010" t="s">
        <v>1678</v>
      </c>
      <c r="E30" s="87">
        <f t="shared" si="33"/>
        <v>1969.07</v>
      </c>
      <c r="F30" s="88"/>
      <c r="G30" s="89">
        <f t="shared" si="34"/>
        <v>4231.7299999999996</v>
      </c>
      <c r="H30" s="90">
        <f t="shared" si="35"/>
        <v>3831.73</v>
      </c>
      <c r="I30" s="1392"/>
      <c r="J30" s="91"/>
      <c r="K30" s="1392">
        <f>面积表!G34</f>
        <v>2431.69</v>
      </c>
      <c r="L30" s="91"/>
      <c r="M30" s="91"/>
      <c r="N30" s="91"/>
      <c r="O30" s="91">
        <f>面积表!E35</f>
        <v>1400.04</v>
      </c>
      <c r="P30" s="91"/>
      <c r="Q30" s="91"/>
      <c r="R30" s="91"/>
      <c r="S30" s="91"/>
      <c r="T30" s="91"/>
      <c r="U30" s="91"/>
      <c r="V30" s="91"/>
      <c r="W30" s="91"/>
      <c r="X30" s="91"/>
      <c r="Y30" s="91"/>
      <c r="Z30" s="91"/>
      <c r="AA30" s="91"/>
      <c r="AB30" s="91"/>
      <c r="AC30" s="87">
        <f t="shared" si="36"/>
        <v>400</v>
      </c>
      <c r="AD30" s="92"/>
      <c r="AE30" s="92"/>
      <c r="AF30" s="1392"/>
      <c r="AG30" s="92"/>
      <c r="AH30" s="92"/>
      <c r="AI30" s="92"/>
      <c r="AJ30" s="92"/>
      <c r="AK30" s="92"/>
      <c r="AL30" s="92"/>
      <c r="AM30" s="92"/>
      <c r="AN30" s="92">
        <f>面积表!E34</f>
        <v>400</v>
      </c>
      <c r="AO30" s="92"/>
      <c r="AP30" s="92"/>
      <c r="AQ30" s="92"/>
      <c r="AR30" s="92"/>
      <c r="AS30" s="92"/>
      <c r="AT30" s="93"/>
      <c r="AU30" s="94"/>
      <c r="AV30" s="1975">
        <f t="shared" si="37"/>
        <v>0</v>
      </c>
      <c r="AW30" s="1975">
        <f t="shared" si="38"/>
        <v>0</v>
      </c>
      <c r="AX30" s="1975" t="str">
        <f t="shared" si="39"/>
        <v>18#</v>
      </c>
      <c r="AY30" s="95">
        <f t="shared" si="40"/>
        <v>1969.07</v>
      </c>
      <c r="AZ30" s="87">
        <f t="shared" si="41"/>
        <v>4231.7299999999996</v>
      </c>
      <c r="BA30" s="87">
        <f t="shared" si="42"/>
        <v>3831.73</v>
      </c>
      <c r="BB30" s="87">
        <f t="shared" si="43"/>
        <v>0</v>
      </c>
      <c r="BC30" s="87">
        <f t="shared" si="44"/>
        <v>2431.69</v>
      </c>
      <c r="BD30" s="87">
        <f t="shared" si="45"/>
        <v>0</v>
      </c>
      <c r="BE30" s="87">
        <f t="shared" si="46"/>
        <v>1400.04</v>
      </c>
      <c r="BF30" s="87">
        <f t="shared" si="47"/>
        <v>0</v>
      </c>
      <c r="BG30" s="87">
        <f t="shared" si="48"/>
        <v>0</v>
      </c>
      <c r="BH30" s="87">
        <f t="shared" si="49"/>
        <v>0</v>
      </c>
      <c r="BI30" s="87">
        <f t="shared" si="50"/>
        <v>0</v>
      </c>
      <c r="BJ30" s="87">
        <f t="shared" si="51"/>
        <v>0</v>
      </c>
      <c r="BK30" s="87">
        <f t="shared" si="52"/>
        <v>0</v>
      </c>
      <c r="BL30" s="87">
        <f t="shared" si="53"/>
        <v>400</v>
      </c>
      <c r="BM30" s="87">
        <f t="shared" si="54"/>
        <v>0</v>
      </c>
      <c r="BN30" s="87">
        <f t="shared" si="55"/>
        <v>0</v>
      </c>
      <c r="BO30" s="87">
        <f t="shared" si="56"/>
        <v>0</v>
      </c>
      <c r="BP30" s="87">
        <f t="shared" si="57"/>
        <v>0</v>
      </c>
      <c r="BQ30" s="87">
        <f t="shared" si="58"/>
        <v>0</v>
      </c>
      <c r="BR30" s="87">
        <f t="shared" si="59"/>
        <v>400</v>
      </c>
      <c r="BS30" s="87">
        <f t="shared" si="60"/>
        <v>0</v>
      </c>
      <c r="BT30" s="96">
        <f t="shared" si="61"/>
        <v>0</v>
      </c>
    </row>
    <row r="31" spans="1:72">
      <c r="A31" s="84"/>
      <c r="B31" s="1389"/>
      <c r="C31" s="3009" t="s">
        <v>3067</v>
      </c>
      <c r="D31" s="3010" t="s">
        <v>1678</v>
      </c>
      <c r="E31" s="87">
        <f t="shared" si="33"/>
        <v>1969.07</v>
      </c>
      <c r="F31" s="88"/>
      <c r="G31" s="89">
        <f t="shared" si="34"/>
        <v>4231.7299999999996</v>
      </c>
      <c r="H31" s="90">
        <f t="shared" si="35"/>
        <v>3831.73</v>
      </c>
      <c r="I31" s="1392"/>
      <c r="J31" s="91"/>
      <c r="K31" s="1392">
        <f>面积表!G36</f>
        <v>2431.69</v>
      </c>
      <c r="L31" s="91"/>
      <c r="M31" s="91"/>
      <c r="N31" s="91"/>
      <c r="O31" s="91">
        <f>面积表!E37</f>
        <v>1400.04</v>
      </c>
      <c r="P31" s="91"/>
      <c r="Q31" s="91"/>
      <c r="R31" s="91"/>
      <c r="S31" s="91"/>
      <c r="T31" s="91"/>
      <c r="U31" s="91"/>
      <c r="V31" s="91"/>
      <c r="W31" s="91"/>
      <c r="X31" s="91"/>
      <c r="Y31" s="91"/>
      <c r="Z31" s="91"/>
      <c r="AA31" s="91"/>
      <c r="AB31" s="91"/>
      <c r="AC31" s="87">
        <f t="shared" si="36"/>
        <v>400</v>
      </c>
      <c r="AD31" s="92"/>
      <c r="AE31" s="92"/>
      <c r="AF31" s="1392"/>
      <c r="AG31" s="92"/>
      <c r="AH31" s="92"/>
      <c r="AI31" s="92"/>
      <c r="AJ31" s="92"/>
      <c r="AK31" s="92"/>
      <c r="AL31" s="92"/>
      <c r="AM31" s="92"/>
      <c r="AN31" s="92">
        <f>面积表!E36</f>
        <v>400</v>
      </c>
      <c r="AO31" s="92"/>
      <c r="AP31" s="92"/>
      <c r="AQ31" s="92"/>
      <c r="AR31" s="92"/>
      <c r="AS31" s="92"/>
      <c r="AT31" s="93"/>
      <c r="AU31" s="94"/>
      <c r="AV31" s="1975">
        <f t="shared" si="37"/>
        <v>0</v>
      </c>
      <c r="AW31" s="1975">
        <f t="shared" si="38"/>
        <v>0</v>
      </c>
      <c r="AX31" s="1975" t="str">
        <f t="shared" si="39"/>
        <v>19#</v>
      </c>
      <c r="AY31" s="95">
        <f t="shared" si="40"/>
        <v>1969.07</v>
      </c>
      <c r="AZ31" s="87">
        <f t="shared" si="41"/>
        <v>4231.7299999999996</v>
      </c>
      <c r="BA31" s="87">
        <f t="shared" si="42"/>
        <v>3831.73</v>
      </c>
      <c r="BB31" s="87">
        <f t="shared" si="43"/>
        <v>0</v>
      </c>
      <c r="BC31" s="87">
        <f t="shared" si="44"/>
        <v>2431.69</v>
      </c>
      <c r="BD31" s="87">
        <f t="shared" si="45"/>
        <v>0</v>
      </c>
      <c r="BE31" s="87">
        <f t="shared" si="46"/>
        <v>1400.04</v>
      </c>
      <c r="BF31" s="87">
        <f t="shared" si="47"/>
        <v>0</v>
      </c>
      <c r="BG31" s="87">
        <f t="shared" si="48"/>
        <v>0</v>
      </c>
      <c r="BH31" s="87">
        <f t="shared" si="49"/>
        <v>0</v>
      </c>
      <c r="BI31" s="87">
        <f t="shared" si="50"/>
        <v>0</v>
      </c>
      <c r="BJ31" s="87">
        <f t="shared" si="51"/>
        <v>0</v>
      </c>
      <c r="BK31" s="87">
        <f t="shared" si="52"/>
        <v>0</v>
      </c>
      <c r="BL31" s="87">
        <f t="shared" si="53"/>
        <v>400</v>
      </c>
      <c r="BM31" s="87">
        <f t="shared" si="54"/>
        <v>0</v>
      </c>
      <c r="BN31" s="87">
        <f t="shared" si="55"/>
        <v>0</v>
      </c>
      <c r="BO31" s="87">
        <f t="shared" si="56"/>
        <v>0</v>
      </c>
      <c r="BP31" s="87">
        <f t="shared" si="57"/>
        <v>0</v>
      </c>
      <c r="BQ31" s="87">
        <f t="shared" si="58"/>
        <v>0</v>
      </c>
      <c r="BR31" s="87">
        <f t="shared" si="59"/>
        <v>400</v>
      </c>
      <c r="BS31" s="87">
        <f t="shared" si="60"/>
        <v>0</v>
      </c>
      <c r="BT31" s="96">
        <f t="shared" si="61"/>
        <v>0</v>
      </c>
    </row>
    <row r="32" spans="1:72">
      <c r="A32" s="84"/>
      <c r="B32" s="1389"/>
      <c r="C32" s="3009" t="s">
        <v>3068</v>
      </c>
      <c r="D32" s="3010" t="s">
        <v>1678</v>
      </c>
      <c r="E32" s="87">
        <f t="shared" si="33"/>
        <v>1969.07</v>
      </c>
      <c r="F32" s="88"/>
      <c r="G32" s="89">
        <f t="shared" si="34"/>
        <v>4231.7299999999996</v>
      </c>
      <c r="H32" s="90">
        <f t="shared" si="35"/>
        <v>3831.73</v>
      </c>
      <c r="I32" s="1392"/>
      <c r="J32" s="91"/>
      <c r="K32" s="1392">
        <f>面积表!G38</f>
        <v>2431.69</v>
      </c>
      <c r="L32" s="91"/>
      <c r="M32" s="91"/>
      <c r="N32" s="91"/>
      <c r="O32" s="91">
        <f>面积表!E39</f>
        <v>1400.04</v>
      </c>
      <c r="P32" s="91"/>
      <c r="Q32" s="91"/>
      <c r="R32" s="91"/>
      <c r="S32" s="91"/>
      <c r="T32" s="91"/>
      <c r="U32" s="91"/>
      <c r="V32" s="91"/>
      <c r="W32" s="91"/>
      <c r="X32" s="91"/>
      <c r="Y32" s="91"/>
      <c r="Z32" s="91"/>
      <c r="AA32" s="91"/>
      <c r="AB32" s="91"/>
      <c r="AC32" s="87">
        <f t="shared" si="36"/>
        <v>400</v>
      </c>
      <c r="AD32" s="92"/>
      <c r="AE32" s="92"/>
      <c r="AF32" s="1392"/>
      <c r="AG32" s="92"/>
      <c r="AH32" s="92"/>
      <c r="AI32" s="92"/>
      <c r="AJ32" s="92"/>
      <c r="AK32" s="92"/>
      <c r="AL32" s="92"/>
      <c r="AM32" s="92"/>
      <c r="AN32" s="92">
        <f>面积表!E38</f>
        <v>400</v>
      </c>
      <c r="AO32" s="92"/>
      <c r="AP32" s="92"/>
      <c r="AQ32" s="92"/>
      <c r="AR32" s="92"/>
      <c r="AS32" s="92"/>
      <c r="AT32" s="93"/>
      <c r="AU32" s="94"/>
      <c r="AV32" s="1975">
        <f t="shared" si="37"/>
        <v>0</v>
      </c>
      <c r="AW32" s="1975">
        <f t="shared" si="38"/>
        <v>0</v>
      </c>
      <c r="AX32" s="1975" t="str">
        <f t="shared" si="39"/>
        <v>20#</v>
      </c>
      <c r="AY32" s="95">
        <f t="shared" si="40"/>
        <v>1969.07</v>
      </c>
      <c r="AZ32" s="87">
        <f t="shared" si="41"/>
        <v>4231.7299999999996</v>
      </c>
      <c r="BA32" s="87">
        <f t="shared" si="42"/>
        <v>3831.73</v>
      </c>
      <c r="BB32" s="87">
        <f t="shared" si="43"/>
        <v>0</v>
      </c>
      <c r="BC32" s="87">
        <f t="shared" si="44"/>
        <v>2431.69</v>
      </c>
      <c r="BD32" s="87">
        <f t="shared" si="45"/>
        <v>0</v>
      </c>
      <c r="BE32" s="87">
        <f t="shared" si="46"/>
        <v>1400.04</v>
      </c>
      <c r="BF32" s="87">
        <f t="shared" si="47"/>
        <v>0</v>
      </c>
      <c r="BG32" s="87">
        <f t="shared" si="48"/>
        <v>0</v>
      </c>
      <c r="BH32" s="87">
        <f t="shared" si="49"/>
        <v>0</v>
      </c>
      <c r="BI32" s="87">
        <f t="shared" si="50"/>
        <v>0</v>
      </c>
      <c r="BJ32" s="87">
        <f t="shared" si="51"/>
        <v>0</v>
      </c>
      <c r="BK32" s="87">
        <f t="shared" si="52"/>
        <v>0</v>
      </c>
      <c r="BL32" s="87">
        <f t="shared" si="53"/>
        <v>400</v>
      </c>
      <c r="BM32" s="87">
        <f t="shared" si="54"/>
        <v>0</v>
      </c>
      <c r="BN32" s="87">
        <f t="shared" si="55"/>
        <v>0</v>
      </c>
      <c r="BO32" s="87">
        <f t="shared" si="56"/>
        <v>0</v>
      </c>
      <c r="BP32" s="87">
        <f t="shared" si="57"/>
        <v>0</v>
      </c>
      <c r="BQ32" s="87">
        <f t="shared" si="58"/>
        <v>0</v>
      </c>
      <c r="BR32" s="87">
        <f t="shared" si="59"/>
        <v>400</v>
      </c>
      <c r="BS32" s="87">
        <f t="shared" si="60"/>
        <v>0</v>
      </c>
      <c r="BT32" s="96">
        <f t="shared" si="61"/>
        <v>0</v>
      </c>
    </row>
    <row r="33" spans="1:72">
      <c r="A33" s="84"/>
      <c r="B33" s="1389"/>
      <c r="C33" s="3009" t="s">
        <v>3069</v>
      </c>
      <c r="D33" s="3010" t="s">
        <v>1678</v>
      </c>
      <c r="E33" s="87">
        <f t="shared" si="33"/>
        <v>1991.4</v>
      </c>
      <c r="F33" s="88"/>
      <c r="G33" s="89">
        <f t="shared" si="34"/>
        <v>4279.71</v>
      </c>
      <c r="H33" s="90">
        <f t="shared" si="35"/>
        <v>3879.71</v>
      </c>
      <c r="I33" s="1392"/>
      <c r="J33" s="91"/>
      <c r="K33" s="1392">
        <f>面积表!G40</f>
        <v>2431.69</v>
      </c>
      <c r="L33" s="91"/>
      <c r="M33" s="91"/>
      <c r="N33" s="91"/>
      <c r="O33" s="91">
        <f>面积表!E41</f>
        <v>1448.02</v>
      </c>
      <c r="P33" s="91"/>
      <c r="Q33" s="91"/>
      <c r="R33" s="91"/>
      <c r="S33" s="91"/>
      <c r="T33" s="91"/>
      <c r="U33" s="91"/>
      <c r="V33" s="91"/>
      <c r="W33" s="91"/>
      <c r="X33" s="91"/>
      <c r="Y33" s="91"/>
      <c r="Z33" s="91"/>
      <c r="AA33" s="91"/>
      <c r="AB33" s="91"/>
      <c r="AC33" s="87">
        <f t="shared" si="36"/>
        <v>400</v>
      </c>
      <c r="AD33" s="92"/>
      <c r="AE33" s="92"/>
      <c r="AF33" s="1392"/>
      <c r="AG33" s="92"/>
      <c r="AH33" s="92"/>
      <c r="AI33" s="92"/>
      <c r="AJ33" s="92"/>
      <c r="AK33" s="92"/>
      <c r="AL33" s="92"/>
      <c r="AM33" s="92"/>
      <c r="AN33" s="92">
        <f>面积表!E40</f>
        <v>400</v>
      </c>
      <c r="AO33" s="92"/>
      <c r="AP33" s="92"/>
      <c r="AQ33" s="92"/>
      <c r="AR33" s="92"/>
      <c r="AS33" s="92"/>
      <c r="AT33" s="93"/>
      <c r="AU33" s="94"/>
      <c r="AV33" s="1975">
        <f t="shared" si="37"/>
        <v>0</v>
      </c>
      <c r="AW33" s="1975">
        <f t="shared" si="38"/>
        <v>0</v>
      </c>
      <c r="AX33" s="1975" t="str">
        <f t="shared" si="39"/>
        <v>21#</v>
      </c>
      <c r="AY33" s="95">
        <f t="shared" si="40"/>
        <v>1991.4</v>
      </c>
      <c r="AZ33" s="87">
        <f t="shared" si="41"/>
        <v>4279.71</v>
      </c>
      <c r="BA33" s="87">
        <f t="shared" si="42"/>
        <v>3879.71</v>
      </c>
      <c r="BB33" s="87">
        <f t="shared" si="43"/>
        <v>0</v>
      </c>
      <c r="BC33" s="87">
        <f t="shared" si="44"/>
        <v>2431.69</v>
      </c>
      <c r="BD33" s="87">
        <f t="shared" si="45"/>
        <v>0</v>
      </c>
      <c r="BE33" s="87">
        <f t="shared" si="46"/>
        <v>1448.02</v>
      </c>
      <c r="BF33" s="87">
        <f t="shared" si="47"/>
        <v>0</v>
      </c>
      <c r="BG33" s="87">
        <f t="shared" si="48"/>
        <v>0</v>
      </c>
      <c r="BH33" s="87">
        <f t="shared" si="49"/>
        <v>0</v>
      </c>
      <c r="BI33" s="87">
        <f t="shared" si="50"/>
        <v>0</v>
      </c>
      <c r="BJ33" s="87">
        <f t="shared" si="51"/>
        <v>0</v>
      </c>
      <c r="BK33" s="87">
        <f t="shared" si="52"/>
        <v>0</v>
      </c>
      <c r="BL33" s="87">
        <f t="shared" si="53"/>
        <v>400</v>
      </c>
      <c r="BM33" s="87">
        <f t="shared" si="54"/>
        <v>0</v>
      </c>
      <c r="BN33" s="87">
        <f t="shared" si="55"/>
        <v>0</v>
      </c>
      <c r="BO33" s="87">
        <f t="shared" si="56"/>
        <v>0</v>
      </c>
      <c r="BP33" s="87">
        <f t="shared" si="57"/>
        <v>0</v>
      </c>
      <c r="BQ33" s="87">
        <f t="shared" si="58"/>
        <v>0</v>
      </c>
      <c r="BR33" s="87">
        <f t="shared" si="59"/>
        <v>400</v>
      </c>
      <c r="BS33" s="87">
        <f t="shared" si="60"/>
        <v>0</v>
      </c>
      <c r="BT33" s="96">
        <f t="shared" si="61"/>
        <v>0</v>
      </c>
    </row>
    <row r="34" spans="1:72">
      <c r="A34" s="84"/>
      <c r="B34" s="1389"/>
      <c r="C34" s="3009" t="s">
        <v>3070</v>
      </c>
      <c r="D34" s="3010" t="s">
        <v>1678</v>
      </c>
      <c r="E34" s="87">
        <f t="shared" si="33"/>
        <v>1493.51</v>
      </c>
      <c r="F34" s="88"/>
      <c r="G34" s="89">
        <f t="shared" si="34"/>
        <v>3209.69</v>
      </c>
      <c r="H34" s="90">
        <f t="shared" si="35"/>
        <v>2909.69</v>
      </c>
      <c r="I34" s="1392"/>
      <c r="J34" s="91"/>
      <c r="K34" s="1392">
        <f>面积表!G42</f>
        <v>1823.76</v>
      </c>
      <c r="L34" s="91"/>
      <c r="M34" s="91"/>
      <c r="N34" s="91"/>
      <c r="O34" s="91">
        <f>面积表!E43</f>
        <v>1085.93</v>
      </c>
      <c r="P34" s="91"/>
      <c r="Q34" s="91"/>
      <c r="R34" s="91"/>
      <c r="S34" s="91"/>
      <c r="T34" s="91"/>
      <c r="U34" s="91"/>
      <c r="V34" s="91"/>
      <c r="W34" s="91"/>
      <c r="X34" s="91"/>
      <c r="Y34" s="91"/>
      <c r="Z34" s="91"/>
      <c r="AA34" s="91"/>
      <c r="AB34" s="91"/>
      <c r="AC34" s="87">
        <f t="shared" si="36"/>
        <v>300</v>
      </c>
      <c r="AD34" s="92"/>
      <c r="AE34" s="92"/>
      <c r="AF34" s="1392"/>
      <c r="AG34" s="92"/>
      <c r="AH34" s="92"/>
      <c r="AI34" s="92"/>
      <c r="AJ34" s="92"/>
      <c r="AK34" s="92"/>
      <c r="AL34" s="92"/>
      <c r="AM34" s="92"/>
      <c r="AN34" s="92">
        <f>面积表!E42</f>
        <v>300</v>
      </c>
      <c r="AO34" s="92"/>
      <c r="AP34" s="92"/>
      <c r="AQ34" s="92"/>
      <c r="AR34" s="92"/>
      <c r="AS34" s="92"/>
      <c r="AT34" s="93"/>
      <c r="AU34" s="94"/>
      <c r="AV34" s="1975">
        <f t="shared" si="37"/>
        <v>0</v>
      </c>
      <c r="AW34" s="1975">
        <f t="shared" si="38"/>
        <v>0</v>
      </c>
      <c r="AX34" s="1975" t="str">
        <f t="shared" si="39"/>
        <v>22#</v>
      </c>
      <c r="AY34" s="95">
        <f t="shared" si="40"/>
        <v>1493.51</v>
      </c>
      <c r="AZ34" s="87">
        <f t="shared" si="41"/>
        <v>3209.69</v>
      </c>
      <c r="BA34" s="87">
        <f t="shared" si="42"/>
        <v>2909.69</v>
      </c>
      <c r="BB34" s="87">
        <f t="shared" si="43"/>
        <v>0</v>
      </c>
      <c r="BC34" s="87">
        <f t="shared" si="44"/>
        <v>1823.76</v>
      </c>
      <c r="BD34" s="87">
        <f t="shared" si="45"/>
        <v>0</v>
      </c>
      <c r="BE34" s="87">
        <f t="shared" si="46"/>
        <v>1085.93</v>
      </c>
      <c r="BF34" s="87">
        <f t="shared" si="47"/>
        <v>0</v>
      </c>
      <c r="BG34" s="87">
        <f t="shared" si="48"/>
        <v>0</v>
      </c>
      <c r="BH34" s="87">
        <f t="shared" si="49"/>
        <v>0</v>
      </c>
      <c r="BI34" s="87">
        <f t="shared" si="50"/>
        <v>0</v>
      </c>
      <c r="BJ34" s="87">
        <f t="shared" si="51"/>
        <v>0</v>
      </c>
      <c r="BK34" s="87">
        <f t="shared" si="52"/>
        <v>0</v>
      </c>
      <c r="BL34" s="87">
        <f t="shared" si="53"/>
        <v>300</v>
      </c>
      <c r="BM34" s="87">
        <f t="shared" si="54"/>
        <v>0</v>
      </c>
      <c r="BN34" s="87">
        <f t="shared" si="55"/>
        <v>0</v>
      </c>
      <c r="BO34" s="87">
        <f t="shared" si="56"/>
        <v>0</v>
      </c>
      <c r="BP34" s="87">
        <f t="shared" si="57"/>
        <v>0</v>
      </c>
      <c r="BQ34" s="87">
        <f t="shared" si="58"/>
        <v>0</v>
      </c>
      <c r="BR34" s="87">
        <f t="shared" si="59"/>
        <v>300</v>
      </c>
      <c r="BS34" s="87">
        <f t="shared" si="60"/>
        <v>0</v>
      </c>
      <c r="BT34" s="96">
        <f t="shared" si="61"/>
        <v>0</v>
      </c>
    </row>
    <row r="35" spans="1:72">
      <c r="A35" s="84"/>
      <c r="B35" s="1389"/>
      <c r="C35" s="3009" t="s">
        <v>3071</v>
      </c>
      <c r="D35" s="3010" t="s">
        <v>1678</v>
      </c>
      <c r="E35" s="87">
        <f t="shared" si="33"/>
        <v>1476.79</v>
      </c>
      <c r="F35" s="88"/>
      <c r="G35" s="89">
        <f t="shared" si="34"/>
        <v>3173.77</v>
      </c>
      <c r="H35" s="90">
        <f t="shared" si="35"/>
        <v>2873.77</v>
      </c>
      <c r="I35" s="1392"/>
      <c r="J35" s="91"/>
      <c r="K35" s="1392">
        <f>面积表!G44</f>
        <v>1823.76</v>
      </c>
      <c r="L35" s="91"/>
      <c r="M35" s="91"/>
      <c r="N35" s="91"/>
      <c r="O35" s="91">
        <f>面积表!E45</f>
        <v>1050.01</v>
      </c>
      <c r="P35" s="91"/>
      <c r="Q35" s="91"/>
      <c r="R35" s="91"/>
      <c r="S35" s="91"/>
      <c r="T35" s="91"/>
      <c r="U35" s="91"/>
      <c r="V35" s="91"/>
      <c r="W35" s="91"/>
      <c r="X35" s="91"/>
      <c r="Y35" s="91"/>
      <c r="Z35" s="91"/>
      <c r="AA35" s="91"/>
      <c r="AB35" s="91"/>
      <c r="AC35" s="87">
        <f t="shared" si="36"/>
        <v>300</v>
      </c>
      <c r="AD35" s="92"/>
      <c r="AE35" s="92"/>
      <c r="AF35" s="1392"/>
      <c r="AG35" s="92"/>
      <c r="AH35" s="92"/>
      <c r="AI35" s="92"/>
      <c r="AJ35" s="92"/>
      <c r="AK35" s="92"/>
      <c r="AL35" s="92"/>
      <c r="AM35" s="92"/>
      <c r="AN35" s="92">
        <f>面积表!E44</f>
        <v>300</v>
      </c>
      <c r="AO35" s="92"/>
      <c r="AP35" s="92"/>
      <c r="AQ35" s="92"/>
      <c r="AR35" s="92"/>
      <c r="AS35" s="92"/>
      <c r="AT35" s="93"/>
      <c r="AU35" s="94"/>
      <c r="AV35" s="1975">
        <f t="shared" si="37"/>
        <v>0</v>
      </c>
      <c r="AW35" s="1975">
        <f t="shared" si="38"/>
        <v>0</v>
      </c>
      <c r="AX35" s="1975" t="str">
        <f t="shared" si="39"/>
        <v>23#</v>
      </c>
      <c r="AY35" s="95">
        <f t="shared" si="40"/>
        <v>1476.79</v>
      </c>
      <c r="AZ35" s="87">
        <f t="shared" si="41"/>
        <v>3173.77</v>
      </c>
      <c r="BA35" s="87">
        <f t="shared" si="42"/>
        <v>2873.77</v>
      </c>
      <c r="BB35" s="87">
        <f t="shared" si="43"/>
        <v>0</v>
      </c>
      <c r="BC35" s="87">
        <f t="shared" si="44"/>
        <v>1823.76</v>
      </c>
      <c r="BD35" s="87">
        <f t="shared" si="45"/>
        <v>0</v>
      </c>
      <c r="BE35" s="87">
        <f t="shared" si="46"/>
        <v>1050.01</v>
      </c>
      <c r="BF35" s="87">
        <f t="shared" si="47"/>
        <v>0</v>
      </c>
      <c r="BG35" s="87">
        <f t="shared" si="48"/>
        <v>0</v>
      </c>
      <c r="BH35" s="87">
        <f t="shared" si="49"/>
        <v>0</v>
      </c>
      <c r="BI35" s="87">
        <f t="shared" si="50"/>
        <v>0</v>
      </c>
      <c r="BJ35" s="87">
        <f t="shared" si="51"/>
        <v>0</v>
      </c>
      <c r="BK35" s="87">
        <f t="shared" si="52"/>
        <v>0</v>
      </c>
      <c r="BL35" s="87">
        <f t="shared" si="53"/>
        <v>300</v>
      </c>
      <c r="BM35" s="87">
        <f t="shared" si="54"/>
        <v>0</v>
      </c>
      <c r="BN35" s="87">
        <f t="shared" si="55"/>
        <v>0</v>
      </c>
      <c r="BO35" s="87">
        <f t="shared" si="56"/>
        <v>0</v>
      </c>
      <c r="BP35" s="87">
        <f t="shared" si="57"/>
        <v>0</v>
      </c>
      <c r="BQ35" s="87">
        <f t="shared" si="58"/>
        <v>0</v>
      </c>
      <c r="BR35" s="87">
        <f t="shared" si="59"/>
        <v>300</v>
      </c>
      <c r="BS35" s="87">
        <f t="shared" si="60"/>
        <v>0</v>
      </c>
      <c r="BT35" s="96">
        <f t="shared" si="61"/>
        <v>0</v>
      </c>
    </row>
    <row r="36" spans="1:72">
      <c r="A36" s="84"/>
      <c r="B36" s="1389"/>
      <c r="C36" s="3009" t="s">
        <v>3072</v>
      </c>
      <c r="D36" s="3010" t="s">
        <v>1678</v>
      </c>
      <c r="E36" s="87">
        <f t="shared" si="33"/>
        <v>1476.79</v>
      </c>
      <c r="F36" s="88"/>
      <c r="G36" s="89">
        <f t="shared" si="34"/>
        <v>3173.77</v>
      </c>
      <c r="H36" s="90">
        <f t="shared" si="35"/>
        <v>2873.77</v>
      </c>
      <c r="I36" s="1392"/>
      <c r="J36" s="91"/>
      <c r="K36" s="1392">
        <f>面积表!G46</f>
        <v>1823.76</v>
      </c>
      <c r="L36" s="91"/>
      <c r="M36" s="91"/>
      <c r="N36" s="91"/>
      <c r="O36" s="91">
        <f>面积表!E47</f>
        <v>1050.01</v>
      </c>
      <c r="P36" s="91"/>
      <c r="Q36" s="91"/>
      <c r="R36" s="91"/>
      <c r="S36" s="91"/>
      <c r="T36" s="91"/>
      <c r="U36" s="91"/>
      <c r="V36" s="91"/>
      <c r="W36" s="91"/>
      <c r="X36" s="91"/>
      <c r="Y36" s="91"/>
      <c r="Z36" s="91"/>
      <c r="AA36" s="91"/>
      <c r="AB36" s="91"/>
      <c r="AC36" s="87">
        <f t="shared" si="36"/>
        <v>300</v>
      </c>
      <c r="AD36" s="92"/>
      <c r="AE36" s="92"/>
      <c r="AF36" s="1392"/>
      <c r="AG36" s="92"/>
      <c r="AH36" s="92"/>
      <c r="AI36" s="92"/>
      <c r="AJ36" s="92"/>
      <c r="AK36" s="92"/>
      <c r="AL36" s="92"/>
      <c r="AM36" s="92"/>
      <c r="AN36" s="92">
        <f>面积表!E46</f>
        <v>300</v>
      </c>
      <c r="AO36" s="92"/>
      <c r="AP36" s="92"/>
      <c r="AQ36" s="92"/>
      <c r="AR36" s="92"/>
      <c r="AS36" s="92"/>
      <c r="AT36" s="93"/>
      <c r="AU36" s="94"/>
      <c r="AV36" s="1975">
        <f t="shared" si="37"/>
        <v>0</v>
      </c>
      <c r="AW36" s="1975">
        <f t="shared" si="38"/>
        <v>0</v>
      </c>
      <c r="AX36" s="1975" t="str">
        <f t="shared" si="39"/>
        <v>24#</v>
      </c>
      <c r="AY36" s="95">
        <f t="shared" si="40"/>
        <v>1476.79</v>
      </c>
      <c r="AZ36" s="87">
        <f t="shared" si="41"/>
        <v>3173.77</v>
      </c>
      <c r="BA36" s="87">
        <f t="shared" si="42"/>
        <v>2873.77</v>
      </c>
      <c r="BB36" s="87">
        <f t="shared" si="43"/>
        <v>0</v>
      </c>
      <c r="BC36" s="87">
        <f t="shared" si="44"/>
        <v>1823.76</v>
      </c>
      <c r="BD36" s="87">
        <f t="shared" si="45"/>
        <v>0</v>
      </c>
      <c r="BE36" s="87">
        <f t="shared" si="46"/>
        <v>1050.01</v>
      </c>
      <c r="BF36" s="87">
        <f t="shared" si="47"/>
        <v>0</v>
      </c>
      <c r="BG36" s="87">
        <f t="shared" si="48"/>
        <v>0</v>
      </c>
      <c r="BH36" s="87">
        <f t="shared" si="49"/>
        <v>0</v>
      </c>
      <c r="BI36" s="87">
        <f t="shared" si="50"/>
        <v>0</v>
      </c>
      <c r="BJ36" s="87">
        <f t="shared" si="51"/>
        <v>0</v>
      </c>
      <c r="BK36" s="87">
        <f t="shared" si="52"/>
        <v>0</v>
      </c>
      <c r="BL36" s="87">
        <f t="shared" si="53"/>
        <v>300</v>
      </c>
      <c r="BM36" s="87">
        <f t="shared" si="54"/>
        <v>0</v>
      </c>
      <c r="BN36" s="87">
        <f t="shared" si="55"/>
        <v>0</v>
      </c>
      <c r="BO36" s="87">
        <f t="shared" si="56"/>
        <v>0</v>
      </c>
      <c r="BP36" s="87">
        <f t="shared" si="57"/>
        <v>0</v>
      </c>
      <c r="BQ36" s="87">
        <f t="shared" si="58"/>
        <v>0</v>
      </c>
      <c r="BR36" s="87">
        <f t="shared" si="59"/>
        <v>300</v>
      </c>
      <c r="BS36" s="87">
        <f t="shared" si="60"/>
        <v>0</v>
      </c>
      <c r="BT36" s="96">
        <f t="shared" si="61"/>
        <v>0</v>
      </c>
    </row>
    <row r="37" spans="1:72">
      <c r="A37" s="84"/>
      <c r="B37" s="1389"/>
      <c r="C37" s="3009" t="s">
        <v>3073</v>
      </c>
      <c r="D37" s="3010" t="s">
        <v>1678</v>
      </c>
      <c r="E37" s="87">
        <f t="shared" si="33"/>
        <v>1477.98</v>
      </c>
      <c r="F37" s="88"/>
      <c r="G37" s="89">
        <f t="shared" si="34"/>
        <v>3176.33</v>
      </c>
      <c r="H37" s="90">
        <f t="shared" si="35"/>
        <v>2876.33</v>
      </c>
      <c r="I37" s="1392"/>
      <c r="J37" s="91"/>
      <c r="K37" s="1392">
        <f>面积表!G48</f>
        <v>1823.76</v>
      </c>
      <c r="L37" s="91"/>
      <c r="M37" s="91"/>
      <c r="N37" s="91"/>
      <c r="O37" s="91">
        <f>面积表!E49</f>
        <v>1052.57</v>
      </c>
      <c r="P37" s="91"/>
      <c r="Q37" s="91"/>
      <c r="R37" s="91"/>
      <c r="S37" s="91"/>
      <c r="T37" s="91"/>
      <c r="U37" s="91"/>
      <c r="V37" s="91"/>
      <c r="W37" s="91"/>
      <c r="X37" s="91"/>
      <c r="Y37" s="91"/>
      <c r="Z37" s="91"/>
      <c r="AA37" s="91"/>
      <c r="AB37" s="91"/>
      <c r="AC37" s="87">
        <f t="shared" si="36"/>
        <v>300</v>
      </c>
      <c r="AD37" s="92"/>
      <c r="AE37" s="92"/>
      <c r="AF37" s="1392"/>
      <c r="AG37" s="92"/>
      <c r="AH37" s="92"/>
      <c r="AI37" s="92"/>
      <c r="AJ37" s="92"/>
      <c r="AK37" s="92"/>
      <c r="AL37" s="92"/>
      <c r="AM37" s="92"/>
      <c r="AN37" s="92">
        <f>面积表!E48</f>
        <v>300</v>
      </c>
      <c r="AO37" s="92"/>
      <c r="AP37" s="92"/>
      <c r="AQ37" s="92"/>
      <c r="AR37" s="92"/>
      <c r="AS37" s="92"/>
      <c r="AT37" s="93"/>
      <c r="AU37" s="94"/>
      <c r="AV37" s="1975">
        <f t="shared" si="37"/>
        <v>0</v>
      </c>
      <c r="AW37" s="1975">
        <f t="shared" si="38"/>
        <v>0</v>
      </c>
      <c r="AX37" s="1975" t="str">
        <f t="shared" si="39"/>
        <v>25#</v>
      </c>
      <c r="AY37" s="95">
        <f t="shared" si="40"/>
        <v>1477.98</v>
      </c>
      <c r="AZ37" s="87">
        <f t="shared" si="41"/>
        <v>3176.33</v>
      </c>
      <c r="BA37" s="87">
        <f t="shared" si="42"/>
        <v>2876.33</v>
      </c>
      <c r="BB37" s="87">
        <f t="shared" si="43"/>
        <v>0</v>
      </c>
      <c r="BC37" s="87">
        <f t="shared" si="44"/>
        <v>1823.76</v>
      </c>
      <c r="BD37" s="87">
        <f t="shared" si="45"/>
        <v>0</v>
      </c>
      <c r="BE37" s="87">
        <f t="shared" si="46"/>
        <v>1052.57</v>
      </c>
      <c r="BF37" s="87">
        <f t="shared" si="47"/>
        <v>0</v>
      </c>
      <c r="BG37" s="87">
        <f t="shared" si="48"/>
        <v>0</v>
      </c>
      <c r="BH37" s="87">
        <f t="shared" si="49"/>
        <v>0</v>
      </c>
      <c r="BI37" s="87">
        <f t="shared" si="50"/>
        <v>0</v>
      </c>
      <c r="BJ37" s="87">
        <f t="shared" si="51"/>
        <v>0</v>
      </c>
      <c r="BK37" s="87">
        <f t="shared" si="52"/>
        <v>0</v>
      </c>
      <c r="BL37" s="87">
        <f t="shared" si="53"/>
        <v>300</v>
      </c>
      <c r="BM37" s="87">
        <f t="shared" si="54"/>
        <v>0</v>
      </c>
      <c r="BN37" s="87">
        <f t="shared" si="55"/>
        <v>0</v>
      </c>
      <c r="BO37" s="87">
        <f t="shared" si="56"/>
        <v>0</v>
      </c>
      <c r="BP37" s="87">
        <f t="shared" si="57"/>
        <v>0</v>
      </c>
      <c r="BQ37" s="87">
        <f t="shared" si="58"/>
        <v>0</v>
      </c>
      <c r="BR37" s="87">
        <f t="shared" si="59"/>
        <v>300</v>
      </c>
      <c r="BS37" s="87">
        <f t="shared" si="60"/>
        <v>0</v>
      </c>
      <c r="BT37" s="96">
        <f t="shared" si="61"/>
        <v>0</v>
      </c>
    </row>
    <row r="38" spans="1:72">
      <c r="A38" s="84"/>
      <c r="B38" s="1389"/>
      <c r="C38" s="3009" t="s">
        <v>3074</v>
      </c>
      <c r="D38" s="3010" t="s">
        <v>1678</v>
      </c>
      <c r="E38" s="87">
        <f t="shared" si="33"/>
        <v>940.46</v>
      </c>
      <c r="F38" s="88"/>
      <c r="G38" s="89">
        <f t="shared" si="34"/>
        <v>2021.14</v>
      </c>
      <c r="H38" s="90">
        <f t="shared" si="35"/>
        <v>1871.14</v>
      </c>
      <c r="I38" s="1392"/>
      <c r="J38" s="91"/>
      <c r="K38" s="1392"/>
      <c r="L38" s="91"/>
      <c r="M38" s="91">
        <f>面积表!G50</f>
        <v>1059.8800000000001</v>
      </c>
      <c r="N38" s="91"/>
      <c r="O38" s="91">
        <f>面积表!E51</f>
        <v>811.26</v>
      </c>
      <c r="P38" s="91"/>
      <c r="Q38" s="91"/>
      <c r="R38" s="91"/>
      <c r="S38" s="91"/>
      <c r="T38" s="91"/>
      <c r="U38" s="91"/>
      <c r="V38" s="91"/>
      <c r="W38" s="91"/>
      <c r="X38" s="91"/>
      <c r="Y38" s="91"/>
      <c r="Z38" s="91"/>
      <c r="AA38" s="91"/>
      <c r="AB38" s="91"/>
      <c r="AC38" s="87">
        <f t="shared" si="36"/>
        <v>150</v>
      </c>
      <c r="AD38" s="92"/>
      <c r="AE38" s="92"/>
      <c r="AF38" s="1392"/>
      <c r="AG38" s="92"/>
      <c r="AH38" s="92"/>
      <c r="AI38" s="92"/>
      <c r="AJ38" s="92"/>
      <c r="AK38" s="92"/>
      <c r="AL38" s="92"/>
      <c r="AM38" s="92"/>
      <c r="AN38" s="92">
        <f>面积表!E50</f>
        <v>150</v>
      </c>
      <c r="AO38" s="92"/>
      <c r="AP38" s="92"/>
      <c r="AQ38" s="92"/>
      <c r="AR38" s="92"/>
      <c r="AS38" s="92"/>
      <c r="AT38" s="93"/>
      <c r="AU38" s="94"/>
      <c r="AV38" s="1975">
        <f t="shared" si="37"/>
        <v>0</v>
      </c>
      <c r="AW38" s="1975">
        <f t="shared" si="38"/>
        <v>0</v>
      </c>
      <c r="AX38" s="1975" t="str">
        <f t="shared" si="39"/>
        <v>26#</v>
      </c>
      <c r="AY38" s="95">
        <f t="shared" si="40"/>
        <v>940.46</v>
      </c>
      <c r="AZ38" s="87">
        <f t="shared" si="41"/>
        <v>2021.14</v>
      </c>
      <c r="BA38" s="87">
        <f t="shared" si="42"/>
        <v>1871.14</v>
      </c>
      <c r="BB38" s="87">
        <f t="shared" si="43"/>
        <v>0</v>
      </c>
      <c r="BC38" s="87">
        <f t="shared" si="44"/>
        <v>0</v>
      </c>
      <c r="BD38" s="87">
        <f t="shared" si="45"/>
        <v>1059.8800000000001</v>
      </c>
      <c r="BE38" s="87">
        <f t="shared" si="46"/>
        <v>811.26</v>
      </c>
      <c r="BF38" s="87">
        <f t="shared" si="47"/>
        <v>0</v>
      </c>
      <c r="BG38" s="87">
        <f t="shared" si="48"/>
        <v>0</v>
      </c>
      <c r="BH38" s="87">
        <f t="shared" si="49"/>
        <v>0</v>
      </c>
      <c r="BI38" s="87">
        <f t="shared" si="50"/>
        <v>0</v>
      </c>
      <c r="BJ38" s="87">
        <f t="shared" si="51"/>
        <v>0</v>
      </c>
      <c r="BK38" s="87">
        <f t="shared" si="52"/>
        <v>0</v>
      </c>
      <c r="BL38" s="87">
        <f t="shared" si="53"/>
        <v>150</v>
      </c>
      <c r="BM38" s="87">
        <f t="shared" si="54"/>
        <v>0</v>
      </c>
      <c r="BN38" s="87">
        <f t="shared" si="55"/>
        <v>0</v>
      </c>
      <c r="BO38" s="87">
        <f t="shared" si="56"/>
        <v>0</v>
      </c>
      <c r="BP38" s="87">
        <f t="shared" si="57"/>
        <v>0</v>
      </c>
      <c r="BQ38" s="87">
        <f t="shared" si="58"/>
        <v>0</v>
      </c>
      <c r="BR38" s="87">
        <f t="shared" si="59"/>
        <v>150</v>
      </c>
      <c r="BS38" s="87">
        <f t="shared" si="60"/>
        <v>0</v>
      </c>
      <c r="BT38" s="96">
        <f t="shared" si="61"/>
        <v>0</v>
      </c>
    </row>
    <row r="39" spans="1:72">
      <c r="A39" s="84"/>
      <c r="B39" s="1389"/>
      <c r="C39" s="3009" t="s">
        <v>3075</v>
      </c>
      <c r="D39" s="3010" t="s">
        <v>1678</v>
      </c>
      <c r="E39" s="87">
        <f t="shared" si="33"/>
        <v>900.12</v>
      </c>
      <c r="F39" s="88"/>
      <c r="G39" s="89">
        <f t="shared" si="34"/>
        <v>1934.44</v>
      </c>
      <c r="H39" s="90">
        <f t="shared" si="35"/>
        <v>1784.44</v>
      </c>
      <c r="I39" s="1392"/>
      <c r="J39" s="91"/>
      <c r="K39" s="1392"/>
      <c r="L39" s="91"/>
      <c r="M39" s="91">
        <f>面积表!G52</f>
        <v>1059.8800000000001</v>
      </c>
      <c r="N39" s="91"/>
      <c r="O39" s="91">
        <f>面积表!E53</f>
        <v>724.56</v>
      </c>
      <c r="P39" s="91"/>
      <c r="Q39" s="91"/>
      <c r="R39" s="91"/>
      <c r="S39" s="91"/>
      <c r="T39" s="91"/>
      <c r="U39" s="91"/>
      <c r="V39" s="91"/>
      <c r="W39" s="91"/>
      <c r="X39" s="91"/>
      <c r="Y39" s="91"/>
      <c r="Z39" s="91"/>
      <c r="AA39" s="91"/>
      <c r="AB39" s="91"/>
      <c r="AC39" s="87">
        <f t="shared" si="36"/>
        <v>150</v>
      </c>
      <c r="AD39" s="92"/>
      <c r="AE39" s="92"/>
      <c r="AF39" s="1392"/>
      <c r="AG39" s="92"/>
      <c r="AH39" s="92"/>
      <c r="AI39" s="92"/>
      <c r="AJ39" s="92"/>
      <c r="AK39" s="92"/>
      <c r="AL39" s="92"/>
      <c r="AM39" s="92"/>
      <c r="AN39" s="92">
        <f>面积表!E52</f>
        <v>150</v>
      </c>
      <c r="AO39" s="92"/>
      <c r="AP39" s="92"/>
      <c r="AQ39" s="92"/>
      <c r="AR39" s="92"/>
      <c r="AS39" s="92"/>
      <c r="AT39" s="93"/>
      <c r="AU39" s="94"/>
      <c r="AV39" s="1975">
        <f t="shared" si="37"/>
        <v>0</v>
      </c>
      <c r="AW39" s="1975">
        <f t="shared" si="38"/>
        <v>0</v>
      </c>
      <c r="AX39" s="1975" t="str">
        <f t="shared" si="39"/>
        <v>27#</v>
      </c>
      <c r="AY39" s="95">
        <f t="shared" si="40"/>
        <v>900.12</v>
      </c>
      <c r="AZ39" s="87">
        <f t="shared" si="41"/>
        <v>1934.44</v>
      </c>
      <c r="BA39" s="87">
        <f t="shared" si="42"/>
        <v>1784.44</v>
      </c>
      <c r="BB39" s="87">
        <f t="shared" si="43"/>
        <v>0</v>
      </c>
      <c r="BC39" s="87">
        <f t="shared" si="44"/>
        <v>0</v>
      </c>
      <c r="BD39" s="87">
        <f t="shared" si="45"/>
        <v>1059.8800000000001</v>
      </c>
      <c r="BE39" s="87">
        <f t="shared" si="46"/>
        <v>724.56</v>
      </c>
      <c r="BF39" s="87">
        <f t="shared" si="47"/>
        <v>0</v>
      </c>
      <c r="BG39" s="87">
        <f t="shared" si="48"/>
        <v>0</v>
      </c>
      <c r="BH39" s="87">
        <f t="shared" si="49"/>
        <v>0</v>
      </c>
      <c r="BI39" s="87">
        <f t="shared" si="50"/>
        <v>0</v>
      </c>
      <c r="BJ39" s="87">
        <f t="shared" si="51"/>
        <v>0</v>
      </c>
      <c r="BK39" s="87">
        <f t="shared" si="52"/>
        <v>0</v>
      </c>
      <c r="BL39" s="87">
        <f t="shared" si="53"/>
        <v>150</v>
      </c>
      <c r="BM39" s="87">
        <f t="shared" si="54"/>
        <v>0</v>
      </c>
      <c r="BN39" s="87">
        <f t="shared" si="55"/>
        <v>0</v>
      </c>
      <c r="BO39" s="87">
        <f t="shared" si="56"/>
        <v>0</v>
      </c>
      <c r="BP39" s="87">
        <f t="shared" si="57"/>
        <v>0</v>
      </c>
      <c r="BQ39" s="87">
        <f t="shared" si="58"/>
        <v>0</v>
      </c>
      <c r="BR39" s="87">
        <f t="shared" si="59"/>
        <v>150</v>
      </c>
      <c r="BS39" s="87">
        <f t="shared" si="60"/>
        <v>0</v>
      </c>
      <c r="BT39" s="96">
        <f t="shared" si="61"/>
        <v>0</v>
      </c>
    </row>
    <row r="40" spans="1:72">
      <c r="A40" s="84"/>
      <c r="B40" s="1389"/>
      <c r="C40" s="3009" t="s">
        <v>3076</v>
      </c>
      <c r="D40" s="3010" t="s">
        <v>1678</v>
      </c>
      <c r="E40" s="87">
        <f t="shared" si="33"/>
        <v>1497.25</v>
      </c>
      <c r="F40" s="88"/>
      <c r="G40" s="89">
        <f t="shared" si="34"/>
        <v>3217.73</v>
      </c>
      <c r="H40" s="90">
        <f t="shared" si="35"/>
        <v>2967.73</v>
      </c>
      <c r="I40" s="1392"/>
      <c r="J40" s="91"/>
      <c r="K40" s="1392"/>
      <c r="L40" s="91"/>
      <c r="M40" s="91">
        <f>面积表!G54</f>
        <v>1762.84</v>
      </c>
      <c r="N40" s="91"/>
      <c r="O40" s="91">
        <f>面积表!E55</f>
        <v>1204.8900000000001</v>
      </c>
      <c r="P40" s="91"/>
      <c r="Q40" s="91"/>
      <c r="R40" s="91"/>
      <c r="S40" s="91"/>
      <c r="T40" s="91"/>
      <c r="U40" s="91"/>
      <c r="V40" s="91"/>
      <c r="W40" s="91"/>
      <c r="X40" s="91"/>
      <c r="Y40" s="91"/>
      <c r="Z40" s="91"/>
      <c r="AA40" s="91"/>
      <c r="AB40" s="91"/>
      <c r="AC40" s="87">
        <f t="shared" si="36"/>
        <v>250</v>
      </c>
      <c r="AD40" s="92"/>
      <c r="AE40" s="92"/>
      <c r="AF40" s="1392"/>
      <c r="AG40" s="92"/>
      <c r="AH40" s="92"/>
      <c r="AI40" s="92"/>
      <c r="AJ40" s="92"/>
      <c r="AK40" s="92"/>
      <c r="AL40" s="92"/>
      <c r="AM40" s="92"/>
      <c r="AN40" s="92">
        <f>面积表!E54</f>
        <v>250</v>
      </c>
      <c r="AO40" s="92"/>
      <c r="AP40" s="92"/>
      <c r="AQ40" s="92"/>
      <c r="AR40" s="92"/>
      <c r="AS40" s="92"/>
      <c r="AT40" s="93"/>
      <c r="AU40" s="94"/>
      <c r="AV40" s="1975">
        <f t="shared" si="37"/>
        <v>0</v>
      </c>
      <c r="AW40" s="1975">
        <f t="shared" si="38"/>
        <v>0</v>
      </c>
      <c r="AX40" s="1975" t="str">
        <f t="shared" si="39"/>
        <v>28#</v>
      </c>
      <c r="AY40" s="95">
        <f t="shared" si="40"/>
        <v>1497.25</v>
      </c>
      <c r="AZ40" s="87">
        <f t="shared" si="41"/>
        <v>3217.73</v>
      </c>
      <c r="BA40" s="87">
        <f t="shared" si="42"/>
        <v>2967.73</v>
      </c>
      <c r="BB40" s="87">
        <f t="shared" si="43"/>
        <v>0</v>
      </c>
      <c r="BC40" s="87">
        <f t="shared" si="44"/>
        <v>0</v>
      </c>
      <c r="BD40" s="87">
        <f t="shared" si="45"/>
        <v>1762.84</v>
      </c>
      <c r="BE40" s="87">
        <f t="shared" si="46"/>
        <v>1204.8900000000001</v>
      </c>
      <c r="BF40" s="87">
        <f t="shared" si="47"/>
        <v>0</v>
      </c>
      <c r="BG40" s="87">
        <f t="shared" si="48"/>
        <v>0</v>
      </c>
      <c r="BH40" s="87">
        <f t="shared" si="49"/>
        <v>0</v>
      </c>
      <c r="BI40" s="87">
        <f t="shared" si="50"/>
        <v>0</v>
      </c>
      <c r="BJ40" s="87">
        <f t="shared" si="51"/>
        <v>0</v>
      </c>
      <c r="BK40" s="87">
        <f t="shared" si="52"/>
        <v>0</v>
      </c>
      <c r="BL40" s="87">
        <f t="shared" si="53"/>
        <v>250</v>
      </c>
      <c r="BM40" s="87">
        <f t="shared" si="54"/>
        <v>0</v>
      </c>
      <c r="BN40" s="87">
        <f t="shared" si="55"/>
        <v>0</v>
      </c>
      <c r="BO40" s="87">
        <f t="shared" si="56"/>
        <v>0</v>
      </c>
      <c r="BP40" s="87">
        <f t="shared" si="57"/>
        <v>0</v>
      </c>
      <c r="BQ40" s="87">
        <f t="shared" si="58"/>
        <v>0</v>
      </c>
      <c r="BR40" s="87">
        <f t="shared" si="59"/>
        <v>250</v>
      </c>
      <c r="BS40" s="87">
        <f t="shared" si="60"/>
        <v>0</v>
      </c>
      <c r="BT40" s="96">
        <f t="shared" si="61"/>
        <v>0</v>
      </c>
    </row>
    <row r="41" spans="1:72">
      <c r="A41" s="84"/>
      <c r="B41" s="1389"/>
      <c r="C41" s="3009" t="s">
        <v>3077</v>
      </c>
      <c r="D41" s="3010" t="s">
        <v>1678</v>
      </c>
      <c r="E41" s="87">
        <f t="shared" si="33"/>
        <v>2098.1999999999998</v>
      </c>
      <c r="F41" s="88"/>
      <c r="G41" s="89">
        <f t="shared" si="34"/>
        <v>4509.24</v>
      </c>
      <c r="H41" s="90">
        <f t="shared" si="35"/>
        <v>4159.24</v>
      </c>
      <c r="I41" s="1392"/>
      <c r="J41" s="91"/>
      <c r="K41" s="1392"/>
      <c r="L41" s="91"/>
      <c r="M41" s="91">
        <f>面积表!G56</f>
        <v>2468.84</v>
      </c>
      <c r="N41" s="91"/>
      <c r="O41" s="91">
        <f>面积表!E57</f>
        <v>1690.4</v>
      </c>
      <c r="P41" s="91"/>
      <c r="Q41" s="91"/>
      <c r="R41" s="91"/>
      <c r="S41" s="91"/>
      <c r="T41" s="91"/>
      <c r="U41" s="91"/>
      <c r="V41" s="91"/>
      <c r="W41" s="91"/>
      <c r="X41" s="91"/>
      <c r="Y41" s="91"/>
      <c r="Z41" s="91"/>
      <c r="AA41" s="91"/>
      <c r="AB41" s="91"/>
      <c r="AC41" s="87">
        <f t="shared" si="36"/>
        <v>350</v>
      </c>
      <c r="AD41" s="92"/>
      <c r="AE41" s="92"/>
      <c r="AF41" s="1392"/>
      <c r="AG41" s="92"/>
      <c r="AH41" s="92"/>
      <c r="AI41" s="92"/>
      <c r="AJ41" s="92"/>
      <c r="AK41" s="92"/>
      <c r="AL41" s="92"/>
      <c r="AM41" s="92"/>
      <c r="AN41" s="92">
        <f>面积表!E56</f>
        <v>350</v>
      </c>
      <c r="AO41" s="92"/>
      <c r="AP41" s="92"/>
      <c r="AQ41" s="92"/>
      <c r="AR41" s="92"/>
      <c r="AS41" s="92"/>
      <c r="AT41" s="93"/>
      <c r="AU41" s="94"/>
      <c r="AV41" s="1975">
        <f t="shared" si="37"/>
        <v>0</v>
      </c>
      <c r="AW41" s="1975">
        <f t="shared" si="38"/>
        <v>0</v>
      </c>
      <c r="AX41" s="1975" t="str">
        <f t="shared" si="39"/>
        <v>29#</v>
      </c>
      <c r="AY41" s="95">
        <f t="shared" si="40"/>
        <v>2098.1999999999998</v>
      </c>
      <c r="AZ41" s="87">
        <f t="shared" si="41"/>
        <v>4509.24</v>
      </c>
      <c r="BA41" s="87">
        <f t="shared" si="42"/>
        <v>4159.24</v>
      </c>
      <c r="BB41" s="87">
        <f t="shared" si="43"/>
        <v>0</v>
      </c>
      <c r="BC41" s="87">
        <f t="shared" si="44"/>
        <v>0</v>
      </c>
      <c r="BD41" s="87">
        <f t="shared" si="45"/>
        <v>2468.84</v>
      </c>
      <c r="BE41" s="87">
        <f t="shared" si="46"/>
        <v>1690.4</v>
      </c>
      <c r="BF41" s="87">
        <f t="shared" si="47"/>
        <v>0</v>
      </c>
      <c r="BG41" s="87">
        <f t="shared" si="48"/>
        <v>0</v>
      </c>
      <c r="BH41" s="87">
        <f t="shared" si="49"/>
        <v>0</v>
      </c>
      <c r="BI41" s="87">
        <f t="shared" si="50"/>
        <v>0</v>
      </c>
      <c r="BJ41" s="87">
        <f t="shared" si="51"/>
        <v>0</v>
      </c>
      <c r="BK41" s="87">
        <f t="shared" si="52"/>
        <v>0</v>
      </c>
      <c r="BL41" s="87">
        <f t="shared" si="53"/>
        <v>350</v>
      </c>
      <c r="BM41" s="87">
        <f t="shared" si="54"/>
        <v>0</v>
      </c>
      <c r="BN41" s="87">
        <f t="shared" si="55"/>
        <v>0</v>
      </c>
      <c r="BO41" s="87">
        <f t="shared" si="56"/>
        <v>0</v>
      </c>
      <c r="BP41" s="87">
        <f t="shared" si="57"/>
        <v>0</v>
      </c>
      <c r="BQ41" s="87">
        <f t="shared" si="58"/>
        <v>0</v>
      </c>
      <c r="BR41" s="87">
        <f t="shared" si="59"/>
        <v>350</v>
      </c>
      <c r="BS41" s="87">
        <f t="shared" si="60"/>
        <v>0</v>
      </c>
      <c r="BT41" s="96">
        <f t="shared" si="61"/>
        <v>0</v>
      </c>
    </row>
    <row r="42" spans="1:72">
      <c r="A42" s="84"/>
      <c r="B42" s="1389"/>
      <c r="C42" s="3009" t="s">
        <v>3078</v>
      </c>
      <c r="D42" s="3010" t="s">
        <v>1678</v>
      </c>
      <c r="E42" s="87">
        <f t="shared" si="33"/>
        <v>2151.8200000000002</v>
      </c>
      <c r="F42" s="88"/>
      <c r="G42" s="89">
        <f t="shared" si="34"/>
        <v>4624.47</v>
      </c>
      <c r="H42" s="90">
        <f t="shared" si="35"/>
        <v>4274.47</v>
      </c>
      <c r="I42" s="1392"/>
      <c r="J42" s="91"/>
      <c r="K42" s="1392"/>
      <c r="L42" s="91"/>
      <c r="M42" s="91">
        <f>面积表!G58</f>
        <v>2468.84</v>
      </c>
      <c r="N42" s="91"/>
      <c r="O42" s="91">
        <f>面积表!E59</f>
        <v>1805.63</v>
      </c>
      <c r="P42" s="91"/>
      <c r="Q42" s="91"/>
      <c r="R42" s="91"/>
      <c r="S42" s="91"/>
      <c r="T42" s="91"/>
      <c r="U42" s="91"/>
      <c r="V42" s="91"/>
      <c r="W42" s="91"/>
      <c r="X42" s="91"/>
      <c r="Y42" s="91"/>
      <c r="Z42" s="91"/>
      <c r="AA42" s="91"/>
      <c r="AB42" s="91"/>
      <c r="AC42" s="87">
        <f t="shared" si="36"/>
        <v>350</v>
      </c>
      <c r="AD42" s="92"/>
      <c r="AE42" s="92"/>
      <c r="AF42" s="1392"/>
      <c r="AG42" s="92"/>
      <c r="AH42" s="92"/>
      <c r="AI42" s="92"/>
      <c r="AJ42" s="92"/>
      <c r="AK42" s="92"/>
      <c r="AL42" s="92"/>
      <c r="AM42" s="92"/>
      <c r="AN42" s="92">
        <f>面积表!E58</f>
        <v>350</v>
      </c>
      <c r="AO42" s="92"/>
      <c r="AP42" s="92"/>
      <c r="AQ42" s="92"/>
      <c r="AR42" s="92"/>
      <c r="AS42" s="92"/>
      <c r="AT42" s="93"/>
      <c r="AU42" s="94"/>
      <c r="AV42" s="1975">
        <f t="shared" si="37"/>
        <v>0</v>
      </c>
      <c r="AW42" s="1975">
        <f t="shared" si="38"/>
        <v>0</v>
      </c>
      <c r="AX42" s="1975" t="str">
        <f t="shared" si="39"/>
        <v>30#</v>
      </c>
      <c r="AY42" s="95">
        <f t="shared" si="40"/>
        <v>2151.8200000000002</v>
      </c>
      <c r="AZ42" s="87">
        <f t="shared" si="41"/>
        <v>4624.47</v>
      </c>
      <c r="BA42" s="87">
        <f t="shared" si="42"/>
        <v>4274.47</v>
      </c>
      <c r="BB42" s="87">
        <f t="shared" si="43"/>
        <v>0</v>
      </c>
      <c r="BC42" s="87">
        <f t="shared" si="44"/>
        <v>0</v>
      </c>
      <c r="BD42" s="87">
        <f t="shared" si="45"/>
        <v>2468.84</v>
      </c>
      <c r="BE42" s="87">
        <f t="shared" si="46"/>
        <v>1805.63</v>
      </c>
      <c r="BF42" s="87">
        <f t="shared" si="47"/>
        <v>0</v>
      </c>
      <c r="BG42" s="87">
        <f t="shared" si="48"/>
        <v>0</v>
      </c>
      <c r="BH42" s="87">
        <f t="shared" si="49"/>
        <v>0</v>
      </c>
      <c r="BI42" s="87">
        <f t="shared" si="50"/>
        <v>0</v>
      </c>
      <c r="BJ42" s="87">
        <f t="shared" si="51"/>
        <v>0</v>
      </c>
      <c r="BK42" s="87">
        <f t="shared" si="52"/>
        <v>0</v>
      </c>
      <c r="BL42" s="87">
        <f t="shared" si="53"/>
        <v>350</v>
      </c>
      <c r="BM42" s="87">
        <f t="shared" si="54"/>
        <v>0</v>
      </c>
      <c r="BN42" s="87">
        <f t="shared" si="55"/>
        <v>0</v>
      </c>
      <c r="BO42" s="87">
        <f t="shared" si="56"/>
        <v>0</v>
      </c>
      <c r="BP42" s="87">
        <f t="shared" si="57"/>
        <v>0</v>
      </c>
      <c r="BQ42" s="87">
        <f t="shared" si="58"/>
        <v>0</v>
      </c>
      <c r="BR42" s="87">
        <f t="shared" si="59"/>
        <v>350</v>
      </c>
      <c r="BS42" s="87">
        <f t="shared" si="60"/>
        <v>0</v>
      </c>
      <c r="BT42" s="96">
        <f t="shared" si="61"/>
        <v>0</v>
      </c>
    </row>
    <row r="43" spans="1:72">
      <c r="A43" s="84"/>
      <c r="B43" s="1389"/>
      <c r="C43" s="3009" t="s">
        <v>3079</v>
      </c>
      <c r="D43" s="3010" t="s">
        <v>1678</v>
      </c>
      <c r="E43" s="87">
        <f t="shared" si="33"/>
        <v>1784.1</v>
      </c>
      <c r="F43" s="88"/>
      <c r="G43" s="89">
        <f t="shared" si="34"/>
        <v>3834.21</v>
      </c>
      <c r="H43" s="90">
        <f t="shared" si="35"/>
        <v>3484.21</v>
      </c>
      <c r="I43" s="1392"/>
      <c r="J43" s="91"/>
      <c r="K43" s="1392">
        <f>面积表!G60</f>
        <v>2106.5</v>
      </c>
      <c r="L43" s="91"/>
      <c r="M43" s="91"/>
      <c r="N43" s="91"/>
      <c r="O43" s="91">
        <f>面积表!E61</f>
        <v>1377.71</v>
      </c>
      <c r="P43" s="91"/>
      <c r="Q43" s="91"/>
      <c r="R43" s="91"/>
      <c r="S43" s="91"/>
      <c r="T43" s="91"/>
      <c r="U43" s="91"/>
      <c r="V43" s="91"/>
      <c r="W43" s="91"/>
      <c r="X43" s="91"/>
      <c r="Y43" s="91"/>
      <c r="Z43" s="91"/>
      <c r="AA43" s="91"/>
      <c r="AB43" s="91"/>
      <c r="AC43" s="87">
        <f t="shared" si="36"/>
        <v>350</v>
      </c>
      <c r="AD43" s="92"/>
      <c r="AE43" s="92"/>
      <c r="AF43" s="1392"/>
      <c r="AG43" s="92"/>
      <c r="AH43" s="92"/>
      <c r="AI43" s="92"/>
      <c r="AJ43" s="92"/>
      <c r="AK43" s="92"/>
      <c r="AL43" s="92"/>
      <c r="AM43" s="92"/>
      <c r="AN43" s="92">
        <f>面积表!E60</f>
        <v>350</v>
      </c>
      <c r="AO43" s="92"/>
      <c r="AP43" s="92"/>
      <c r="AQ43" s="92"/>
      <c r="AR43" s="92"/>
      <c r="AS43" s="92"/>
      <c r="AT43" s="93"/>
      <c r="AU43" s="94"/>
      <c r="AV43" s="1975">
        <f t="shared" si="37"/>
        <v>0</v>
      </c>
      <c r="AW43" s="1975">
        <f t="shared" si="38"/>
        <v>0</v>
      </c>
      <c r="AX43" s="1975" t="str">
        <f t="shared" si="39"/>
        <v>31#</v>
      </c>
      <c r="AY43" s="95">
        <f t="shared" si="40"/>
        <v>1784.1</v>
      </c>
      <c r="AZ43" s="87">
        <f t="shared" si="41"/>
        <v>3834.21</v>
      </c>
      <c r="BA43" s="87">
        <f t="shared" si="42"/>
        <v>3484.21</v>
      </c>
      <c r="BB43" s="87">
        <f t="shared" si="43"/>
        <v>0</v>
      </c>
      <c r="BC43" s="87">
        <f t="shared" si="44"/>
        <v>2106.5</v>
      </c>
      <c r="BD43" s="87">
        <f t="shared" si="45"/>
        <v>0</v>
      </c>
      <c r="BE43" s="87">
        <f t="shared" si="46"/>
        <v>1377.71</v>
      </c>
      <c r="BF43" s="87">
        <f t="shared" si="47"/>
        <v>0</v>
      </c>
      <c r="BG43" s="87">
        <f t="shared" si="48"/>
        <v>0</v>
      </c>
      <c r="BH43" s="87">
        <f t="shared" si="49"/>
        <v>0</v>
      </c>
      <c r="BI43" s="87">
        <f t="shared" si="50"/>
        <v>0</v>
      </c>
      <c r="BJ43" s="87">
        <f t="shared" si="51"/>
        <v>0</v>
      </c>
      <c r="BK43" s="87">
        <f t="shared" si="52"/>
        <v>0</v>
      </c>
      <c r="BL43" s="87">
        <f t="shared" si="53"/>
        <v>350</v>
      </c>
      <c r="BM43" s="87">
        <f t="shared" si="54"/>
        <v>0</v>
      </c>
      <c r="BN43" s="87">
        <f t="shared" si="55"/>
        <v>0</v>
      </c>
      <c r="BO43" s="87">
        <f t="shared" si="56"/>
        <v>0</v>
      </c>
      <c r="BP43" s="87">
        <f t="shared" si="57"/>
        <v>0</v>
      </c>
      <c r="BQ43" s="87">
        <f t="shared" si="58"/>
        <v>0</v>
      </c>
      <c r="BR43" s="87">
        <f t="shared" si="59"/>
        <v>350</v>
      </c>
      <c r="BS43" s="87">
        <f t="shared" si="60"/>
        <v>0</v>
      </c>
      <c r="BT43" s="96">
        <f t="shared" si="61"/>
        <v>0</v>
      </c>
    </row>
    <row r="44" spans="1:72">
      <c r="A44" s="84"/>
      <c r="B44" s="1389"/>
      <c r="C44" s="3009" t="s">
        <v>3080</v>
      </c>
      <c r="D44" s="3010" t="s">
        <v>1678</v>
      </c>
      <c r="E44" s="87">
        <f t="shared" si="33"/>
        <v>1764.89</v>
      </c>
      <c r="F44" s="88"/>
      <c r="G44" s="89">
        <f t="shared" si="34"/>
        <v>3792.92</v>
      </c>
      <c r="H44" s="90">
        <f t="shared" si="35"/>
        <v>3442.92</v>
      </c>
      <c r="I44" s="1392"/>
      <c r="J44" s="91"/>
      <c r="K44" s="1392">
        <f>面积表!G62</f>
        <v>2106.5</v>
      </c>
      <c r="L44" s="91"/>
      <c r="M44" s="91"/>
      <c r="N44" s="91"/>
      <c r="O44" s="91">
        <f>面积表!E63</f>
        <v>1336.42</v>
      </c>
      <c r="P44" s="91"/>
      <c r="Q44" s="91"/>
      <c r="R44" s="91"/>
      <c r="S44" s="91"/>
      <c r="T44" s="91"/>
      <c r="U44" s="91"/>
      <c r="V44" s="91"/>
      <c r="W44" s="91"/>
      <c r="X44" s="91"/>
      <c r="Y44" s="91"/>
      <c r="Z44" s="91"/>
      <c r="AA44" s="91"/>
      <c r="AB44" s="91"/>
      <c r="AC44" s="87">
        <f t="shared" si="36"/>
        <v>350</v>
      </c>
      <c r="AD44" s="92"/>
      <c r="AE44" s="92"/>
      <c r="AF44" s="1392"/>
      <c r="AG44" s="92"/>
      <c r="AH44" s="92"/>
      <c r="AI44" s="92"/>
      <c r="AJ44" s="92"/>
      <c r="AK44" s="92"/>
      <c r="AL44" s="92"/>
      <c r="AM44" s="92"/>
      <c r="AN44" s="92">
        <f>面积表!E62</f>
        <v>350</v>
      </c>
      <c r="AO44" s="92"/>
      <c r="AP44" s="92"/>
      <c r="AQ44" s="92"/>
      <c r="AR44" s="92"/>
      <c r="AS44" s="92"/>
      <c r="AT44" s="93"/>
      <c r="AU44" s="94"/>
      <c r="AV44" s="1975">
        <f t="shared" si="37"/>
        <v>0</v>
      </c>
      <c r="AW44" s="1975">
        <f t="shared" si="38"/>
        <v>0</v>
      </c>
      <c r="AX44" s="1975" t="str">
        <f t="shared" si="39"/>
        <v>32#</v>
      </c>
      <c r="AY44" s="95">
        <f t="shared" si="40"/>
        <v>1764.89</v>
      </c>
      <c r="AZ44" s="87">
        <f t="shared" si="41"/>
        <v>3792.92</v>
      </c>
      <c r="BA44" s="87">
        <f t="shared" si="42"/>
        <v>3442.92</v>
      </c>
      <c r="BB44" s="87">
        <f t="shared" si="43"/>
        <v>0</v>
      </c>
      <c r="BC44" s="87">
        <f t="shared" si="44"/>
        <v>2106.5</v>
      </c>
      <c r="BD44" s="87">
        <f t="shared" si="45"/>
        <v>0</v>
      </c>
      <c r="BE44" s="87">
        <f t="shared" si="46"/>
        <v>1336.42</v>
      </c>
      <c r="BF44" s="87">
        <f t="shared" si="47"/>
        <v>0</v>
      </c>
      <c r="BG44" s="87">
        <f t="shared" si="48"/>
        <v>0</v>
      </c>
      <c r="BH44" s="87">
        <f t="shared" si="49"/>
        <v>0</v>
      </c>
      <c r="BI44" s="87">
        <f t="shared" si="50"/>
        <v>0</v>
      </c>
      <c r="BJ44" s="87">
        <f t="shared" si="51"/>
        <v>0</v>
      </c>
      <c r="BK44" s="87">
        <f t="shared" si="52"/>
        <v>0</v>
      </c>
      <c r="BL44" s="87">
        <f t="shared" si="53"/>
        <v>350</v>
      </c>
      <c r="BM44" s="87">
        <f t="shared" si="54"/>
        <v>0</v>
      </c>
      <c r="BN44" s="87">
        <f t="shared" si="55"/>
        <v>0</v>
      </c>
      <c r="BO44" s="87">
        <f t="shared" si="56"/>
        <v>0</v>
      </c>
      <c r="BP44" s="87">
        <f t="shared" si="57"/>
        <v>0</v>
      </c>
      <c r="BQ44" s="87">
        <f t="shared" si="58"/>
        <v>0</v>
      </c>
      <c r="BR44" s="87">
        <f t="shared" si="59"/>
        <v>350</v>
      </c>
      <c r="BS44" s="87">
        <f t="shared" si="60"/>
        <v>0</v>
      </c>
      <c r="BT44" s="96">
        <f t="shared" si="61"/>
        <v>0</v>
      </c>
    </row>
    <row r="45" spans="1:72">
      <c r="A45" s="84"/>
      <c r="B45" s="1389"/>
      <c r="C45" s="3009" t="s">
        <v>3081</v>
      </c>
      <c r="D45" s="3010" t="s">
        <v>1678</v>
      </c>
      <c r="E45" s="87">
        <f t="shared" si="33"/>
        <v>1764.89</v>
      </c>
      <c r="F45" s="88"/>
      <c r="G45" s="89">
        <f t="shared" si="34"/>
        <v>3792.92</v>
      </c>
      <c r="H45" s="90">
        <f t="shared" si="35"/>
        <v>3442.92</v>
      </c>
      <c r="I45" s="1392"/>
      <c r="J45" s="91"/>
      <c r="K45" s="1392">
        <f>面积表!G64</f>
        <v>2106.5</v>
      </c>
      <c r="L45" s="91"/>
      <c r="M45" s="91"/>
      <c r="N45" s="91"/>
      <c r="O45" s="91">
        <f>面积表!E65</f>
        <v>1336.42</v>
      </c>
      <c r="P45" s="91"/>
      <c r="Q45" s="91"/>
      <c r="R45" s="91"/>
      <c r="S45" s="91"/>
      <c r="T45" s="91"/>
      <c r="U45" s="91"/>
      <c r="V45" s="91"/>
      <c r="W45" s="91"/>
      <c r="X45" s="91"/>
      <c r="Y45" s="91"/>
      <c r="Z45" s="91"/>
      <c r="AA45" s="91"/>
      <c r="AB45" s="91"/>
      <c r="AC45" s="87">
        <f t="shared" si="36"/>
        <v>350</v>
      </c>
      <c r="AD45" s="92"/>
      <c r="AE45" s="92"/>
      <c r="AF45" s="1392"/>
      <c r="AG45" s="92"/>
      <c r="AH45" s="92"/>
      <c r="AI45" s="92"/>
      <c r="AJ45" s="92"/>
      <c r="AK45" s="92"/>
      <c r="AL45" s="92"/>
      <c r="AM45" s="92"/>
      <c r="AN45" s="92">
        <f>面积表!E64</f>
        <v>350</v>
      </c>
      <c r="AO45" s="92"/>
      <c r="AP45" s="92"/>
      <c r="AQ45" s="92"/>
      <c r="AR45" s="92"/>
      <c r="AS45" s="92"/>
      <c r="AT45" s="93"/>
      <c r="AU45" s="94"/>
      <c r="AV45" s="1975">
        <f t="shared" si="37"/>
        <v>0</v>
      </c>
      <c r="AW45" s="1975">
        <f t="shared" si="38"/>
        <v>0</v>
      </c>
      <c r="AX45" s="1975" t="str">
        <f t="shared" si="39"/>
        <v>33#</v>
      </c>
      <c r="AY45" s="95">
        <f t="shared" si="40"/>
        <v>1764.89</v>
      </c>
      <c r="AZ45" s="87">
        <f t="shared" si="41"/>
        <v>3792.92</v>
      </c>
      <c r="BA45" s="87">
        <f t="shared" si="42"/>
        <v>3442.92</v>
      </c>
      <c r="BB45" s="87">
        <f t="shared" si="43"/>
        <v>0</v>
      </c>
      <c r="BC45" s="87">
        <f t="shared" si="44"/>
        <v>2106.5</v>
      </c>
      <c r="BD45" s="87">
        <f t="shared" si="45"/>
        <v>0</v>
      </c>
      <c r="BE45" s="87">
        <f t="shared" si="46"/>
        <v>1336.42</v>
      </c>
      <c r="BF45" s="87">
        <f t="shared" si="47"/>
        <v>0</v>
      </c>
      <c r="BG45" s="87">
        <f t="shared" si="48"/>
        <v>0</v>
      </c>
      <c r="BH45" s="87">
        <f t="shared" si="49"/>
        <v>0</v>
      </c>
      <c r="BI45" s="87">
        <f t="shared" si="50"/>
        <v>0</v>
      </c>
      <c r="BJ45" s="87">
        <f t="shared" si="51"/>
        <v>0</v>
      </c>
      <c r="BK45" s="87">
        <f t="shared" si="52"/>
        <v>0</v>
      </c>
      <c r="BL45" s="87">
        <f t="shared" si="53"/>
        <v>350</v>
      </c>
      <c r="BM45" s="87">
        <f t="shared" si="54"/>
        <v>0</v>
      </c>
      <c r="BN45" s="87">
        <f t="shared" si="55"/>
        <v>0</v>
      </c>
      <c r="BO45" s="87">
        <f t="shared" si="56"/>
        <v>0</v>
      </c>
      <c r="BP45" s="87">
        <f t="shared" si="57"/>
        <v>0</v>
      </c>
      <c r="BQ45" s="87">
        <f t="shared" si="58"/>
        <v>0</v>
      </c>
      <c r="BR45" s="87">
        <f t="shared" si="59"/>
        <v>350</v>
      </c>
      <c r="BS45" s="87">
        <f t="shared" si="60"/>
        <v>0</v>
      </c>
      <c r="BT45" s="96">
        <f t="shared" si="61"/>
        <v>0</v>
      </c>
    </row>
    <row r="46" spans="1:72">
      <c r="A46" s="84"/>
      <c r="B46" s="1389"/>
      <c r="C46" s="3009" t="s">
        <v>3082</v>
      </c>
      <c r="D46" s="3010" t="s">
        <v>1678</v>
      </c>
      <c r="E46" s="87">
        <f t="shared" si="33"/>
        <v>1764.89</v>
      </c>
      <c r="F46" s="88"/>
      <c r="G46" s="89">
        <f t="shared" si="34"/>
        <v>3792.92</v>
      </c>
      <c r="H46" s="90">
        <f t="shared" si="35"/>
        <v>3442.92</v>
      </c>
      <c r="I46" s="1392"/>
      <c r="J46" s="91"/>
      <c r="K46" s="1392">
        <f>面积表!G66</f>
        <v>2106.5</v>
      </c>
      <c r="L46" s="91"/>
      <c r="M46" s="91"/>
      <c r="N46" s="91"/>
      <c r="O46" s="91">
        <f>面积表!E67</f>
        <v>1336.42</v>
      </c>
      <c r="P46" s="91"/>
      <c r="Q46" s="91"/>
      <c r="R46" s="91"/>
      <c r="S46" s="91"/>
      <c r="T46" s="91"/>
      <c r="U46" s="91"/>
      <c r="V46" s="91"/>
      <c r="W46" s="91"/>
      <c r="X46" s="91"/>
      <c r="Y46" s="91"/>
      <c r="Z46" s="91"/>
      <c r="AA46" s="91"/>
      <c r="AB46" s="91"/>
      <c r="AC46" s="87">
        <f t="shared" si="36"/>
        <v>350</v>
      </c>
      <c r="AD46" s="92"/>
      <c r="AE46" s="92"/>
      <c r="AF46" s="1392"/>
      <c r="AG46" s="92"/>
      <c r="AH46" s="92"/>
      <c r="AI46" s="92"/>
      <c r="AJ46" s="92"/>
      <c r="AK46" s="92"/>
      <c r="AL46" s="92"/>
      <c r="AM46" s="92"/>
      <c r="AN46" s="92">
        <f>面积表!E66</f>
        <v>350</v>
      </c>
      <c r="AO46" s="92"/>
      <c r="AP46" s="92"/>
      <c r="AQ46" s="92"/>
      <c r="AR46" s="92"/>
      <c r="AS46" s="92"/>
      <c r="AT46" s="93"/>
      <c r="AU46" s="94"/>
      <c r="AV46" s="1975">
        <f t="shared" si="37"/>
        <v>0</v>
      </c>
      <c r="AW46" s="1975">
        <f t="shared" si="38"/>
        <v>0</v>
      </c>
      <c r="AX46" s="1975" t="str">
        <f t="shared" si="39"/>
        <v>34#</v>
      </c>
      <c r="AY46" s="95">
        <f t="shared" si="40"/>
        <v>1764.89</v>
      </c>
      <c r="AZ46" s="87">
        <f t="shared" si="41"/>
        <v>3792.92</v>
      </c>
      <c r="BA46" s="87">
        <f t="shared" si="42"/>
        <v>3442.92</v>
      </c>
      <c r="BB46" s="87">
        <f t="shared" si="43"/>
        <v>0</v>
      </c>
      <c r="BC46" s="87">
        <f t="shared" si="44"/>
        <v>2106.5</v>
      </c>
      <c r="BD46" s="87">
        <f t="shared" si="45"/>
        <v>0</v>
      </c>
      <c r="BE46" s="87">
        <f t="shared" si="46"/>
        <v>1336.42</v>
      </c>
      <c r="BF46" s="87">
        <f t="shared" si="47"/>
        <v>0</v>
      </c>
      <c r="BG46" s="87">
        <f t="shared" si="48"/>
        <v>0</v>
      </c>
      <c r="BH46" s="87">
        <f t="shared" si="49"/>
        <v>0</v>
      </c>
      <c r="BI46" s="87">
        <f t="shared" si="50"/>
        <v>0</v>
      </c>
      <c r="BJ46" s="87">
        <f t="shared" si="51"/>
        <v>0</v>
      </c>
      <c r="BK46" s="87">
        <f t="shared" si="52"/>
        <v>0</v>
      </c>
      <c r="BL46" s="87">
        <f t="shared" si="53"/>
        <v>350</v>
      </c>
      <c r="BM46" s="87">
        <f t="shared" si="54"/>
        <v>0</v>
      </c>
      <c r="BN46" s="87">
        <f t="shared" si="55"/>
        <v>0</v>
      </c>
      <c r="BO46" s="87">
        <f t="shared" si="56"/>
        <v>0</v>
      </c>
      <c r="BP46" s="87">
        <f t="shared" si="57"/>
        <v>0</v>
      </c>
      <c r="BQ46" s="87">
        <f t="shared" si="58"/>
        <v>0</v>
      </c>
      <c r="BR46" s="87">
        <f t="shared" si="59"/>
        <v>350</v>
      </c>
      <c r="BS46" s="87">
        <f t="shared" si="60"/>
        <v>0</v>
      </c>
      <c r="BT46" s="96">
        <f t="shared" si="61"/>
        <v>0</v>
      </c>
    </row>
    <row r="47" spans="1:72">
      <c r="A47" s="84"/>
      <c r="B47" s="1389"/>
      <c r="C47" s="3009" t="s">
        <v>3083</v>
      </c>
      <c r="D47" s="3010" t="s">
        <v>1678</v>
      </c>
      <c r="E47" s="87">
        <f t="shared" si="33"/>
        <v>1894.23</v>
      </c>
      <c r="F47" s="88"/>
      <c r="G47" s="89">
        <f t="shared" si="34"/>
        <v>4070.8900000000003</v>
      </c>
      <c r="H47" s="90">
        <f t="shared" si="35"/>
        <v>3720.8900000000003</v>
      </c>
      <c r="I47" s="1392"/>
      <c r="J47" s="91"/>
      <c r="K47" s="1392">
        <f>面积表!G68</f>
        <v>2106.5</v>
      </c>
      <c r="L47" s="91"/>
      <c r="M47" s="91"/>
      <c r="N47" s="91"/>
      <c r="O47" s="91">
        <f>面积表!E69</f>
        <v>1614.39</v>
      </c>
      <c r="P47" s="91"/>
      <c r="Q47" s="91"/>
      <c r="R47" s="91"/>
      <c r="S47" s="91"/>
      <c r="T47" s="91"/>
      <c r="U47" s="91"/>
      <c r="V47" s="91"/>
      <c r="W47" s="91"/>
      <c r="X47" s="91"/>
      <c r="Y47" s="91"/>
      <c r="Z47" s="91"/>
      <c r="AA47" s="91"/>
      <c r="AB47" s="91"/>
      <c r="AC47" s="87">
        <f t="shared" si="36"/>
        <v>350</v>
      </c>
      <c r="AD47" s="92"/>
      <c r="AE47" s="92"/>
      <c r="AF47" s="1390"/>
      <c r="AG47" s="92"/>
      <c r="AH47" s="92"/>
      <c r="AI47" s="92"/>
      <c r="AJ47" s="92"/>
      <c r="AK47" s="92"/>
      <c r="AL47" s="92"/>
      <c r="AM47" s="92"/>
      <c r="AN47" s="92">
        <f>面积表!E68</f>
        <v>350</v>
      </c>
      <c r="AO47" s="92"/>
      <c r="AP47" s="92"/>
      <c r="AQ47" s="92"/>
      <c r="AR47" s="92"/>
      <c r="AS47" s="92"/>
      <c r="AT47" s="93"/>
      <c r="AU47" s="94"/>
      <c r="AV47" s="1975">
        <f t="shared" si="37"/>
        <v>0</v>
      </c>
      <c r="AW47" s="1975">
        <f t="shared" si="38"/>
        <v>0</v>
      </c>
      <c r="AX47" s="1975" t="str">
        <f t="shared" si="39"/>
        <v>35#</v>
      </c>
      <c r="AY47" s="95">
        <f t="shared" si="40"/>
        <v>1894.23</v>
      </c>
      <c r="AZ47" s="87">
        <f t="shared" si="41"/>
        <v>4070.8900000000003</v>
      </c>
      <c r="BA47" s="87">
        <f t="shared" si="42"/>
        <v>3720.8900000000003</v>
      </c>
      <c r="BB47" s="87">
        <f t="shared" si="43"/>
        <v>0</v>
      </c>
      <c r="BC47" s="87">
        <f t="shared" si="44"/>
        <v>2106.5</v>
      </c>
      <c r="BD47" s="87">
        <f t="shared" si="45"/>
        <v>0</v>
      </c>
      <c r="BE47" s="87">
        <f t="shared" si="46"/>
        <v>1614.39</v>
      </c>
      <c r="BF47" s="87">
        <f t="shared" si="47"/>
        <v>0</v>
      </c>
      <c r="BG47" s="87">
        <f t="shared" si="48"/>
        <v>0</v>
      </c>
      <c r="BH47" s="87">
        <f t="shared" si="49"/>
        <v>0</v>
      </c>
      <c r="BI47" s="87">
        <f t="shared" si="50"/>
        <v>0</v>
      </c>
      <c r="BJ47" s="87">
        <f t="shared" si="51"/>
        <v>0</v>
      </c>
      <c r="BK47" s="87">
        <f t="shared" si="52"/>
        <v>0</v>
      </c>
      <c r="BL47" s="87">
        <f t="shared" si="53"/>
        <v>350</v>
      </c>
      <c r="BM47" s="87">
        <f t="shared" si="54"/>
        <v>0</v>
      </c>
      <c r="BN47" s="87">
        <f t="shared" si="55"/>
        <v>0</v>
      </c>
      <c r="BO47" s="87">
        <f t="shared" si="56"/>
        <v>0</v>
      </c>
      <c r="BP47" s="87">
        <f t="shared" si="57"/>
        <v>0</v>
      </c>
      <c r="BQ47" s="87">
        <f t="shared" si="58"/>
        <v>0</v>
      </c>
      <c r="BR47" s="87">
        <f t="shared" si="59"/>
        <v>350</v>
      </c>
      <c r="BS47" s="87">
        <f t="shared" si="60"/>
        <v>0</v>
      </c>
      <c r="BT47" s="96">
        <f t="shared" si="61"/>
        <v>0</v>
      </c>
    </row>
    <row r="48" spans="1:72">
      <c r="A48" s="84"/>
      <c r="B48" s="1389"/>
      <c r="C48" s="3009" t="s">
        <v>3084</v>
      </c>
      <c r="D48" s="3010" t="s">
        <v>1678</v>
      </c>
      <c r="E48" s="87">
        <f t="shared" si="33"/>
        <v>2443.4699999999998</v>
      </c>
      <c r="F48" s="88"/>
      <c r="G48" s="89">
        <f t="shared" si="34"/>
        <v>5251.25</v>
      </c>
      <c r="H48" s="90">
        <f t="shared" si="35"/>
        <v>4801.25</v>
      </c>
      <c r="I48" s="1390"/>
      <c r="J48" s="91"/>
      <c r="K48" s="1390">
        <f>面积表!G70</f>
        <v>2759.42</v>
      </c>
      <c r="L48" s="91"/>
      <c r="M48" s="91"/>
      <c r="N48" s="91"/>
      <c r="O48" s="91">
        <f>面积表!E71</f>
        <v>2041.83</v>
      </c>
      <c r="P48" s="91"/>
      <c r="Q48" s="91"/>
      <c r="R48" s="91"/>
      <c r="S48" s="91"/>
      <c r="T48" s="91"/>
      <c r="U48" s="91"/>
      <c r="V48" s="91"/>
      <c r="W48" s="91"/>
      <c r="X48" s="91"/>
      <c r="Y48" s="91"/>
      <c r="Z48" s="91"/>
      <c r="AA48" s="91"/>
      <c r="AB48" s="91"/>
      <c r="AC48" s="87">
        <f t="shared" si="36"/>
        <v>450</v>
      </c>
      <c r="AD48" s="92"/>
      <c r="AE48" s="92"/>
      <c r="AF48" s="1390"/>
      <c r="AG48" s="92"/>
      <c r="AH48" s="92"/>
      <c r="AI48" s="92"/>
      <c r="AJ48" s="92"/>
      <c r="AK48" s="92"/>
      <c r="AL48" s="92"/>
      <c r="AM48" s="92"/>
      <c r="AN48" s="92">
        <f>面积表!E70</f>
        <v>450</v>
      </c>
      <c r="AO48" s="92"/>
      <c r="AP48" s="92"/>
      <c r="AQ48" s="92"/>
      <c r="AR48" s="92"/>
      <c r="AS48" s="92"/>
      <c r="AT48" s="93"/>
      <c r="AU48" s="94"/>
      <c r="AV48" s="1975">
        <f t="shared" si="37"/>
        <v>0</v>
      </c>
      <c r="AW48" s="1975">
        <f t="shared" si="38"/>
        <v>0</v>
      </c>
      <c r="AX48" s="1975" t="str">
        <f t="shared" si="39"/>
        <v>36#</v>
      </c>
      <c r="AY48" s="95">
        <f t="shared" si="40"/>
        <v>2443.4699999999998</v>
      </c>
      <c r="AZ48" s="87">
        <f t="shared" si="41"/>
        <v>5251.25</v>
      </c>
      <c r="BA48" s="87">
        <f t="shared" si="42"/>
        <v>4801.25</v>
      </c>
      <c r="BB48" s="87">
        <f t="shared" si="43"/>
        <v>0</v>
      </c>
      <c r="BC48" s="87">
        <f t="shared" si="44"/>
        <v>2759.42</v>
      </c>
      <c r="BD48" s="87">
        <f t="shared" si="45"/>
        <v>0</v>
      </c>
      <c r="BE48" s="87">
        <f t="shared" si="46"/>
        <v>2041.83</v>
      </c>
      <c r="BF48" s="87">
        <f t="shared" si="47"/>
        <v>0</v>
      </c>
      <c r="BG48" s="87">
        <f t="shared" si="48"/>
        <v>0</v>
      </c>
      <c r="BH48" s="87">
        <f t="shared" si="49"/>
        <v>0</v>
      </c>
      <c r="BI48" s="87">
        <f t="shared" si="50"/>
        <v>0</v>
      </c>
      <c r="BJ48" s="87">
        <f t="shared" si="51"/>
        <v>0</v>
      </c>
      <c r="BK48" s="87">
        <f t="shared" si="52"/>
        <v>0</v>
      </c>
      <c r="BL48" s="87">
        <f t="shared" si="53"/>
        <v>450</v>
      </c>
      <c r="BM48" s="87">
        <f t="shared" si="54"/>
        <v>0</v>
      </c>
      <c r="BN48" s="87">
        <f t="shared" si="55"/>
        <v>0</v>
      </c>
      <c r="BO48" s="87">
        <f t="shared" si="56"/>
        <v>0</v>
      </c>
      <c r="BP48" s="87">
        <f t="shared" si="57"/>
        <v>0</v>
      </c>
      <c r="BQ48" s="87">
        <f t="shared" si="58"/>
        <v>0</v>
      </c>
      <c r="BR48" s="87">
        <f t="shared" si="59"/>
        <v>450</v>
      </c>
      <c r="BS48" s="87">
        <f t="shared" si="60"/>
        <v>0</v>
      </c>
      <c r="BT48" s="96">
        <f t="shared" si="61"/>
        <v>0</v>
      </c>
    </row>
    <row r="49" spans="1:72">
      <c r="A49" s="84"/>
      <c r="B49" s="1389"/>
      <c r="C49" s="3009" t="s">
        <v>3085</v>
      </c>
      <c r="D49" s="3010" t="s">
        <v>1678</v>
      </c>
      <c r="E49" s="87">
        <f t="shared" si="33"/>
        <v>2282.1</v>
      </c>
      <c r="F49" s="88"/>
      <c r="G49" s="89">
        <f t="shared" si="34"/>
        <v>4904.45</v>
      </c>
      <c r="H49" s="90">
        <f t="shared" si="35"/>
        <v>4454.45</v>
      </c>
      <c r="I49" s="1390"/>
      <c r="J49" s="91"/>
      <c r="K49" s="1390">
        <f>面积表!G72</f>
        <v>2759.42</v>
      </c>
      <c r="L49" s="91"/>
      <c r="M49" s="91"/>
      <c r="N49" s="91"/>
      <c r="O49" s="91">
        <f>面积表!E73</f>
        <v>1695.03</v>
      </c>
      <c r="P49" s="91"/>
      <c r="Q49" s="91"/>
      <c r="R49" s="91"/>
      <c r="S49" s="91"/>
      <c r="T49" s="91"/>
      <c r="U49" s="91"/>
      <c r="V49" s="91"/>
      <c r="W49" s="91"/>
      <c r="X49" s="91"/>
      <c r="Y49" s="91"/>
      <c r="Z49" s="91"/>
      <c r="AA49" s="91"/>
      <c r="AB49" s="91"/>
      <c r="AC49" s="87">
        <f t="shared" si="36"/>
        <v>450</v>
      </c>
      <c r="AD49" s="92"/>
      <c r="AE49" s="92"/>
      <c r="AF49" s="1390"/>
      <c r="AG49" s="92"/>
      <c r="AH49" s="92"/>
      <c r="AI49" s="92"/>
      <c r="AJ49" s="92"/>
      <c r="AK49" s="92"/>
      <c r="AL49" s="92"/>
      <c r="AM49" s="92"/>
      <c r="AN49" s="92">
        <f>面积表!E72</f>
        <v>450</v>
      </c>
      <c r="AO49" s="92"/>
      <c r="AP49" s="92"/>
      <c r="AQ49" s="92"/>
      <c r="AR49" s="92"/>
      <c r="AS49" s="92"/>
      <c r="AT49" s="93"/>
      <c r="AU49" s="94"/>
      <c r="AV49" s="1975">
        <f t="shared" si="37"/>
        <v>0</v>
      </c>
      <c r="AW49" s="1975">
        <f t="shared" si="38"/>
        <v>0</v>
      </c>
      <c r="AX49" s="1975" t="str">
        <f t="shared" si="39"/>
        <v>37#</v>
      </c>
      <c r="AY49" s="95">
        <f t="shared" si="40"/>
        <v>2282.1</v>
      </c>
      <c r="AZ49" s="87">
        <f t="shared" si="41"/>
        <v>4904.45</v>
      </c>
      <c r="BA49" s="87">
        <f t="shared" si="42"/>
        <v>4454.45</v>
      </c>
      <c r="BB49" s="87">
        <f t="shared" si="43"/>
        <v>0</v>
      </c>
      <c r="BC49" s="87">
        <f t="shared" si="44"/>
        <v>2759.42</v>
      </c>
      <c r="BD49" s="87">
        <f t="shared" si="45"/>
        <v>0</v>
      </c>
      <c r="BE49" s="87">
        <f t="shared" si="46"/>
        <v>1695.03</v>
      </c>
      <c r="BF49" s="87">
        <f t="shared" si="47"/>
        <v>0</v>
      </c>
      <c r="BG49" s="87">
        <f t="shared" si="48"/>
        <v>0</v>
      </c>
      <c r="BH49" s="87">
        <f t="shared" si="49"/>
        <v>0</v>
      </c>
      <c r="BI49" s="87">
        <f t="shared" si="50"/>
        <v>0</v>
      </c>
      <c r="BJ49" s="87">
        <f t="shared" si="51"/>
        <v>0</v>
      </c>
      <c r="BK49" s="87">
        <f t="shared" si="52"/>
        <v>0</v>
      </c>
      <c r="BL49" s="87">
        <f t="shared" si="53"/>
        <v>450</v>
      </c>
      <c r="BM49" s="87">
        <f t="shared" si="54"/>
        <v>0</v>
      </c>
      <c r="BN49" s="87">
        <f t="shared" si="55"/>
        <v>0</v>
      </c>
      <c r="BO49" s="87">
        <f t="shared" si="56"/>
        <v>0</v>
      </c>
      <c r="BP49" s="87">
        <f t="shared" si="57"/>
        <v>0</v>
      </c>
      <c r="BQ49" s="87">
        <f t="shared" si="58"/>
        <v>0</v>
      </c>
      <c r="BR49" s="87">
        <f t="shared" si="59"/>
        <v>450</v>
      </c>
      <c r="BS49" s="87">
        <f t="shared" si="60"/>
        <v>0</v>
      </c>
      <c r="BT49" s="96">
        <f t="shared" si="61"/>
        <v>0</v>
      </c>
    </row>
    <row r="50" spans="1:72">
      <c r="A50" s="84"/>
      <c r="B50" s="1389"/>
      <c r="C50" s="3009" t="s">
        <v>3086</v>
      </c>
      <c r="D50" s="3010" t="s">
        <v>1678</v>
      </c>
      <c r="E50" s="87">
        <f t="shared" si="33"/>
        <v>2282.1</v>
      </c>
      <c r="F50" s="88"/>
      <c r="G50" s="89">
        <f t="shared" si="34"/>
        <v>4904.45</v>
      </c>
      <c r="H50" s="90">
        <f t="shared" si="35"/>
        <v>4454.45</v>
      </c>
      <c r="I50" s="1390"/>
      <c r="J50" s="91"/>
      <c r="K50" s="1390">
        <f>面积表!G74</f>
        <v>2759.42</v>
      </c>
      <c r="L50" s="91"/>
      <c r="M50" s="91"/>
      <c r="N50" s="91"/>
      <c r="O50" s="91">
        <f>面积表!E75</f>
        <v>1695.03</v>
      </c>
      <c r="P50" s="91"/>
      <c r="Q50" s="91"/>
      <c r="R50" s="91"/>
      <c r="S50" s="91"/>
      <c r="T50" s="91"/>
      <c r="U50" s="91"/>
      <c r="V50" s="91"/>
      <c r="W50" s="91"/>
      <c r="X50" s="91"/>
      <c r="Y50" s="91"/>
      <c r="Z50" s="91"/>
      <c r="AA50" s="91"/>
      <c r="AB50" s="91"/>
      <c r="AC50" s="87">
        <f t="shared" si="36"/>
        <v>450</v>
      </c>
      <c r="AD50" s="92"/>
      <c r="AE50" s="92"/>
      <c r="AF50" s="1390"/>
      <c r="AG50" s="92"/>
      <c r="AH50" s="92"/>
      <c r="AI50" s="92"/>
      <c r="AJ50" s="92"/>
      <c r="AK50" s="92"/>
      <c r="AL50" s="92"/>
      <c r="AM50" s="92"/>
      <c r="AN50" s="92">
        <f>面积表!E74</f>
        <v>450</v>
      </c>
      <c r="AO50" s="92"/>
      <c r="AP50" s="92"/>
      <c r="AQ50" s="92"/>
      <c r="AR50" s="92"/>
      <c r="AS50" s="92"/>
      <c r="AT50" s="93"/>
      <c r="AU50" s="94"/>
      <c r="AV50" s="1975">
        <f t="shared" si="37"/>
        <v>0</v>
      </c>
      <c r="AW50" s="1975">
        <f t="shared" si="38"/>
        <v>0</v>
      </c>
      <c r="AX50" s="1975" t="str">
        <f t="shared" si="39"/>
        <v>38#</v>
      </c>
      <c r="AY50" s="95">
        <f t="shared" si="40"/>
        <v>2282.1</v>
      </c>
      <c r="AZ50" s="87">
        <f t="shared" si="41"/>
        <v>4904.45</v>
      </c>
      <c r="BA50" s="87">
        <f t="shared" si="42"/>
        <v>4454.45</v>
      </c>
      <c r="BB50" s="87">
        <f t="shared" si="43"/>
        <v>0</v>
      </c>
      <c r="BC50" s="87">
        <f t="shared" si="44"/>
        <v>2759.42</v>
      </c>
      <c r="BD50" s="87">
        <f t="shared" si="45"/>
        <v>0</v>
      </c>
      <c r="BE50" s="87">
        <f t="shared" si="46"/>
        <v>1695.03</v>
      </c>
      <c r="BF50" s="87">
        <f t="shared" si="47"/>
        <v>0</v>
      </c>
      <c r="BG50" s="87">
        <f t="shared" si="48"/>
        <v>0</v>
      </c>
      <c r="BH50" s="87">
        <f t="shared" si="49"/>
        <v>0</v>
      </c>
      <c r="BI50" s="87">
        <f t="shared" si="50"/>
        <v>0</v>
      </c>
      <c r="BJ50" s="87">
        <f t="shared" si="51"/>
        <v>0</v>
      </c>
      <c r="BK50" s="87">
        <f t="shared" si="52"/>
        <v>0</v>
      </c>
      <c r="BL50" s="87">
        <f t="shared" si="53"/>
        <v>450</v>
      </c>
      <c r="BM50" s="87">
        <f t="shared" si="54"/>
        <v>0</v>
      </c>
      <c r="BN50" s="87">
        <f t="shared" si="55"/>
        <v>0</v>
      </c>
      <c r="BO50" s="87">
        <f t="shared" si="56"/>
        <v>0</v>
      </c>
      <c r="BP50" s="87">
        <f t="shared" si="57"/>
        <v>0</v>
      </c>
      <c r="BQ50" s="87">
        <f t="shared" si="58"/>
        <v>0</v>
      </c>
      <c r="BR50" s="87">
        <f t="shared" si="59"/>
        <v>450</v>
      </c>
      <c r="BS50" s="87">
        <f t="shared" si="60"/>
        <v>0</v>
      </c>
      <c r="BT50" s="96">
        <f t="shared" si="61"/>
        <v>0</v>
      </c>
    </row>
    <row r="51" spans="1:72">
      <c r="A51" s="84"/>
      <c r="B51" s="1389"/>
      <c r="C51" s="3009" t="s">
        <v>3087</v>
      </c>
      <c r="D51" s="3010" t="s">
        <v>1678</v>
      </c>
      <c r="E51" s="87">
        <f t="shared" si="33"/>
        <v>2282.1</v>
      </c>
      <c r="F51" s="88"/>
      <c r="G51" s="89">
        <f t="shared" si="34"/>
        <v>4904.45</v>
      </c>
      <c r="H51" s="90">
        <f t="shared" si="35"/>
        <v>4454.45</v>
      </c>
      <c r="I51" s="1390"/>
      <c r="J51" s="91"/>
      <c r="K51" s="1390">
        <f>面积表!G76</f>
        <v>2759.42</v>
      </c>
      <c r="L51" s="91"/>
      <c r="M51" s="91"/>
      <c r="N51" s="91"/>
      <c r="O51" s="91">
        <f>面积表!E77</f>
        <v>1695.03</v>
      </c>
      <c r="P51" s="91"/>
      <c r="Q51" s="91"/>
      <c r="R51" s="91"/>
      <c r="S51" s="91"/>
      <c r="T51" s="91"/>
      <c r="U51" s="91"/>
      <c r="V51" s="91"/>
      <c r="W51" s="91"/>
      <c r="X51" s="91"/>
      <c r="Y51" s="91"/>
      <c r="Z51" s="91"/>
      <c r="AA51" s="91"/>
      <c r="AB51" s="91"/>
      <c r="AC51" s="87">
        <f t="shared" si="36"/>
        <v>450</v>
      </c>
      <c r="AD51" s="92"/>
      <c r="AE51" s="92"/>
      <c r="AF51" s="1390"/>
      <c r="AG51" s="92"/>
      <c r="AH51" s="92"/>
      <c r="AI51" s="92"/>
      <c r="AJ51" s="92"/>
      <c r="AK51" s="92"/>
      <c r="AL51" s="92"/>
      <c r="AM51" s="92"/>
      <c r="AN51" s="92">
        <f>面积表!E76</f>
        <v>450</v>
      </c>
      <c r="AO51" s="92"/>
      <c r="AP51" s="92"/>
      <c r="AQ51" s="92"/>
      <c r="AR51" s="92"/>
      <c r="AS51" s="92"/>
      <c r="AT51" s="93"/>
      <c r="AU51" s="94"/>
      <c r="AV51" s="1975">
        <f t="shared" si="37"/>
        <v>0</v>
      </c>
      <c r="AW51" s="1975">
        <f t="shared" si="38"/>
        <v>0</v>
      </c>
      <c r="AX51" s="1975" t="str">
        <f t="shared" si="39"/>
        <v>39#</v>
      </c>
      <c r="AY51" s="95">
        <f t="shared" si="40"/>
        <v>2282.1</v>
      </c>
      <c r="AZ51" s="87">
        <f t="shared" si="41"/>
        <v>4904.45</v>
      </c>
      <c r="BA51" s="87">
        <f t="shared" si="42"/>
        <v>4454.45</v>
      </c>
      <c r="BB51" s="87">
        <f t="shared" si="43"/>
        <v>0</v>
      </c>
      <c r="BC51" s="87">
        <f t="shared" si="44"/>
        <v>2759.42</v>
      </c>
      <c r="BD51" s="87">
        <f t="shared" si="45"/>
        <v>0</v>
      </c>
      <c r="BE51" s="87">
        <f t="shared" si="46"/>
        <v>1695.03</v>
      </c>
      <c r="BF51" s="87">
        <f t="shared" si="47"/>
        <v>0</v>
      </c>
      <c r="BG51" s="87">
        <f t="shared" si="48"/>
        <v>0</v>
      </c>
      <c r="BH51" s="87">
        <f t="shared" si="49"/>
        <v>0</v>
      </c>
      <c r="BI51" s="87">
        <f t="shared" si="50"/>
        <v>0</v>
      </c>
      <c r="BJ51" s="87">
        <f t="shared" si="51"/>
        <v>0</v>
      </c>
      <c r="BK51" s="87">
        <f t="shared" si="52"/>
        <v>0</v>
      </c>
      <c r="BL51" s="87">
        <f t="shared" si="53"/>
        <v>450</v>
      </c>
      <c r="BM51" s="87">
        <f t="shared" si="54"/>
        <v>0</v>
      </c>
      <c r="BN51" s="87">
        <f t="shared" si="55"/>
        <v>0</v>
      </c>
      <c r="BO51" s="87">
        <f t="shared" si="56"/>
        <v>0</v>
      </c>
      <c r="BP51" s="87">
        <f t="shared" si="57"/>
        <v>0</v>
      </c>
      <c r="BQ51" s="87">
        <f t="shared" si="58"/>
        <v>0</v>
      </c>
      <c r="BR51" s="87">
        <f t="shared" si="59"/>
        <v>450</v>
      </c>
      <c r="BS51" s="87">
        <f t="shared" si="60"/>
        <v>0</v>
      </c>
      <c r="BT51" s="96">
        <f t="shared" si="61"/>
        <v>0</v>
      </c>
    </row>
    <row r="52" spans="1:72">
      <c r="A52" s="84"/>
      <c r="B52" s="1389"/>
      <c r="C52" s="3009" t="s">
        <v>3088</v>
      </c>
      <c r="D52" s="3010" t="s">
        <v>1678</v>
      </c>
      <c r="E52" s="87">
        <f t="shared" si="33"/>
        <v>2313.7399999999998</v>
      </c>
      <c r="F52" s="88"/>
      <c r="G52" s="89">
        <f t="shared" si="34"/>
        <v>4972.4400000000005</v>
      </c>
      <c r="H52" s="90">
        <f t="shared" si="35"/>
        <v>4522.4400000000005</v>
      </c>
      <c r="I52" s="1390"/>
      <c r="J52" s="91"/>
      <c r="K52" s="1390">
        <f>面积表!G78</f>
        <v>2759.42</v>
      </c>
      <c r="L52" s="91"/>
      <c r="M52" s="91"/>
      <c r="N52" s="91"/>
      <c r="O52" s="91">
        <f>面积表!E79</f>
        <v>1763.02</v>
      </c>
      <c r="P52" s="91"/>
      <c r="Q52" s="91"/>
      <c r="R52" s="91"/>
      <c r="S52" s="91"/>
      <c r="T52" s="91"/>
      <c r="U52" s="91"/>
      <c r="V52" s="91"/>
      <c r="W52" s="91"/>
      <c r="X52" s="91"/>
      <c r="Y52" s="91"/>
      <c r="Z52" s="91"/>
      <c r="AA52" s="91"/>
      <c r="AB52" s="91"/>
      <c r="AC52" s="87">
        <f t="shared" si="36"/>
        <v>450</v>
      </c>
      <c r="AD52" s="92"/>
      <c r="AE52" s="92"/>
      <c r="AF52" s="1390"/>
      <c r="AG52" s="92"/>
      <c r="AH52" s="92"/>
      <c r="AI52" s="92"/>
      <c r="AJ52" s="92"/>
      <c r="AK52" s="92"/>
      <c r="AL52" s="92"/>
      <c r="AM52" s="92"/>
      <c r="AN52" s="92">
        <f>面积表!E78</f>
        <v>450</v>
      </c>
      <c r="AO52" s="92"/>
      <c r="AP52" s="92"/>
      <c r="AQ52" s="92"/>
      <c r="AR52" s="92"/>
      <c r="AS52" s="92"/>
      <c r="AT52" s="93"/>
      <c r="AU52" s="94"/>
      <c r="AV52" s="1975">
        <f t="shared" si="37"/>
        <v>0</v>
      </c>
      <c r="AW52" s="1975">
        <f t="shared" si="38"/>
        <v>0</v>
      </c>
      <c r="AX52" s="1975" t="str">
        <f t="shared" si="39"/>
        <v>40#</v>
      </c>
      <c r="AY52" s="95">
        <f t="shared" si="40"/>
        <v>2313.7399999999998</v>
      </c>
      <c r="AZ52" s="87">
        <f t="shared" si="41"/>
        <v>4972.4400000000005</v>
      </c>
      <c r="BA52" s="87">
        <f t="shared" si="42"/>
        <v>4522.4400000000005</v>
      </c>
      <c r="BB52" s="87">
        <f t="shared" si="43"/>
        <v>0</v>
      </c>
      <c r="BC52" s="87">
        <f t="shared" si="44"/>
        <v>2759.42</v>
      </c>
      <c r="BD52" s="87">
        <f t="shared" si="45"/>
        <v>0</v>
      </c>
      <c r="BE52" s="87">
        <f t="shared" si="46"/>
        <v>1763.02</v>
      </c>
      <c r="BF52" s="87">
        <f t="shared" si="47"/>
        <v>0</v>
      </c>
      <c r="BG52" s="87">
        <f t="shared" si="48"/>
        <v>0</v>
      </c>
      <c r="BH52" s="87">
        <f t="shared" si="49"/>
        <v>0</v>
      </c>
      <c r="BI52" s="87">
        <f t="shared" si="50"/>
        <v>0</v>
      </c>
      <c r="BJ52" s="87">
        <f t="shared" si="51"/>
        <v>0</v>
      </c>
      <c r="BK52" s="87">
        <f t="shared" si="52"/>
        <v>0</v>
      </c>
      <c r="BL52" s="87">
        <f t="shared" si="53"/>
        <v>450</v>
      </c>
      <c r="BM52" s="87">
        <f t="shared" si="54"/>
        <v>0</v>
      </c>
      <c r="BN52" s="87">
        <f t="shared" si="55"/>
        <v>0</v>
      </c>
      <c r="BO52" s="87">
        <f t="shared" si="56"/>
        <v>0</v>
      </c>
      <c r="BP52" s="87">
        <f t="shared" si="57"/>
        <v>0</v>
      </c>
      <c r="BQ52" s="87">
        <f t="shared" si="58"/>
        <v>0</v>
      </c>
      <c r="BR52" s="87">
        <f t="shared" si="59"/>
        <v>450</v>
      </c>
      <c r="BS52" s="87">
        <f t="shared" si="60"/>
        <v>0</v>
      </c>
      <c r="BT52" s="96">
        <f t="shared" si="61"/>
        <v>0</v>
      </c>
    </row>
    <row r="53" spans="1:72">
      <c r="A53" s="84"/>
      <c r="B53" s="1389"/>
      <c r="C53" s="3009" t="s">
        <v>3089</v>
      </c>
      <c r="D53" s="3010" t="s">
        <v>1678</v>
      </c>
      <c r="E53" s="87">
        <f t="shared" si="33"/>
        <v>2498.33</v>
      </c>
      <c r="F53" s="88"/>
      <c r="G53" s="89">
        <f t="shared" si="34"/>
        <v>5369.16</v>
      </c>
      <c r="H53" s="90">
        <f t="shared" si="35"/>
        <v>4869.16</v>
      </c>
      <c r="I53" s="1390"/>
      <c r="J53" s="91"/>
      <c r="K53" s="1390">
        <f>面积表!G80</f>
        <v>3039.6</v>
      </c>
      <c r="L53" s="91"/>
      <c r="M53" s="91"/>
      <c r="N53" s="91"/>
      <c r="O53" s="91">
        <f>面积表!E81</f>
        <v>1829.56</v>
      </c>
      <c r="P53" s="91"/>
      <c r="Q53" s="91"/>
      <c r="R53" s="91"/>
      <c r="S53" s="91"/>
      <c r="T53" s="91"/>
      <c r="U53" s="91"/>
      <c r="V53" s="91"/>
      <c r="W53" s="91"/>
      <c r="X53" s="91"/>
      <c r="Y53" s="91"/>
      <c r="Z53" s="91"/>
      <c r="AA53" s="91"/>
      <c r="AB53" s="91"/>
      <c r="AC53" s="87">
        <f t="shared" si="36"/>
        <v>500</v>
      </c>
      <c r="AD53" s="92"/>
      <c r="AE53" s="92"/>
      <c r="AF53" s="1390"/>
      <c r="AG53" s="92"/>
      <c r="AH53" s="92"/>
      <c r="AI53" s="92"/>
      <c r="AJ53" s="92"/>
      <c r="AK53" s="92"/>
      <c r="AL53" s="92"/>
      <c r="AM53" s="92"/>
      <c r="AN53" s="92">
        <f>面积表!E80</f>
        <v>500</v>
      </c>
      <c r="AO53" s="92"/>
      <c r="AP53" s="92"/>
      <c r="AQ53" s="92"/>
      <c r="AR53" s="92"/>
      <c r="AS53" s="92"/>
      <c r="AT53" s="93"/>
      <c r="AU53" s="94"/>
      <c r="AV53" s="1975">
        <f t="shared" si="37"/>
        <v>0</v>
      </c>
      <c r="AW53" s="1975">
        <f t="shared" si="38"/>
        <v>0</v>
      </c>
      <c r="AX53" s="1975" t="str">
        <f t="shared" si="39"/>
        <v>41#</v>
      </c>
      <c r="AY53" s="95">
        <f t="shared" si="40"/>
        <v>2498.33</v>
      </c>
      <c r="AZ53" s="87">
        <f t="shared" si="41"/>
        <v>5369.16</v>
      </c>
      <c r="BA53" s="87">
        <f t="shared" si="42"/>
        <v>4869.16</v>
      </c>
      <c r="BB53" s="87">
        <f t="shared" si="43"/>
        <v>0</v>
      </c>
      <c r="BC53" s="87">
        <f t="shared" si="44"/>
        <v>3039.6</v>
      </c>
      <c r="BD53" s="87">
        <f t="shared" si="45"/>
        <v>0</v>
      </c>
      <c r="BE53" s="87">
        <f t="shared" si="46"/>
        <v>1829.56</v>
      </c>
      <c r="BF53" s="87">
        <f t="shared" si="47"/>
        <v>0</v>
      </c>
      <c r="BG53" s="87">
        <f t="shared" si="48"/>
        <v>0</v>
      </c>
      <c r="BH53" s="87">
        <f t="shared" si="49"/>
        <v>0</v>
      </c>
      <c r="BI53" s="87">
        <f t="shared" si="50"/>
        <v>0</v>
      </c>
      <c r="BJ53" s="87">
        <f t="shared" si="51"/>
        <v>0</v>
      </c>
      <c r="BK53" s="87">
        <f t="shared" si="52"/>
        <v>0</v>
      </c>
      <c r="BL53" s="87">
        <f t="shared" si="53"/>
        <v>500</v>
      </c>
      <c r="BM53" s="87">
        <f t="shared" si="54"/>
        <v>0</v>
      </c>
      <c r="BN53" s="87">
        <f t="shared" si="55"/>
        <v>0</v>
      </c>
      <c r="BO53" s="87">
        <f t="shared" si="56"/>
        <v>0</v>
      </c>
      <c r="BP53" s="87">
        <f t="shared" si="57"/>
        <v>0</v>
      </c>
      <c r="BQ53" s="87">
        <f t="shared" si="58"/>
        <v>0</v>
      </c>
      <c r="BR53" s="87">
        <f t="shared" si="59"/>
        <v>500</v>
      </c>
      <c r="BS53" s="87">
        <f t="shared" si="60"/>
        <v>0</v>
      </c>
      <c r="BT53" s="96">
        <f t="shared" si="61"/>
        <v>0</v>
      </c>
    </row>
    <row r="54" spans="1:72">
      <c r="A54" s="84"/>
      <c r="B54" s="1389"/>
      <c r="C54" s="3009" t="s">
        <v>3090</v>
      </c>
      <c r="D54" s="3010" t="s">
        <v>1678</v>
      </c>
      <c r="E54" s="87">
        <f t="shared" si="33"/>
        <v>2957.41</v>
      </c>
      <c r="F54" s="88"/>
      <c r="G54" s="89">
        <f t="shared" si="34"/>
        <v>6355.76</v>
      </c>
      <c r="H54" s="90">
        <f t="shared" si="35"/>
        <v>5755.76</v>
      </c>
      <c r="I54" s="1390"/>
      <c r="J54" s="91"/>
      <c r="K54" s="1390">
        <f>面积表!G82</f>
        <v>3647.66</v>
      </c>
      <c r="L54" s="91"/>
      <c r="M54" s="91"/>
      <c r="N54" s="91"/>
      <c r="O54" s="91">
        <f>面积表!E83</f>
        <v>2108.1</v>
      </c>
      <c r="P54" s="91"/>
      <c r="Q54" s="91"/>
      <c r="R54" s="91"/>
      <c r="S54" s="91"/>
      <c r="T54" s="91"/>
      <c r="U54" s="91"/>
      <c r="V54" s="91"/>
      <c r="W54" s="91"/>
      <c r="X54" s="91"/>
      <c r="Y54" s="91"/>
      <c r="Z54" s="91"/>
      <c r="AA54" s="91"/>
      <c r="AB54" s="91"/>
      <c r="AC54" s="87">
        <f t="shared" si="36"/>
        <v>600</v>
      </c>
      <c r="AD54" s="92"/>
      <c r="AE54" s="92"/>
      <c r="AF54" s="1390"/>
      <c r="AG54" s="92"/>
      <c r="AH54" s="92"/>
      <c r="AI54" s="92"/>
      <c r="AJ54" s="92"/>
      <c r="AK54" s="92"/>
      <c r="AL54" s="92"/>
      <c r="AM54" s="92"/>
      <c r="AN54" s="92">
        <f>面积表!E82</f>
        <v>600</v>
      </c>
      <c r="AO54" s="92"/>
      <c r="AP54" s="92"/>
      <c r="AQ54" s="92"/>
      <c r="AR54" s="92"/>
      <c r="AS54" s="92"/>
      <c r="AT54" s="93"/>
      <c r="AU54" s="94"/>
      <c r="AV54" s="1975">
        <f t="shared" si="37"/>
        <v>0</v>
      </c>
      <c r="AW54" s="1975">
        <f t="shared" si="38"/>
        <v>0</v>
      </c>
      <c r="AX54" s="1975" t="str">
        <f t="shared" si="39"/>
        <v>42#</v>
      </c>
      <c r="AY54" s="95">
        <f t="shared" si="40"/>
        <v>2957.41</v>
      </c>
      <c r="AZ54" s="87">
        <f t="shared" si="41"/>
        <v>6355.76</v>
      </c>
      <c r="BA54" s="87">
        <f t="shared" si="42"/>
        <v>5755.76</v>
      </c>
      <c r="BB54" s="87">
        <f t="shared" si="43"/>
        <v>0</v>
      </c>
      <c r="BC54" s="87">
        <f t="shared" si="44"/>
        <v>3647.66</v>
      </c>
      <c r="BD54" s="87">
        <f t="shared" si="45"/>
        <v>0</v>
      </c>
      <c r="BE54" s="87">
        <f t="shared" si="46"/>
        <v>2108.1</v>
      </c>
      <c r="BF54" s="87">
        <f t="shared" si="47"/>
        <v>0</v>
      </c>
      <c r="BG54" s="87">
        <f t="shared" si="48"/>
        <v>0</v>
      </c>
      <c r="BH54" s="87">
        <f t="shared" si="49"/>
        <v>0</v>
      </c>
      <c r="BI54" s="87">
        <f t="shared" si="50"/>
        <v>0</v>
      </c>
      <c r="BJ54" s="87">
        <f t="shared" si="51"/>
        <v>0</v>
      </c>
      <c r="BK54" s="87">
        <f t="shared" si="52"/>
        <v>0</v>
      </c>
      <c r="BL54" s="87">
        <f t="shared" si="53"/>
        <v>600</v>
      </c>
      <c r="BM54" s="87">
        <f t="shared" si="54"/>
        <v>0</v>
      </c>
      <c r="BN54" s="87">
        <f t="shared" si="55"/>
        <v>0</v>
      </c>
      <c r="BO54" s="87">
        <f t="shared" si="56"/>
        <v>0</v>
      </c>
      <c r="BP54" s="87">
        <f t="shared" si="57"/>
        <v>0</v>
      </c>
      <c r="BQ54" s="87">
        <f t="shared" si="58"/>
        <v>0</v>
      </c>
      <c r="BR54" s="87">
        <f t="shared" si="59"/>
        <v>600</v>
      </c>
      <c r="BS54" s="87">
        <f t="shared" si="60"/>
        <v>0</v>
      </c>
      <c r="BT54" s="96">
        <f t="shared" si="61"/>
        <v>0</v>
      </c>
    </row>
    <row r="55" spans="1:72">
      <c r="A55" s="84"/>
      <c r="B55" s="1391"/>
      <c r="C55" s="3009" t="s">
        <v>3091</v>
      </c>
      <c r="D55" s="3010" t="s">
        <v>1678</v>
      </c>
      <c r="E55" s="87">
        <f t="shared" si="33"/>
        <v>1969.1</v>
      </c>
      <c r="F55" s="88"/>
      <c r="G55" s="89">
        <f t="shared" si="34"/>
        <v>4231.78</v>
      </c>
      <c r="H55" s="90">
        <f t="shared" si="35"/>
        <v>3831.7799999999997</v>
      </c>
      <c r="I55" s="1390"/>
      <c r="J55" s="91"/>
      <c r="K55" s="1390">
        <f>面积表!G84</f>
        <v>2431.69</v>
      </c>
      <c r="L55" s="91"/>
      <c r="M55" s="1390"/>
      <c r="N55" s="91"/>
      <c r="O55" s="91">
        <f>面积表!E85</f>
        <v>1400.09</v>
      </c>
      <c r="P55" s="91"/>
      <c r="Q55" s="91"/>
      <c r="R55" s="91"/>
      <c r="S55" s="91"/>
      <c r="T55" s="91"/>
      <c r="U55" s="91"/>
      <c r="V55" s="91"/>
      <c r="W55" s="91"/>
      <c r="X55" s="91"/>
      <c r="Y55" s="91"/>
      <c r="Z55" s="91"/>
      <c r="AA55" s="91"/>
      <c r="AB55" s="91"/>
      <c r="AC55" s="87">
        <f t="shared" si="36"/>
        <v>400</v>
      </c>
      <c r="AD55" s="92"/>
      <c r="AE55" s="92"/>
      <c r="AF55" s="1390"/>
      <c r="AG55" s="92"/>
      <c r="AH55" s="92"/>
      <c r="AI55" s="92"/>
      <c r="AJ55" s="92"/>
      <c r="AK55" s="92"/>
      <c r="AL55" s="92"/>
      <c r="AM55" s="92"/>
      <c r="AN55" s="92">
        <f>面积表!E84</f>
        <v>400</v>
      </c>
      <c r="AO55" s="92"/>
      <c r="AP55" s="92"/>
      <c r="AQ55" s="92"/>
      <c r="AR55" s="92"/>
      <c r="AS55" s="92"/>
      <c r="AT55" s="93"/>
      <c r="AU55" s="94"/>
      <c r="AV55" s="1975">
        <f t="shared" si="37"/>
        <v>0</v>
      </c>
      <c r="AW55" s="1975">
        <f t="shared" si="38"/>
        <v>0</v>
      </c>
      <c r="AX55" s="1975" t="str">
        <f t="shared" si="39"/>
        <v>43#</v>
      </c>
      <c r="AY55" s="95">
        <f t="shared" si="40"/>
        <v>1969.1</v>
      </c>
      <c r="AZ55" s="87">
        <f t="shared" si="41"/>
        <v>4231.78</v>
      </c>
      <c r="BA55" s="87">
        <f t="shared" si="42"/>
        <v>3831.7799999999997</v>
      </c>
      <c r="BB55" s="87">
        <f t="shared" si="43"/>
        <v>0</v>
      </c>
      <c r="BC55" s="87">
        <f t="shared" si="44"/>
        <v>2431.69</v>
      </c>
      <c r="BD55" s="87">
        <f t="shared" si="45"/>
        <v>0</v>
      </c>
      <c r="BE55" s="87">
        <f t="shared" si="46"/>
        <v>1400.09</v>
      </c>
      <c r="BF55" s="87">
        <f t="shared" si="47"/>
        <v>0</v>
      </c>
      <c r="BG55" s="87">
        <f t="shared" si="48"/>
        <v>0</v>
      </c>
      <c r="BH55" s="87">
        <f t="shared" si="49"/>
        <v>0</v>
      </c>
      <c r="BI55" s="87">
        <f t="shared" si="50"/>
        <v>0</v>
      </c>
      <c r="BJ55" s="87">
        <f t="shared" si="51"/>
        <v>0</v>
      </c>
      <c r="BK55" s="87">
        <f t="shared" si="52"/>
        <v>0</v>
      </c>
      <c r="BL55" s="87">
        <f t="shared" si="53"/>
        <v>400</v>
      </c>
      <c r="BM55" s="87">
        <f t="shared" si="54"/>
        <v>0</v>
      </c>
      <c r="BN55" s="87">
        <f t="shared" si="55"/>
        <v>0</v>
      </c>
      <c r="BO55" s="87">
        <f t="shared" si="56"/>
        <v>0</v>
      </c>
      <c r="BP55" s="87">
        <f t="shared" si="57"/>
        <v>0</v>
      </c>
      <c r="BQ55" s="87">
        <f t="shared" si="58"/>
        <v>0</v>
      </c>
      <c r="BR55" s="87">
        <f t="shared" si="59"/>
        <v>400</v>
      </c>
      <c r="BS55" s="87">
        <f t="shared" si="60"/>
        <v>0</v>
      </c>
      <c r="BT55" s="96">
        <f t="shared" si="61"/>
        <v>0</v>
      </c>
    </row>
    <row r="56" spans="1:72">
      <c r="A56" s="84"/>
      <c r="B56" s="85"/>
      <c r="C56" s="3009" t="s">
        <v>3092</v>
      </c>
      <c r="D56" s="3010" t="s">
        <v>1678</v>
      </c>
      <c r="E56" s="87">
        <f t="shared" si="33"/>
        <v>1236.51</v>
      </c>
      <c r="F56" s="88"/>
      <c r="G56" s="89">
        <f t="shared" si="34"/>
        <v>2657.38</v>
      </c>
      <c r="H56" s="90">
        <f t="shared" si="35"/>
        <v>2407.38</v>
      </c>
      <c r="I56" s="91"/>
      <c r="J56" s="91"/>
      <c r="K56" s="91">
        <f>面积表!G86</f>
        <v>1529.49</v>
      </c>
      <c r="L56" s="91"/>
      <c r="M56" s="91"/>
      <c r="N56" s="91"/>
      <c r="O56" s="91">
        <f>面积表!E87</f>
        <v>877.89</v>
      </c>
      <c r="P56" s="91"/>
      <c r="Q56" s="91"/>
      <c r="R56" s="91"/>
      <c r="S56" s="91"/>
      <c r="T56" s="91"/>
      <c r="U56" s="91"/>
      <c r="V56" s="91"/>
      <c r="W56" s="91"/>
      <c r="X56" s="91"/>
      <c r="Y56" s="91"/>
      <c r="Z56" s="91"/>
      <c r="AA56" s="91"/>
      <c r="AB56" s="91"/>
      <c r="AC56" s="87">
        <f t="shared" si="36"/>
        <v>250</v>
      </c>
      <c r="AD56" s="92"/>
      <c r="AE56" s="92"/>
      <c r="AF56" s="92"/>
      <c r="AG56" s="92"/>
      <c r="AH56" s="92"/>
      <c r="AI56" s="92"/>
      <c r="AJ56" s="92"/>
      <c r="AK56" s="92"/>
      <c r="AL56" s="92"/>
      <c r="AM56" s="92"/>
      <c r="AN56" s="92">
        <f>面积表!E86</f>
        <v>250</v>
      </c>
      <c r="AO56" s="92"/>
      <c r="AP56" s="92"/>
      <c r="AQ56" s="92"/>
      <c r="AR56" s="92"/>
      <c r="AS56" s="92"/>
      <c r="AT56" s="93"/>
      <c r="AU56" s="94"/>
      <c r="AV56" s="1975">
        <f t="shared" si="37"/>
        <v>0</v>
      </c>
      <c r="AW56" s="1975">
        <f t="shared" si="38"/>
        <v>0</v>
      </c>
      <c r="AX56" s="1975" t="str">
        <f t="shared" si="39"/>
        <v>44#</v>
      </c>
      <c r="AY56" s="95">
        <f t="shared" si="40"/>
        <v>1236.51</v>
      </c>
      <c r="AZ56" s="87">
        <f t="shared" si="41"/>
        <v>2657.38</v>
      </c>
      <c r="BA56" s="87">
        <f t="shared" si="42"/>
        <v>2407.38</v>
      </c>
      <c r="BB56" s="87">
        <f t="shared" si="43"/>
        <v>0</v>
      </c>
      <c r="BC56" s="87">
        <f t="shared" si="44"/>
        <v>1529.49</v>
      </c>
      <c r="BD56" s="87">
        <f t="shared" si="45"/>
        <v>0</v>
      </c>
      <c r="BE56" s="87">
        <f t="shared" si="46"/>
        <v>877.89</v>
      </c>
      <c r="BF56" s="87">
        <f t="shared" si="47"/>
        <v>0</v>
      </c>
      <c r="BG56" s="87">
        <f t="shared" si="48"/>
        <v>0</v>
      </c>
      <c r="BH56" s="87">
        <f t="shared" si="49"/>
        <v>0</v>
      </c>
      <c r="BI56" s="87">
        <f t="shared" si="50"/>
        <v>0</v>
      </c>
      <c r="BJ56" s="87">
        <f t="shared" si="51"/>
        <v>0</v>
      </c>
      <c r="BK56" s="87">
        <f t="shared" si="52"/>
        <v>0</v>
      </c>
      <c r="BL56" s="87">
        <f t="shared" si="53"/>
        <v>250</v>
      </c>
      <c r="BM56" s="87">
        <f t="shared" si="54"/>
        <v>0</v>
      </c>
      <c r="BN56" s="87">
        <f t="shared" si="55"/>
        <v>0</v>
      </c>
      <c r="BO56" s="87">
        <f t="shared" si="56"/>
        <v>0</v>
      </c>
      <c r="BP56" s="87">
        <f t="shared" si="57"/>
        <v>0</v>
      </c>
      <c r="BQ56" s="87">
        <f t="shared" si="58"/>
        <v>0</v>
      </c>
      <c r="BR56" s="87">
        <f t="shared" si="59"/>
        <v>250</v>
      </c>
      <c r="BS56" s="87">
        <f t="shared" si="60"/>
        <v>0</v>
      </c>
      <c r="BT56" s="96">
        <f t="shared" si="61"/>
        <v>0</v>
      </c>
    </row>
    <row r="57" spans="1:72">
      <c r="A57" s="84"/>
      <c r="B57" s="85"/>
      <c r="C57" s="3009" t="s">
        <v>3093</v>
      </c>
      <c r="D57" s="3010" t="s">
        <v>1678</v>
      </c>
      <c r="E57" s="87">
        <f t="shared" si="33"/>
        <v>761.07</v>
      </c>
      <c r="F57" s="88"/>
      <c r="G57" s="89">
        <f t="shared" si="34"/>
        <v>1635.61</v>
      </c>
      <c r="H57" s="90">
        <f t="shared" si="35"/>
        <v>1510.61</v>
      </c>
      <c r="I57" s="91"/>
      <c r="J57" s="91"/>
      <c r="K57" s="91"/>
      <c r="L57" s="91"/>
      <c r="M57" s="3196">
        <f>面积表!G88</f>
        <v>892.68</v>
      </c>
      <c r="N57" s="91"/>
      <c r="O57" s="91">
        <f>面积表!E89</f>
        <v>617.92999999999995</v>
      </c>
      <c r="P57" s="91"/>
      <c r="Q57" s="91"/>
      <c r="R57" s="91"/>
      <c r="S57" s="91"/>
      <c r="T57" s="91"/>
      <c r="U57" s="91"/>
      <c r="V57" s="91"/>
      <c r="W57" s="91"/>
      <c r="X57" s="91"/>
      <c r="Y57" s="91"/>
      <c r="Z57" s="91"/>
      <c r="AA57" s="91"/>
      <c r="AB57" s="91"/>
      <c r="AC57" s="87">
        <f t="shared" si="36"/>
        <v>125</v>
      </c>
      <c r="AD57" s="92"/>
      <c r="AE57" s="92"/>
      <c r="AF57" s="92"/>
      <c r="AG57" s="92"/>
      <c r="AH57" s="92"/>
      <c r="AI57" s="92"/>
      <c r="AJ57" s="92"/>
      <c r="AK57" s="92"/>
      <c r="AL57" s="92"/>
      <c r="AM57" s="92"/>
      <c r="AN57" s="92">
        <f>面积表!E88</f>
        <v>125</v>
      </c>
      <c r="AO57" s="92"/>
      <c r="AP57" s="92"/>
      <c r="AQ57" s="92"/>
      <c r="AR57" s="92"/>
      <c r="AS57" s="92"/>
      <c r="AT57" s="93"/>
      <c r="AU57" s="94"/>
      <c r="AV57" s="1975">
        <f t="shared" si="37"/>
        <v>0</v>
      </c>
      <c r="AW57" s="1975">
        <f t="shared" si="38"/>
        <v>0</v>
      </c>
      <c r="AX57" s="1975" t="str">
        <f t="shared" si="39"/>
        <v>45#</v>
      </c>
      <c r="AY57" s="95">
        <f t="shared" si="40"/>
        <v>761.07</v>
      </c>
      <c r="AZ57" s="87">
        <f t="shared" si="41"/>
        <v>1635.61</v>
      </c>
      <c r="BA57" s="87">
        <f t="shared" si="42"/>
        <v>1510.61</v>
      </c>
      <c r="BB57" s="87">
        <f t="shared" si="43"/>
        <v>0</v>
      </c>
      <c r="BC57" s="87">
        <f t="shared" si="44"/>
        <v>0</v>
      </c>
      <c r="BD57" s="87">
        <f t="shared" si="45"/>
        <v>892.68</v>
      </c>
      <c r="BE57" s="87">
        <f t="shared" si="46"/>
        <v>617.92999999999995</v>
      </c>
      <c r="BF57" s="87">
        <f t="shared" si="47"/>
        <v>0</v>
      </c>
      <c r="BG57" s="87">
        <f t="shared" si="48"/>
        <v>0</v>
      </c>
      <c r="BH57" s="87">
        <f t="shared" si="49"/>
        <v>0</v>
      </c>
      <c r="BI57" s="87">
        <f t="shared" si="50"/>
        <v>0</v>
      </c>
      <c r="BJ57" s="87">
        <f t="shared" si="51"/>
        <v>0</v>
      </c>
      <c r="BK57" s="87">
        <f t="shared" si="52"/>
        <v>0</v>
      </c>
      <c r="BL57" s="87">
        <f t="shared" si="53"/>
        <v>125</v>
      </c>
      <c r="BM57" s="87">
        <f t="shared" si="54"/>
        <v>0</v>
      </c>
      <c r="BN57" s="87">
        <f t="shared" si="55"/>
        <v>0</v>
      </c>
      <c r="BO57" s="87">
        <f t="shared" si="56"/>
        <v>0</v>
      </c>
      <c r="BP57" s="87">
        <f t="shared" si="57"/>
        <v>0</v>
      </c>
      <c r="BQ57" s="87">
        <f t="shared" si="58"/>
        <v>0</v>
      </c>
      <c r="BR57" s="87">
        <f t="shared" si="59"/>
        <v>125</v>
      </c>
      <c r="BS57" s="87">
        <f t="shared" si="60"/>
        <v>0</v>
      </c>
      <c r="BT57" s="96">
        <f t="shared" si="61"/>
        <v>0</v>
      </c>
    </row>
    <row r="58" spans="1:72">
      <c r="A58" s="84"/>
      <c r="B58" s="85"/>
      <c r="C58" s="3009" t="s">
        <v>3094</v>
      </c>
      <c r="D58" s="3010" t="s">
        <v>1678</v>
      </c>
      <c r="E58" s="87">
        <f t="shared" si="33"/>
        <v>1496.69</v>
      </c>
      <c r="F58" s="88"/>
      <c r="G58" s="89">
        <f t="shared" si="34"/>
        <v>3216.52</v>
      </c>
      <c r="H58" s="90">
        <f t="shared" si="35"/>
        <v>2966.52</v>
      </c>
      <c r="I58" s="91"/>
      <c r="J58" s="91"/>
      <c r="K58" s="91"/>
      <c r="L58" s="91"/>
      <c r="M58" s="91">
        <f>面积表!G90</f>
        <v>1762.84</v>
      </c>
      <c r="N58" s="91"/>
      <c r="O58" s="91">
        <f>面积表!E91</f>
        <v>1203.68</v>
      </c>
      <c r="P58" s="91"/>
      <c r="Q58" s="91"/>
      <c r="R58" s="91"/>
      <c r="S58" s="91"/>
      <c r="T58" s="91"/>
      <c r="U58" s="91"/>
      <c r="V58" s="91"/>
      <c r="W58" s="91"/>
      <c r="X58" s="91"/>
      <c r="Y58" s="91"/>
      <c r="Z58" s="91"/>
      <c r="AA58" s="91"/>
      <c r="AB58" s="91"/>
      <c r="AC58" s="87">
        <f t="shared" si="36"/>
        <v>250</v>
      </c>
      <c r="AD58" s="92"/>
      <c r="AE58" s="92"/>
      <c r="AF58" s="92"/>
      <c r="AG58" s="92"/>
      <c r="AH58" s="92"/>
      <c r="AI58" s="92"/>
      <c r="AJ58" s="92"/>
      <c r="AK58" s="92"/>
      <c r="AL58" s="92"/>
      <c r="AM58" s="92"/>
      <c r="AN58" s="92">
        <f>面积表!E90</f>
        <v>250</v>
      </c>
      <c r="AO58" s="92"/>
      <c r="AP58" s="92"/>
      <c r="AQ58" s="92"/>
      <c r="AR58" s="92"/>
      <c r="AS58" s="92"/>
      <c r="AT58" s="93"/>
      <c r="AU58" s="94"/>
      <c r="AV58" s="1975">
        <f t="shared" si="37"/>
        <v>0</v>
      </c>
      <c r="AW58" s="1975">
        <f t="shared" si="38"/>
        <v>0</v>
      </c>
      <c r="AX58" s="1975" t="str">
        <f t="shared" si="39"/>
        <v>46#</v>
      </c>
      <c r="AY58" s="95">
        <f t="shared" si="40"/>
        <v>1496.69</v>
      </c>
      <c r="AZ58" s="87">
        <f t="shared" si="41"/>
        <v>3216.52</v>
      </c>
      <c r="BA58" s="87">
        <f t="shared" si="42"/>
        <v>2966.52</v>
      </c>
      <c r="BB58" s="87">
        <f t="shared" si="43"/>
        <v>0</v>
      </c>
      <c r="BC58" s="87">
        <f t="shared" si="44"/>
        <v>0</v>
      </c>
      <c r="BD58" s="87">
        <f t="shared" si="45"/>
        <v>1762.84</v>
      </c>
      <c r="BE58" s="87">
        <f t="shared" si="46"/>
        <v>1203.68</v>
      </c>
      <c r="BF58" s="87">
        <f t="shared" si="47"/>
        <v>0</v>
      </c>
      <c r="BG58" s="87">
        <f t="shared" si="48"/>
        <v>0</v>
      </c>
      <c r="BH58" s="87">
        <f t="shared" si="49"/>
        <v>0</v>
      </c>
      <c r="BI58" s="87">
        <f t="shared" si="50"/>
        <v>0</v>
      </c>
      <c r="BJ58" s="87">
        <f t="shared" si="51"/>
        <v>0</v>
      </c>
      <c r="BK58" s="87">
        <f t="shared" si="52"/>
        <v>0</v>
      </c>
      <c r="BL58" s="87">
        <f t="shared" si="53"/>
        <v>250</v>
      </c>
      <c r="BM58" s="87">
        <f t="shared" si="54"/>
        <v>0</v>
      </c>
      <c r="BN58" s="87">
        <f t="shared" si="55"/>
        <v>0</v>
      </c>
      <c r="BO58" s="87">
        <f t="shared" si="56"/>
        <v>0</v>
      </c>
      <c r="BP58" s="87">
        <f t="shared" si="57"/>
        <v>0</v>
      </c>
      <c r="BQ58" s="87">
        <f t="shared" si="58"/>
        <v>0</v>
      </c>
      <c r="BR58" s="87">
        <f t="shared" si="59"/>
        <v>250</v>
      </c>
      <c r="BS58" s="87">
        <f t="shared" si="60"/>
        <v>0</v>
      </c>
      <c r="BT58" s="96">
        <f t="shared" si="61"/>
        <v>0</v>
      </c>
    </row>
    <row r="59" spans="1:72">
      <c r="A59" s="84"/>
      <c r="B59" s="85"/>
      <c r="C59" s="3009" t="s">
        <v>3095</v>
      </c>
      <c r="D59" s="3010" t="s">
        <v>1678</v>
      </c>
      <c r="E59" s="87">
        <f t="shared" si="33"/>
        <v>1497.25</v>
      </c>
      <c r="F59" s="88"/>
      <c r="G59" s="89">
        <f t="shared" si="34"/>
        <v>3217.73</v>
      </c>
      <c r="H59" s="90">
        <f t="shared" si="35"/>
        <v>2967.73</v>
      </c>
      <c r="I59" s="91"/>
      <c r="J59" s="91"/>
      <c r="K59" s="91"/>
      <c r="L59" s="91"/>
      <c r="M59" s="91">
        <f>面积表!G92</f>
        <v>1762.84</v>
      </c>
      <c r="N59" s="91"/>
      <c r="O59" s="91">
        <f>面积表!E93</f>
        <v>1204.8900000000001</v>
      </c>
      <c r="P59" s="91"/>
      <c r="Q59" s="91"/>
      <c r="R59" s="91"/>
      <c r="S59" s="91"/>
      <c r="T59" s="91"/>
      <c r="U59" s="91"/>
      <c r="V59" s="91"/>
      <c r="W59" s="91"/>
      <c r="X59" s="91"/>
      <c r="Y59" s="91"/>
      <c r="Z59" s="91"/>
      <c r="AA59" s="91"/>
      <c r="AB59" s="91"/>
      <c r="AC59" s="87">
        <f t="shared" si="36"/>
        <v>250</v>
      </c>
      <c r="AD59" s="92"/>
      <c r="AE59" s="92"/>
      <c r="AF59" s="92"/>
      <c r="AG59" s="92"/>
      <c r="AH59" s="92"/>
      <c r="AI59" s="92"/>
      <c r="AJ59" s="92"/>
      <c r="AK59" s="92"/>
      <c r="AL59" s="92"/>
      <c r="AM59" s="92"/>
      <c r="AN59" s="92">
        <f>面积表!E92</f>
        <v>250</v>
      </c>
      <c r="AO59" s="92"/>
      <c r="AP59" s="92"/>
      <c r="AQ59" s="92"/>
      <c r="AR59" s="92"/>
      <c r="AS59" s="92"/>
      <c r="AT59" s="93"/>
      <c r="AU59" s="94"/>
      <c r="AV59" s="1975">
        <f t="shared" si="37"/>
        <v>0</v>
      </c>
      <c r="AW59" s="1975">
        <f t="shared" si="38"/>
        <v>0</v>
      </c>
      <c r="AX59" s="1975" t="str">
        <f t="shared" si="39"/>
        <v>47#</v>
      </c>
      <c r="AY59" s="95">
        <f t="shared" si="40"/>
        <v>1497.25</v>
      </c>
      <c r="AZ59" s="87">
        <f t="shared" si="41"/>
        <v>3217.73</v>
      </c>
      <c r="BA59" s="87">
        <f t="shared" si="42"/>
        <v>2967.73</v>
      </c>
      <c r="BB59" s="87">
        <f t="shared" si="43"/>
        <v>0</v>
      </c>
      <c r="BC59" s="87">
        <f t="shared" si="44"/>
        <v>0</v>
      </c>
      <c r="BD59" s="87">
        <f t="shared" si="45"/>
        <v>1762.84</v>
      </c>
      <c r="BE59" s="87">
        <f t="shared" si="46"/>
        <v>1204.8900000000001</v>
      </c>
      <c r="BF59" s="87">
        <f t="shared" si="47"/>
        <v>0</v>
      </c>
      <c r="BG59" s="87">
        <f t="shared" si="48"/>
        <v>0</v>
      </c>
      <c r="BH59" s="87">
        <f t="shared" si="49"/>
        <v>0</v>
      </c>
      <c r="BI59" s="87">
        <f t="shared" si="50"/>
        <v>0</v>
      </c>
      <c r="BJ59" s="87">
        <f t="shared" si="51"/>
        <v>0</v>
      </c>
      <c r="BK59" s="87">
        <f t="shared" si="52"/>
        <v>0</v>
      </c>
      <c r="BL59" s="87">
        <f t="shared" si="53"/>
        <v>250</v>
      </c>
      <c r="BM59" s="87">
        <f t="shared" si="54"/>
        <v>0</v>
      </c>
      <c r="BN59" s="87">
        <f t="shared" si="55"/>
        <v>0</v>
      </c>
      <c r="BO59" s="87">
        <f t="shared" si="56"/>
        <v>0</v>
      </c>
      <c r="BP59" s="87">
        <f t="shared" si="57"/>
        <v>0</v>
      </c>
      <c r="BQ59" s="87">
        <f t="shared" si="58"/>
        <v>0</v>
      </c>
      <c r="BR59" s="87">
        <f t="shared" si="59"/>
        <v>250</v>
      </c>
      <c r="BS59" s="87">
        <f t="shared" si="60"/>
        <v>0</v>
      </c>
      <c r="BT59" s="96">
        <f t="shared" si="61"/>
        <v>0</v>
      </c>
    </row>
    <row r="60" spans="1:72">
      <c r="A60" s="84"/>
      <c r="B60" s="85"/>
      <c r="C60" s="3009" t="s">
        <v>3096</v>
      </c>
      <c r="D60" s="3010" t="s">
        <v>1678</v>
      </c>
      <c r="E60" s="87">
        <f t="shared" si="33"/>
        <v>1504.22</v>
      </c>
      <c r="F60" s="88"/>
      <c r="G60" s="89">
        <f t="shared" si="34"/>
        <v>3232.7200000000003</v>
      </c>
      <c r="H60" s="90">
        <f t="shared" si="35"/>
        <v>2982.7200000000003</v>
      </c>
      <c r="I60" s="91"/>
      <c r="J60" s="91"/>
      <c r="K60" s="91"/>
      <c r="L60" s="91"/>
      <c r="M60" s="91">
        <f>面积表!G94</f>
        <v>1762.84</v>
      </c>
      <c r="N60" s="91"/>
      <c r="O60" s="91">
        <f>面积表!E95</f>
        <v>1219.8800000000001</v>
      </c>
      <c r="P60" s="91"/>
      <c r="Q60" s="91"/>
      <c r="R60" s="91"/>
      <c r="S60" s="91"/>
      <c r="T60" s="91"/>
      <c r="U60" s="91"/>
      <c r="V60" s="91"/>
      <c r="W60" s="91"/>
      <c r="X60" s="91"/>
      <c r="Y60" s="91"/>
      <c r="Z60" s="91"/>
      <c r="AA60" s="91"/>
      <c r="AB60" s="91"/>
      <c r="AC60" s="87">
        <f t="shared" si="36"/>
        <v>250</v>
      </c>
      <c r="AD60" s="92"/>
      <c r="AE60" s="92"/>
      <c r="AF60" s="92"/>
      <c r="AG60" s="92"/>
      <c r="AH60" s="92"/>
      <c r="AI60" s="92"/>
      <c r="AJ60" s="92"/>
      <c r="AK60" s="92"/>
      <c r="AL60" s="92"/>
      <c r="AM60" s="92"/>
      <c r="AN60" s="92">
        <f>面积表!E94</f>
        <v>250</v>
      </c>
      <c r="AO60" s="92"/>
      <c r="AP60" s="92"/>
      <c r="AQ60" s="92"/>
      <c r="AR60" s="92"/>
      <c r="AS60" s="92"/>
      <c r="AT60" s="93"/>
      <c r="AU60" s="94"/>
      <c r="AV60" s="1975">
        <f t="shared" si="37"/>
        <v>0</v>
      </c>
      <c r="AW60" s="1975">
        <f t="shared" si="38"/>
        <v>0</v>
      </c>
      <c r="AX60" s="1975" t="str">
        <f t="shared" si="39"/>
        <v>48#</v>
      </c>
      <c r="AY60" s="95">
        <f t="shared" si="40"/>
        <v>1504.22</v>
      </c>
      <c r="AZ60" s="87">
        <f t="shared" si="41"/>
        <v>3232.7200000000003</v>
      </c>
      <c r="BA60" s="87">
        <f t="shared" si="42"/>
        <v>2982.7200000000003</v>
      </c>
      <c r="BB60" s="87">
        <f t="shared" si="43"/>
        <v>0</v>
      </c>
      <c r="BC60" s="87">
        <f t="shared" si="44"/>
        <v>0</v>
      </c>
      <c r="BD60" s="87">
        <f t="shared" si="45"/>
        <v>1762.84</v>
      </c>
      <c r="BE60" s="87">
        <f t="shared" si="46"/>
        <v>1219.8800000000001</v>
      </c>
      <c r="BF60" s="87">
        <f t="shared" si="47"/>
        <v>0</v>
      </c>
      <c r="BG60" s="87">
        <f t="shared" si="48"/>
        <v>0</v>
      </c>
      <c r="BH60" s="87">
        <f t="shared" si="49"/>
        <v>0</v>
      </c>
      <c r="BI60" s="87">
        <f t="shared" si="50"/>
        <v>0</v>
      </c>
      <c r="BJ60" s="87">
        <f t="shared" si="51"/>
        <v>0</v>
      </c>
      <c r="BK60" s="87">
        <f t="shared" si="52"/>
        <v>0</v>
      </c>
      <c r="BL60" s="87">
        <f t="shared" si="53"/>
        <v>250</v>
      </c>
      <c r="BM60" s="87">
        <f t="shared" si="54"/>
        <v>0</v>
      </c>
      <c r="BN60" s="87">
        <f t="shared" si="55"/>
        <v>0</v>
      </c>
      <c r="BO60" s="87">
        <f t="shared" si="56"/>
        <v>0</v>
      </c>
      <c r="BP60" s="87">
        <f t="shared" si="57"/>
        <v>0</v>
      </c>
      <c r="BQ60" s="87">
        <f t="shared" si="58"/>
        <v>0</v>
      </c>
      <c r="BR60" s="87">
        <f t="shared" si="59"/>
        <v>250</v>
      </c>
      <c r="BS60" s="87">
        <f t="shared" si="60"/>
        <v>0</v>
      </c>
      <c r="BT60" s="96">
        <f t="shared" si="61"/>
        <v>0</v>
      </c>
    </row>
    <row r="61" spans="1:72">
      <c r="A61" s="84"/>
      <c r="B61" s="85"/>
      <c r="C61" s="3009" t="s">
        <v>3097</v>
      </c>
      <c r="D61" s="3010" t="s">
        <v>1678</v>
      </c>
      <c r="E61" s="87">
        <f t="shared" si="33"/>
        <v>1504.22</v>
      </c>
      <c r="F61" s="88"/>
      <c r="G61" s="89">
        <f t="shared" si="34"/>
        <v>3232.7200000000003</v>
      </c>
      <c r="H61" s="90">
        <f t="shared" si="35"/>
        <v>2982.7200000000003</v>
      </c>
      <c r="I61" s="91"/>
      <c r="J61" s="91"/>
      <c r="K61" s="91"/>
      <c r="L61" s="91"/>
      <c r="M61" s="91">
        <f>面积表!G96</f>
        <v>1762.84</v>
      </c>
      <c r="N61" s="91"/>
      <c r="O61" s="91">
        <f>面积表!E97</f>
        <v>1219.8800000000001</v>
      </c>
      <c r="P61" s="91"/>
      <c r="Q61" s="91"/>
      <c r="R61" s="91"/>
      <c r="S61" s="91"/>
      <c r="T61" s="91"/>
      <c r="U61" s="91"/>
      <c r="V61" s="91"/>
      <c r="W61" s="91"/>
      <c r="X61" s="91"/>
      <c r="Y61" s="91"/>
      <c r="Z61" s="91"/>
      <c r="AA61" s="91"/>
      <c r="AB61" s="91"/>
      <c r="AC61" s="87">
        <f t="shared" si="36"/>
        <v>250</v>
      </c>
      <c r="AD61" s="92"/>
      <c r="AE61" s="92"/>
      <c r="AF61" s="92"/>
      <c r="AG61" s="92"/>
      <c r="AH61" s="92"/>
      <c r="AI61" s="92"/>
      <c r="AJ61" s="92"/>
      <c r="AK61" s="92"/>
      <c r="AL61" s="92"/>
      <c r="AM61" s="92"/>
      <c r="AN61" s="92">
        <f>面积表!E96</f>
        <v>250</v>
      </c>
      <c r="AO61" s="92"/>
      <c r="AP61" s="92"/>
      <c r="AQ61" s="92"/>
      <c r="AR61" s="92"/>
      <c r="AS61" s="92"/>
      <c r="AT61" s="93"/>
      <c r="AU61" s="94"/>
      <c r="AV61" s="1975">
        <f t="shared" si="37"/>
        <v>0</v>
      </c>
      <c r="AW61" s="1975">
        <f t="shared" si="38"/>
        <v>0</v>
      </c>
      <c r="AX61" s="1975" t="str">
        <f t="shared" si="39"/>
        <v>49#</v>
      </c>
      <c r="AY61" s="95">
        <f t="shared" si="40"/>
        <v>1504.22</v>
      </c>
      <c r="AZ61" s="87">
        <f t="shared" si="41"/>
        <v>3232.7200000000003</v>
      </c>
      <c r="BA61" s="87">
        <f t="shared" si="42"/>
        <v>2982.7200000000003</v>
      </c>
      <c r="BB61" s="87">
        <f t="shared" si="43"/>
        <v>0</v>
      </c>
      <c r="BC61" s="87">
        <f t="shared" si="44"/>
        <v>0</v>
      </c>
      <c r="BD61" s="87">
        <f t="shared" si="45"/>
        <v>1762.84</v>
      </c>
      <c r="BE61" s="87">
        <f t="shared" si="46"/>
        <v>1219.8800000000001</v>
      </c>
      <c r="BF61" s="87">
        <f t="shared" si="47"/>
        <v>0</v>
      </c>
      <c r="BG61" s="87">
        <f t="shared" si="48"/>
        <v>0</v>
      </c>
      <c r="BH61" s="87">
        <f t="shared" si="49"/>
        <v>0</v>
      </c>
      <c r="BI61" s="87">
        <f t="shared" si="50"/>
        <v>0</v>
      </c>
      <c r="BJ61" s="87">
        <f t="shared" si="51"/>
        <v>0</v>
      </c>
      <c r="BK61" s="87">
        <f t="shared" si="52"/>
        <v>0</v>
      </c>
      <c r="BL61" s="87">
        <f t="shared" si="53"/>
        <v>250</v>
      </c>
      <c r="BM61" s="87">
        <f t="shared" si="54"/>
        <v>0</v>
      </c>
      <c r="BN61" s="87">
        <f t="shared" si="55"/>
        <v>0</v>
      </c>
      <c r="BO61" s="87">
        <f t="shared" si="56"/>
        <v>0</v>
      </c>
      <c r="BP61" s="87">
        <f t="shared" si="57"/>
        <v>0</v>
      </c>
      <c r="BQ61" s="87">
        <f t="shared" si="58"/>
        <v>0</v>
      </c>
      <c r="BR61" s="87">
        <f t="shared" si="59"/>
        <v>250</v>
      </c>
      <c r="BS61" s="87">
        <f t="shared" si="60"/>
        <v>0</v>
      </c>
      <c r="BT61" s="96">
        <f t="shared" si="61"/>
        <v>0</v>
      </c>
    </row>
    <row r="62" spans="1:72">
      <c r="A62" s="84"/>
      <c r="B62" s="85"/>
      <c r="C62" s="3009" t="s">
        <v>3098</v>
      </c>
      <c r="D62" s="3010" t="s">
        <v>1678</v>
      </c>
      <c r="E62" s="87">
        <f t="shared" si="33"/>
        <v>1497.25</v>
      </c>
      <c r="F62" s="88"/>
      <c r="G62" s="89">
        <f t="shared" si="34"/>
        <v>3217.73</v>
      </c>
      <c r="H62" s="90">
        <f t="shared" si="35"/>
        <v>2967.73</v>
      </c>
      <c r="I62" s="91"/>
      <c r="J62" s="91"/>
      <c r="K62" s="91"/>
      <c r="L62" s="91"/>
      <c r="M62" s="91">
        <f>面积表!G98</f>
        <v>1762.84</v>
      </c>
      <c r="N62" s="91"/>
      <c r="O62" s="91">
        <f>面积表!E99</f>
        <v>1204.8900000000001</v>
      </c>
      <c r="P62" s="91"/>
      <c r="Q62" s="91"/>
      <c r="R62" s="91"/>
      <c r="S62" s="91"/>
      <c r="T62" s="91"/>
      <c r="U62" s="91"/>
      <c r="V62" s="91"/>
      <c r="W62" s="91"/>
      <c r="X62" s="91"/>
      <c r="Y62" s="91"/>
      <c r="Z62" s="91"/>
      <c r="AA62" s="91"/>
      <c r="AB62" s="91"/>
      <c r="AC62" s="87">
        <f t="shared" si="36"/>
        <v>250</v>
      </c>
      <c r="AD62" s="92"/>
      <c r="AE62" s="92"/>
      <c r="AF62" s="92"/>
      <c r="AG62" s="92"/>
      <c r="AH62" s="92"/>
      <c r="AI62" s="92"/>
      <c r="AJ62" s="92"/>
      <c r="AK62" s="92"/>
      <c r="AL62" s="92"/>
      <c r="AM62" s="92"/>
      <c r="AN62" s="92">
        <f>面积表!E98</f>
        <v>250</v>
      </c>
      <c r="AO62" s="92"/>
      <c r="AP62" s="92"/>
      <c r="AQ62" s="92"/>
      <c r="AR62" s="92"/>
      <c r="AS62" s="92"/>
      <c r="AT62" s="93"/>
      <c r="AU62" s="94"/>
      <c r="AV62" s="1975">
        <f t="shared" si="37"/>
        <v>0</v>
      </c>
      <c r="AW62" s="1975">
        <f t="shared" si="38"/>
        <v>0</v>
      </c>
      <c r="AX62" s="1975" t="str">
        <f t="shared" si="39"/>
        <v>50#</v>
      </c>
      <c r="AY62" s="95">
        <f t="shared" si="40"/>
        <v>1497.25</v>
      </c>
      <c r="AZ62" s="87">
        <f t="shared" si="41"/>
        <v>3217.73</v>
      </c>
      <c r="BA62" s="87">
        <f t="shared" si="42"/>
        <v>2967.73</v>
      </c>
      <c r="BB62" s="87">
        <f t="shared" si="43"/>
        <v>0</v>
      </c>
      <c r="BC62" s="87">
        <f t="shared" si="44"/>
        <v>0</v>
      </c>
      <c r="BD62" s="87">
        <f t="shared" si="45"/>
        <v>1762.84</v>
      </c>
      <c r="BE62" s="87">
        <f t="shared" si="46"/>
        <v>1204.8900000000001</v>
      </c>
      <c r="BF62" s="87">
        <f t="shared" si="47"/>
        <v>0</v>
      </c>
      <c r="BG62" s="87">
        <f t="shared" si="48"/>
        <v>0</v>
      </c>
      <c r="BH62" s="87">
        <f t="shared" si="49"/>
        <v>0</v>
      </c>
      <c r="BI62" s="87">
        <f t="shared" si="50"/>
        <v>0</v>
      </c>
      <c r="BJ62" s="87">
        <f t="shared" si="51"/>
        <v>0</v>
      </c>
      <c r="BK62" s="87">
        <f t="shared" si="52"/>
        <v>0</v>
      </c>
      <c r="BL62" s="87">
        <f t="shared" si="53"/>
        <v>250</v>
      </c>
      <c r="BM62" s="87">
        <f t="shared" si="54"/>
        <v>0</v>
      </c>
      <c r="BN62" s="87">
        <f t="shared" si="55"/>
        <v>0</v>
      </c>
      <c r="BO62" s="87">
        <f t="shared" si="56"/>
        <v>0</v>
      </c>
      <c r="BP62" s="87">
        <f t="shared" si="57"/>
        <v>0</v>
      </c>
      <c r="BQ62" s="87">
        <f t="shared" si="58"/>
        <v>0</v>
      </c>
      <c r="BR62" s="87">
        <f t="shared" si="59"/>
        <v>250</v>
      </c>
      <c r="BS62" s="87">
        <f t="shared" si="60"/>
        <v>0</v>
      </c>
      <c r="BT62" s="96">
        <f t="shared" si="61"/>
        <v>0</v>
      </c>
    </row>
    <row r="63" spans="1:72">
      <c r="A63" s="84"/>
      <c r="B63" s="85"/>
      <c r="C63" s="3009" t="s">
        <v>3099</v>
      </c>
      <c r="D63" s="3010" t="s">
        <v>1678</v>
      </c>
      <c r="E63" s="87">
        <f t="shared" si="33"/>
        <v>900.12</v>
      </c>
      <c r="F63" s="88"/>
      <c r="G63" s="89">
        <f t="shared" si="34"/>
        <v>1934.44</v>
      </c>
      <c r="H63" s="90">
        <f t="shared" si="35"/>
        <v>1784.44</v>
      </c>
      <c r="I63" s="91"/>
      <c r="J63" s="91"/>
      <c r="K63" s="91"/>
      <c r="L63" s="91"/>
      <c r="M63" s="91">
        <f>面积表!G100</f>
        <v>1059.8800000000001</v>
      </c>
      <c r="N63" s="91"/>
      <c r="O63" s="91">
        <f>面积表!E101</f>
        <v>724.56</v>
      </c>
      <c r="P63" s="91"/>
      <c r="Q63" s="91"/>
      <c r="R63" s="91"/>
      <c r="S63" s="91"/>
      <c r="T63" s="91"/>
      <c r="U63" s="91"/>
      <c r="V63" s="91"/>
      <c r="W63" s="91"/>
      <c r="X63" s="91"/>
      <c r="Y63" s="91"/>
      <c r="Z63" s="91"/>
      <c r="AA63" s="91"/>
      <c r="AB63" s="91"/>
      <c r="AC63" s="87">
        <f t="shared" si="36"/>
        <v>150</v>
      </c>
      <c r="AD63" s="92"/>
      <c r="AE63" s="92"/>
      <c r="AF63" s="92"/>
      <c r="AG63" s="92"/>
      <c r="AH63" s="92"/>
      <c r="AI63" s="92"/>
      <c r="AJ63" s="92"/>
      <c r="AK63" s="92"/>
      <c r="AL63" s="92"/>
      <c r="AM63" s="92"/>
      <c r="AN63" s="92">
        <f>面积表!E100</f>
        <v>150</v>
      </c>
      <c r="AO63" s="92"/>
      <c r="AP63" s="92"/>
      <c r="AQ63" s="92"/>
      <c r="AR63" s="92"/>
      <c r="AS63" s="92"/>
      <c r="AT63" s="93"/>
      <c r="AU63" s="94"/>
      <c r="AV63" s="1975">
        <f t="shared" si="37"/>
        <v>0</v>
      </c>
      <c r="AW63" s="1975">
        <f t="shared" si="38"/>
        <v>0</v>
      </c>
      <c r="AX63" s="1975" t="str">
        <f t="shared" si="39"/>
        <v>51#</v>
      </c>
      <c r="AY63" s="95">
        <f t="shared" si="40"/>
        <v>900.12</v>
      </c>
      <c r="AZ63" s="87">
        <f t="shared" si="41"/>
        <v>1934.44</v>
      </c>
      <c r="BA63" s="87">
        <f t="shared" si="42"/>
        <v>1784.44</v>
      </c>
      <c r="BB63" s="87">
        <f t="shared" si="43"/>
        <v>0</v>
      </c>
      <c r="BC63" s="87">
        <f t="shared" si="44"/>
        <v>0</v>
      </c>
      <c r="BD63" s="87">
        <f t="shared" si="45"/>
        <v>1059.8800000000001</v>
      </c>
      <c r="BE63" s="87">
        <f t="shared" si="46"/>
        <v>724.56</v>
      </c>
      <c r="BF63" s="87">
        <f t="shared" si="47"/>
        <v>0</v>
      </c>
      <c r="BG63" s="87">
        <f t="shared" si="48"/>
        <v>0</v>
      </c>
      <c r="BH63" s="87">
        <f t="shared" si="49"/>
        <v>0</v>
      </c>
      <c r="BI63" s="87">
        <f t="shared" si="50"/>
        <v>0</v>
      </c>
      <c r="BJ63" s="87">
        <f t="shared" si="51"/>
        <v>0</v>
      </c>
      <c r="BK63" s="87">
        <f t="shared" si="52"/>
        <v>0</v>
      </c>
      <c r="BL63" s="87">
        <f t="shared" si="53"/>
        <v>150</v>
      </c>
      <c r="BM63" s="87">
        <f t="shared" si="54"/>
        <v>0</v>
      </c>
      <c r="BN63" s="87">
        <f t="shared" si="55"/>
        <v>0</v>
      </c>
      <c r="BO63" s="87">
        <f t="shared" si="56"/>
        <v>0</v>
      </c>
      <c r="BP63" s="87">
        <f t="shared" si="57"/>
        <v>0</v>
      </c>
      <c r="BQ63" s="87">
        <f t="shared" si="58"/>
        <v>0</v>
      </c>
      <c r="BR63" s="87">
        <f t="shared" si="59"/>
        <v>150</v>
      </c>
      <c r="BS63" s="87">
        <f t="shared" si="60"/>
        <v>0</v>
      </c>
      <c r="BT63" s="96">
        <f t="shared" si="61"/>
        <v>0</v>
      </c>
    </row>
    <row r="64" spans="1:72">
      <c r="A64" s="84"/>
      <c r="B64" s="85"/>
      <c r="C64" s="3009" t="s">
        <v>3100</v>
      </c>
      <c r="D64" s="3010" t="s">
        <v>1678</v>
      </c>
      <c r="E64" s="87">
        <f t="shared" si="33"/>
        <v>900.12</v>
      </c>
      <c r="F64" s="88"/>
      <c r="G64" s="89">
        <f t="shared" si="34"/>
        <v>1934.44</v>
      </c>
      <c r="H64" s="90">
        <f t="shared" si="35"/>
        <v>1784.44</v>
      </c>
      <c r="I64" s="91"/>
      <c r="J64" s="91"/>
      <c r="K64" s="91"/>
      <c r="L64" s="91"/>
      <c r="M64" s="91">
        <f>面积表!G102</f>
        <v>1059.8800000000001</v>
      </c>
      <c r="N64" s="91"/>
      <c r="O64" s="91">
        <f>面积表!E103</f>
        <v>724.56</v>
      </c>
      <c r="P64" s="91"/>
      <c r="Q64" s="91"/>
      <c r="R64" s="91"/>
      <c r="S64" s="91"/>
      <c r="T64" s="91"/>
      <c r="U64" s="91"/>
      <c r="V64" s="91"/>
      <c r="W64" s="91"/>
      <c r="X64" s="91"/>
      <c r="Y64" s="91"/>
      <c r="Z64" s="91"/>
      <c r="AA64" s="91"/>
      <c r="AB64" s="91"/>
      <c r="AC64" s="87">
        <f t="shared" si="36"/>
        <v>150</v>
      </c>
      <c r="AD64" s="92"/>
      <c r="AE64" s="92"/>
      <c r="AF64" s="92"/>
      <c r="AG64" s="92"/>
      <c r="AH64" s="92"/>
      <c r="AI64" s="92"/>
      <c r="AJ64" s="92"/>
      <c r="AK64" s="92"/>
      <c r="AL64" s="92"/>
      <c r="AM64" s="92"/>
      <c r="AN64" s="92">
        <f>面积表!E102</f>
        <v>150</v>
      </c>
      <c r="AO64" s="92"/>
      <c r="AP64" s="92"/>
      <c r="AQ64" s="92"/>
      <c r="AR64" s="92"/>
      <c r="AS64" s="92"/>
      <c r="AT64" s="93"/>
      <c r="AU64" s="94"/>
      <c r="AV64" s="1975">
        <f t="shared" si="37"/>
        <v>0</v>
      </c>
      <c r="AW64" s="1975">
        <f t="shared" si="38"/>
        <v>0</v>
      </c>
      <c r="AX64" s="1975" t="str">
        <f t="shared" si="39"/>
        <v>52#</v>
      </c>
      <c r="AY64" s="95">
        <f t="shared" si="40"/>
        <v>900.12</v>
      </c>
      <c r="AZ64" s="87">
        <f t="shared" si="41"/>
        <v>1934.44</v>
      </c>
      <c r="BA64" s="87">
        <f t="shared" si="42"/>
        <v>1784.44</v>
      </c>
      <c r="BB64" s="87">
        <f t="shared" si="43"/>
        <v>0</v>
      </c>
      <c r="BC64" s="87">
        <f t="shared" si="44"/>
        <v>0</v>
      </c>
      <c r="BD64" s="87">
        <f t="shared" si="45"/>
        <v>1059.8800000000001</v>
      </c>
      <c r="BE64" s="87">
        <f t="shared" si="46"/>
        <v>724.56</v>
      </c>
      <c r="BF64" s="87">
        <f t="shared" si="47"/>
        <v>0</v>
      </c>
      <c r="BG64" s="87">
        <f t="shared" si="48"/>
        <v>0</v>
      </c>
      <c r="BH64" s="87">
        <f t="shared" si="49"/>
        <v>0</v>
      </c>
      <c r="BI64" s="87">
        <f t="shared" si="50"/>
        <v>0</v>
      </c>
      <c r="BJ64" s="87">
        <f t="shared" si="51"/>
        <v>0</v>
      </c>
      <c r="BK64" s="87">
        <f t="shared" si="52"/>
        <v>0</v>
      </c>
      <c r="BL64" s="87">
        <f t="shared" si="53"/>
        <v>150</v>
      </c>
      <c r="BM64" s="87">
        <f t="shared" si="54"/>
        <v>0</v>
      </c>
      <c r="BN64" s="87">
        <f t="shared" si="55"/>
        <v>0</v>
      </c>
      <c r="BO64" s="87">
        <f t="shared" si="56"/>
        <v>0</v>
      </c>
      <c r="BP64" s="87">
        <f t="shared" si="57"/>
        <v>0</v>
      </c>
      <c r="BQ64" s="87">
        <f t="shared" si="58"/>
        <v>0</v>
      </c>
      <c r="BR64" s="87">
        <f t="shared" si="59"/>
        <v>150</v>
      </c>
      <c r="BS64" s="87">
        <f t="shared" si="60"/>
        <v>0</v>
      </c>
      <c r="BT64" s="96">
        <f t="shared" si="61"/>
        <v>0</v>
      </c>
    </row>
    <row r="65" spans="1:72">
      <c r="A65" s="84"/>
      <c r="B65" s="85"/>
      <c r="C65" s="3009" t="s">
        <v>3101</v>
      </c>
      <c r="D65" s="3010" t="s">
        <v>1678</v>
      </c>
      <c r="E65" s="87">
        <f t="shared" si="33"/>
        <v>900.12</v>
      </c>
      <c r="F65" s="88"/>
      <c r="G65" s="89">
        <f t="shared" si="34"/>
        <v>1934.44</v>
      </c>
      <c r="H65" s="90">
        <f t="shared" si="35"/>
        <v>1784.44</v>
      </c>
      <c r="I65" s="91"/>
      <c r="J65" s="91"/>
      <c r="K65" s="91"/>
      <c r="L65" s="91"/>
      <c r="M65" s="91">
        <f>面积表!G104</f>
        <v>1059.8800000000001</v>
      </c>
      <c r="N65" s="91"/>
      <c r="O65" s="91">
        <f>面积表!E105</f>
        <v>724.56</v>
      </c>
      <c r="P65" s="91"/>
      <c r="Q65" s="91"/>
      <c r="R65" s="91"/>
      <c r="S65" s="91"/>
      <c r="T65" s="91"/>
      <c r="U65" s="91"/>
      <c r="V65" s="91"/>
      <c r="W65" s="91"/>
      <c r="X65" s="91"/>
      <c r="Y65" s="91"/>
      <c r="Z65" s="91"/>
      <c r="AA65" s="91"/>
      <c r="AB65" s="91"/>
      <c r="AC65" s="87">
        <f t="shared" si="36"/>
        <v>150</v>
      </c>
      <c r="AD65" s="92"/>
      <c r="AE65" s="92"/>
      <c r="AF65" s="92"/>
      <c r="AG65" s="92"/>
      <c r="AH65" s="92"/>
      <c r="AI65" s="92"/>
      <c r="AJ65" s="92"/>
      <c r="AK65" s="92"/>
      <c r="AL65" s="92"/>
      <c r="AM65" s="92"/>
      <c r="AN65" s="92">
        <f>面积表!E104</f>
        <v>150</v>
      </c>
      <c r="AO65" s="92"/>
      <c r="AP65" s="92"/>
      <c r="AQ65" s="92"/>
      <c r="AR65" s="92"/>
      <c r="AS65" s="92"/>
      <c r="AT65" s="93"/>
      <c r="AU65" s="94"/>
      <c r="AV65" s="1975">
        <f t="shared" si="37"/>
        <v>0</v>
      </c>
      <c r="AW65" s="1975">
        <f t="shared" si="38"/>
        <v>0</v>
      </c>
      <c r="AX65" s="1975" t="str">
        <f t="shared" si="39"/>
        <v>53#</v>
      </c>
      <c r="AY65" s="95">
        <f t="shared" si="40"/>
        <v>900.12</v>
      </c>
      <c r="AZ65" s="87">
        <f t="shared" si="41"/>
        <v>1934.44</v>
      </c>
      <c r="BA65" s="87">
        <f t="shared" si="42"/>
        <v>1784.44</v>
      </c>
      <c r="BB65" s="87">
        <f t="shared" si="43"/>
        <v>0</v>
      </c>
      <c r="BC65" s="87">
        <f t="shared" si="44"/>
        <v>0</v>
      </c>
      <c r="BD65" s="87">
        <f t="shared" si="45"/>
        <v>1059.8800000000001</v>
      </c>
      <c r="BE65" s="87">
        <f t="shared" si="46"/>
        <v>724.56</v>
      </c>
      <c r="BF65" s="87">
        <f t="shared" si="47"/>
        <v>0</v>
      </c>
      <c r="BG65" s="87">
        <f t="shared" si="48"/>
        <v>0</v>
      </c>
      <c r="BH65" s="87">
        <f t="shared" si="49"/>
        <v>0</v>
      </c>
      <c r="BI65" s="87">
        <f t="shared" si="50"/>
        <v>0</v>
      </c>
      <c r="BJ65" s="87">
        <f t="shared" si="51"/>
        <v>0</v>
      </c>
      <c r="BK65" s="87">
        <f t="shared" si="52"/>
        <v>0</v>
      </c>
      <c r="BL65" s="87">
        <f t="shared" si="53"/>
        <v>150</v>
      </c>
      <c r="BM65" s="87">
        <f t="shared" si="54"/>
        <v>0</v>
      </c>
      <c r="BN65" s="87">
        <f t="shared" si="55"/>
        <v>0</v>
      </c>
      <c r="BO65" s="87">
        <f t="shared" si="56"/>
        <v>0</v>
      </c>
      <c r="BP65" s="87">
        <f t="shared" si="57"/>
        <v>0</v>
      </c>
      <c r="BQ65" s="87">
        <f t="shared" si="58"/>
        <v>0</v>
      </c>
      <c r="BR65" s="87">
        <f t="shared" si="59"/>
        <v>150</v>
      </c>
      <c r="BS65" s="87">
        <f t="shared" si="60"/>
        <v>0</v>
      </c>
      <c r="BT65" s="96">
        <f t="shared" si="61"/>
        <v>0</v>
      </c>
    </row>
    <row r="66" spans="1:72">
      <c r="A66" s="84"/>
      <c r="B66" s="85"/>
      <c r="C66" s="3009" t="s">
        <v>3102</v>
      </c>
      <c r="D66" s="3010" t="s">
        <v>1678</v>
      </c>
      <c r="E66" s="87">
        <f t="shared" si="33"/>
        <v>1497.25</v>
      </c>
      <c r="F66" s="88"/>
      <c r="G66" s="89">
        <f t="shared" si="34"/>
        <v>3217.73</v>
      </c>
      <c r="H66" s="90">
        <f t="shared" si="35"/>
        <v>2967.73</v>
      </c>
      <c r="I66" s="91"/>
      <c r="J66" s="91"/>
      <c r="K66" s="91"/>
      <c r="L66" s="91"/>
      <c r="M66" s="91">
        <f>面积表!G106</f>
        <v>1762.84</v>
      </c>
      <c r="N66" s="91"/>
      <c r="O66" s="91">
        <f>面积表!E107</f>
        <v>1204.8900000000001</v>
      </c>
      <c r="P66" s="91"/>
      <c r="Q66" s="91"/>
      <c r="R66" s="91"/>
      <c r="S66" s="91"/>
      <c r="T66" s="91"/>
      <c r="U66" s="91"/>
      <c r="V66" s="91"/>
      <c r="W66" s="91"/>
      <c r="X66" s="91"/>
      <c r="Y66" s="91"/>
      <c r="Z66" s="91"/>
      <c r="AA66" s="91"/>
      <c r="AB66" s="91"/>
      <c r="AC66" s="87">
        <f t="shared" si="36"/>
        <v>250</v>
      </c>
      <c r="AD66" s="92"/>
      <c r="AE66" s="92"/>
      <c r="AF66" s="92"/>
      <c r="AG66" s="92"/>
      <c r="AH66" s="92"/>
      <c r="AI66" s="92"/>
      <c r="AJ66" s="92"/>
      <c r="AK66" s="92"/>
      <c r="AL66" s="92"/>
      <c r="AM66" s="92"/>
      <c r="AN66" s="92">
        <f>面积表!E106</f>
        <v>250</v>
      </c>
      <c r="AO66" s="92"/>
      <c r="AP66" s="92"/>
      <c r="AQ66" s="92"/>
      <c r="AR66" s="92"/>
      <c r="AS66" s="92"/>
      <c r="AT66" s="93"/>
      <c r="AU66" s="94"/>
      <c r="AV66" s="1975">
        <f t="shared" si="37"/>
        <v>0</v>
      </c>
      <c r="AW66" s="1975">
        <f t="shared" si="38"/>
        <v>0</v>
      </c>
      <c r="AX66" s="1975" t="str">
        <f t="shared" si="39"/>
        <v>54#</v>
      </c>
      <c r="AY66" s="95">
        <f t="shared" si="40"/>
        <v>1497.25</v>
      </c>
      <c r="AZ66" s="87">
        <f t="shared" si="41"/>
        <v>3217.73</v>
      </c>
      <c r="BA66" s="87">
        <f t="shared" si="42"/>
        <v>2967.73</v>
      </c>
      <c r="BB66" s="87">
        <f t="shared" si="43"/>
        <v>0</v>
      </c>
      <c r="BC66" s="87">
        <f t="shared" si="44"/>
        <v>0</v>
      </c>
      <c r="BD66" s="87">
        <f t="shared" si="45"/>
        <v>1762.84</v>
      </c>
      <c r="BE66" s="87">
        <f t="shared" si="46"/>
        <v>1204.8900000000001</v>
      </c>
      <c r="BF66" s="87">
        <f t="shared" si="47"/>
        <v>0</v>
      </c>
      <c r="BG66" s="87">
        <f t="shared" si="48"/>
        <v>0</v>
      </c>
      <c r="BH66" s="87">
        <f t="shared" si="49"/>
        <v>0</v>
      </c>
      <c r="BI66" s="87">
        <f t="shared" si="50"/>
        <v>0</v>
      </c>
      <c r="BJ66" s="87">
        <f t="shared" si="51"/>
        <v>0</v>
      </c>
      <c r="BK66" s="87">
        <f t="shared" si="52"/>
        <v>0</v>
      </c>
      <c r="BL66" s="87">
        <f t="shared" si="53"/>
        <v>250</v>
      </c>
      <c r="BM66" s="87">
        <f t="shared" si="54"/>
        <v>0</v>
      </c>
      <c r="BN66" s="87">
        <f t="shared" si="55"/>
        <v>0</v>
      </c>
      <c r="BO66" s="87">
        <f t="shared" si="56"/>
        <v>0</v>
      </c>
      <c r="BP66" s="87">
        <f t="shared" si="57"/>
        <v>0</v>
      </c>
      <c r="BQ66" s="87">
        <f t="shared" si="58"/>
        <v>0</v>
      </c>
      <c r="BR66" s="87">
        <f t="shared" si="59"/>
        <v>250</v>
      </c>
      <c r="BS66" s="87">
        <f t="shared" si="60"/>
        <v>0</v>
      </c>
      <c r="BT66" s="96">
        <f t="shared" si="61"/>
        <v>0</v>
      </c>
    </row>
    <row r="67" spans="1:72">
      <c r="A67" s="84"/>
      <c r="B67" s="85"/>
      <c r="C67" s="3009" t="s">
        <v>3103</v>
      </c>
      <c r="D67" s="3010" t="s">
        <v>1678</v>
      </c>
      <c r="E67" s="87">
        <f t="shared" si="33"/>
        <v>1955.45</v>
      </c>
      <c r="F67" s="88"/>
      <c r="G67" s="89">
        <f t="shared" si="34"/>
        <v>4202.45</v>
      </c>
      <c r="H67" s="90">
        <f t="shared" si="35"/>
        <v>3877.45</v>
      </c>
      <c r="I67" s="91"/>
      <c r="J67" s="91"/>
      <c r="K67" s="91"/>
      <c r="L67" s="91"/>
      <c r="M67" s="3196">
        <f>面积表!G108</f>
        <v>2301.64</v>
      </c>
      <c r="N67" s="91"/>
      <c r="O67" s="91">
        <f>面积表!E109</f>
        <v>1575.81</v>
      </c>
      <c r="P67" s="91"/>
      <c r="Q67" s="91"/>
      <c r="R67" s="91"/>
      <c r="S67" s="91"/>
      <c r="T67" s="91"/>
      <c r="U67" s="91"/>
      <c r="V67" s="91"/>
      <c r="W67" s="91"/>
      <c r="X67" s="91"/>
      <c r="Y67" s="91"/>
      <c r="Z67" s="91"/>
      <c r="AA67" s="91"/>
      <c r="AB67" s="91"/>
      <c r="AC67" s="87">
        <f t="shared" si="36"/>
        <v>325</v>
      </c>
      <c r="AD67" s="92"/>
      <c r="AE67" s="92"/>
      <c r="AF67" s="92"/>
      <c r="AG67" s="92"/>
      <c r="AH67" s="92"/>
      <c r="AI67" s="92"/>
      <c r="AJ67" s="92"/>
      <c r="AK67" s="92"/>
      <c r="AL67" s="92"/>
      <c r="AM67" s="92"/>
      <c r="AN67" s="92">
        <f>面积表!E108</f>
        <v>325</v>
      </c>
      <c r="AO67" s="92"/>
      <c r="AP67" s="92"/>
      <c r="AQ67" s="92"/>
      <c r="AR67" s="92"/>
      <c r="AS67" s="92"/>
      <c r="AT67" s="93"/>
      <c r="AU67" s="94"/>
      <c r="AV67" s="1975">
        <f t="shared" si="37"/>
        <v>0</v>
      </c>
      <c r="AW67" s="1975">
        <f t="shared" si="38"/>
        <v>0</v>
      </c>
      <c r="AX67" s="1975" t="str">
        <f t="shared" si="39"/>
        <v>55#</v>
      </c>
      <c r="AY67" s="95">
        <f t="shared" si="40"/>
        <v>1955.45</v>
      </c>
      <c r="AZ67" s="87">
        <f t="shared" si="41"/>
        <v>4202.45</v>
      </c>
      <c r="BA67" s="87">
        <f t="shared" si="42"/>
        <v>3877.45</v>
      </c>
      <c r="BB67" s="87">
        <f t="shared" si="43"/>
        <v>0</v>
      </c>
      <c r="BC67" s="87">
        <f t="shared" si="44"/>
        <v>0</v>
      </c>
      <c r="BD67" s="87">
        <f t="shared" si="45"/>
        <v>2301.64</v>
      </c>
      <c r="BE67" s="87">
        <f t="shared" si="46"/>
        <v>1575.81</v>
      </c>
      <c r="BF67" s="87">
        <f t="shared" si="47"/>
        <v>0</v>
      </c>
      <c r="BG67" s="87">
        <f t="shared" si="48"/>
        <v>0</v>
      </c>
      <c r="BH67" s="87">
        <f t="shared" si="49"/>
        <v>0</v>
      </c>
      <c r="BI67" s="87">
        <f t="shared" si="50"/>
        <v>0</v>
      </c>
      <c r="BJ67" s="87">
        <f t="shared" si="51"/>
        <v>0</v>
      </c>
      <c r="BK67" s="87">
        <f t="shared" si="52"/>
        <v>0</v>
      </c>
      <c r="BL67" s="87">
        <f t="shared" si="53"/>
        <v>325</v>
      </c>
      <c r="BM67" s="87">
        <f t="shared" si="54"/>
        <v>0</v>
      </c>
      <c r="BN67" s="87">
        <f t="shared" si="55"/>
        <v>0</v>
      </c>
      <c r="BO67" s="87">
        <f t="shared" si="56"/>
        <v>0</v>
      </c>
      <c r="BP67" s="87">
        <f t="shared" si="57"/>
        <v>0</v>
      </c>
      <c r="BQ67" s="87">
        <f t="shared" si="58"/>
        <v>0</v>
      </c>
      <c r="BR67" s="87">
        <f t="shared" si="59"/>
        <v>325</v>
      </c>
      <c r="BS67" s="87">
        <f t="shared" si="60"/>
        <v>0</v>
      </c>
      <c r="BT67" s="96">
        <f t="shared" si="61"/>
        <v>0</v>
      </c>
    </row>
    <row r="68" spans="1:72">
      <c r="A68" s="84"/>
      <c r="B68" s="85"/>
      <c r="C68" s="3009" t="s">
        <v>3104</v>
      </c>
      <c r="D68" s="3010" t="s">
        <v>1678</v>
      </c>
      <c r="E68" s="87">
        <f t="shared" si="33"/>
        <v>1354.46</v>
      </c>
      <c r="F68" s="88"/>
      <c r="G68" s="89">
        <f t="shared" si="34"/>
        <v>2910.86</v>
      </c>
      <c r="H68" s="90">
        <f t="shared" si="35"/>
        <v>2685.86</v>
      </c>
      <c r="I68" s="91"/>
      <c r="J68" s="91"/>
      <c r="K68" s="91"/>
      <c r="L68" s="91"/>
      <c r="M68" s="3196">
        <f>面积表!G110</f>
        <v>1595.64</v>
      </c>
      <c r="N68" s="91"/>
      <c r="O68" s="91">
        <f>面积表!E111</f>
        <v>1090.22</v>
      </c>
      <c r="P68" s="91"/>
      <c r="Q68" s="91"/>
      <c r="R68" s="91"/>
      <c r="S68" s="91"/>
      <c r="T68" s="91"/>
      <c r="U68" s="91"/>
      <c r="V68" s="91"/>
      <c r="W68" s="91"/>
      <c r="X68" s="91"/>
      <c r="Y68" s="91"/>
      <c r="Z68" s="91"/>
      <c r="AA68" s="91"/>
      <c r="AB68" s="91"/>
      <c r="AC68" s="87">
        <f t="shared" si="36"/>
        <v>225</v>
      </c>
      <c r="AD68" s="92"/>
      <c r="AE68" s="92"/>
      <c r="AF68" s="92"/>
      <c r="AG68" s="92"/>
      <c r="AH68" s="92"/>
      <c r="AI68" s="92"/>
      <c r="AJ68" s="92"/>
      <c r="AK68" s="92"/>
      <c r="AL68" s="92"/>
      <c r="AM68" s="92"/>
      <c r="AN68" s="92">
        <f>面积表!E110</f>
        <v>225</v>
      </c>
      <c r="AO68" s="92"/>
      <c r="AP68" s="92"/>
      <c r="AQ68" s="92"/>
      <c r="AR68" s="92"/>
      <c r="AS68" s="92"/>
      <c r="AT68" s="93"/>
      <c r="AU68" s="94"/>
      <c r="AV68" s="1975">
        <f t="shared" si="37"/>
        <v>0</v>
      </c>
      <c r="AW68" s="1975">
        <f t="shared" si="38"/>
        <v>0</v>
      </c>
      <c r="AX68" s="1975" t="str">
        <f t="shared" si="39"/>
        <v>56#</v>
      </c>
      <c r="AY68" s="95">
        <f t="shared" si="40"/>
        <v>1354.46</v>
      </c>
      <c r="AZ68" s="87">
        <f t="shared" si="41"/>
        <v>2910.86</v>
      </c>
      <c r="BA68" s="87">
        <f t="shared" si="42"/>
        <v>2685.86</v>
      </c>
      <c r="BB68" s="87">
        <f t="shared" si="43"/>
        <v>0</v>
      </c>
      <c r="BC68" s="87">
        <f t="shared" si="44"/>
        <v>0</v>
      </c>
      <c r="BD68" s="87">
        <f t="shared" si="45"/>
        <v>1595.64</v>
      </c>
      <c r="BE68" s="87">
        <f t="shared" si="46"/>
        <v>1090.22</v>
      </c>
      <c r="BF68" s="87">
        <f t="shared" si="47"/>
        <v>0</v>
      </c>
      <c r="BG68" s="87">
        <f t="shared" si="48"/>
        <v>0</v>
      </c>
      <c r="BH68" s="87">
        <f t="shared" si="49"/>
        <v>0</v>
      </c>
      <c r="BI68" s="87">
        <f t="shared" si="50"/>
        <v>0</v>
      </c>
      <c r="BJ68" s="87">
        <f t="shared" si="51"/>
        <v>0</v>
      </c>
      <c r="BK68" s="87">
        <f t="shared" si="52"/>
        <v>0</v>
      </c>
      <c r="BL68" s="87">
        <f t="shared" si="53"/>
        <v>225</v>
      </c>
      <c r="BM68" s="87">
        <f t="shared" si="54"/>
        <v>0</v>
      </c>
      <c r="BN68" s="87">
        <f t="shared" si="55"/>
        <v>0</v>
      </c>
      <c r="BO68" s="87">
        <f t="shared" si="56"/>
        <v>0</v>
      </c>
      <c r="BP68" s="87">
        <f t="shared" si="57"/>
        <v>0</v>
      </c>
      <c r="BQ68" s="87">
        <f t="shared" si="58"/>
        <v>0</v>
      </c>
      <c r="BR68" s="87">
        <f t="shared" si="59"/>
        <v>225</v>
      </c>
      <c r="BS68" s="87">
        <f t="shared" si="60"/>
        <v>0</v>
      </c>
      <c r="BT68" s="96">
        <f t="shared" si="61"/>
        <v>0</v>
      </c>
    </row>
    <row r="69" spans="1:72">
      <c r="A69" s="84"/>
      <c r="B69" s="85"/>
      <c r="C69" s="3009" t="s">
        <v>3105</v>
      </c>
      <c r="D69" s="3010" t="s">
        <v>1678</v>
      </c>
      <c r="E69" s="87">
        <f t="shared" si="33"/>
        <v>601.61</v>
      </c>
      <c r="F69" s="88"/>
      <c r="G69" s="89">
        <f t="shared" si="34"/>
        <v>1292.92</v>
      </c>
      <c r="H69" s="90">
        <f t="shared" si="35"/>
        <v>1192.92</v>
      </c>
      <c r="I69" s="91"/>
      <c r="J69" s="91"/>
      <c r="K69" s="91"/>
      <c r="L69" s="91"/>
      <c r="M69" s="91">
        <f>面积表!G112</f>
        <v>708.4</v>
      </c>
      <c r="N69" s="91"/>
      <c r="O69" s="91">
        <f>面积表!E113</f>
        <v>484.52</v>
      </c>
      <c r="P69" s="91"/>
      <c r="Q69" s="91"/>
      <c r="R69" s="91"/>
      <c r="S69" s="91"/>
      <c r="T69" s="91"/>
      <c r="U69" s="91"/>
      <c r="V69" s="91"/>
      <c r="W69" s="91"/>
      <c r="X69" s="91"/>
      <c r="Y69" s="91"/>
      <c r="Z69" s="91"/>
      <c r="AA69" s="91"/>
      <c r="AB69" s="91"/>
      <c r="AC69" s="87">
        <f t="shared" si="36"/>
        <v>100</v>
      </c>
      <c r="AD69" s="92"/>
      <c r="AE69" s="92"/>
      <c r="AF69" s="92"/>
      <c r="AG69" s="92"/>
      <c r="AH69" s="92"/>
      <c r="AI69" s="92"/>
      <c r="AJ69" s="92"/>
      <c r="AK69" s="92"/>
      <c r="AL69" s="92"/>
      <c r="AM69" s="92"/>
      <c r="AN69" s="92">
        <f>面积表!E112</f>
        <v>100</v>
      </c>
      <c r="AO69" s="92"/>
      <c r="AP69" s="92"/>
      <c r="AQ69" s="92"/>
      <c r="AR69" s="92"/>
      <c r="AS69" s="92"/>
      <c r="AT69" s="93"/>
      <c r="AU69" s="94"/>
      <c r="AV69" s="1975">
        <f t="shared" si="37"/>
        <v>0</v>
      </c>
      <c r="AW69" s="1975">
        <f t="shared" si="38"/>
        <v>0</v>
      </c>
      <c r="AX69" s="1975" t="str">
        <f t="shared" si="39"/>
        <v>57#</v>
      </c>
      <c r="AY69" s="95">
        <f t="shared" si="40"/>
        <v>601.61</v>
      </c>
      <c r="AZ69" s="87">
        <f t="shared" si="41"/>
        <v>1292.92</v>
      </c>
      <c r="BA69" s="87">
        <f t="shared" si="42"/>
        <v>1192.92</v>
      </c>
      <c r="BB69" s="87">
        <f t="shared" si="43"/>
        <v>0</v>
      </c>
      <c r="BC69" s="87">
        <f t="shared" si="44"/>
        <v>0</v>
      </c>
      <c r="BD69" s="87">
        <f t="shared" si="45"/>
        <v>708.4</v>
      </c>
      <c r="BE69" s="87">
        <f t="shared" si="46"/>
        <v>484.52</v>
      </c>
      <c r="BF69" s="87">
        <f t="shared" si="47"/>
        <v>0</v>
      </c>
      <c r="BG69" s="87">
        <f t="shared" si="48"/>
        <v>0</v>
      </c>
      <c r="BH69" s="87">
        <f t="shared" si="49"/>
        <v>0</v>
      </c>
      <c r="BI69" s="87">
        <f t="shared" si="50"/>
        <v>0</v>
      </c>
      <c r="BJ69" s="87">
        <f t="shared" si="51"/>
        <v>0</v>
      </c>
      <c r="BK69" s="87">
        <f t="shared" si="52"/>
        <v>0</v>
      </c>
      <c r="BL69" s="87">
        <f t="shared" si="53"/>
        <v>100</v>
      </c>
      <c r="BM69" s="87">
        <f t="shared" si="54"/>
        <v>0</v>
      </c>
      <c r="BN69" s="87">
        <f t="shared" si="55"/>
        <v>0</v>
      </c>
      <c r="BO69" s="87">
        <f t="shared" si="56"/>
        <v>0</v>
      </c>
      <c r="BP69" s="87">
        <f t="shared" si="57"/>
        <v>0</v>
      </c>
      <c r="BQ69" s="87">
        <f t="shared" si="58"/>
        <v>0</v>
      </c>
      <c r="BR69" s="87">
        <f t="shared" si="59"/>
        <v>100</v>
      </c>
      <c r="BS69" s="87">
        <f t="shared" si="60"/>
        <v>0</v>
      </c>
      <c r="BT69" s="96">
        <f t="shared" si="61"/>
        <v>0</v>
      </c>
    </row>
    <row r="70" spans="1:72">
      <c r="A70" s="84"/>
      <c r="B70" s="85"/>
      <c r="C70" s="3009" t="s">
        <v>3106</v>
      </c>
      <c r="D70" s="3010" t="s">
        <v>1678</v>
      </c>
      <c r="E70" s="87">
        <f t="shared" si="33"/>
        <v>1055.9000000000001</v>
      </c>
      <c r="F70" s="88"/>
      <c r="G70" s="89">
        <f t="shared" si="34"/>
        <v>2269.2400000000002</v>
      </c>
      <c r="H70" s="90">
        <f t="shared" si="35"/>
        <v>2094.2400000000002</v>
      </c>
      <c r="I70" s="91"/>
      <c r="J70" s="91"/>
      <c r="K70" s="91"/>
      <c r="L70" s="91"/>
      <c r="M70" s="3196">
        <f>面积表!G114</f>
        <v>1244.1600000000001</v>
      </c>
      <c r="N70" s="91"/>
      <c r="O70" s="91">
        <f>面积表!E115</f>
        <v>850.08</v>
      </c>
      <c r="P70" s="91"/>
      <c r="Q70" s="91"/>
      <c r="R70" s="91"/>
      <c r="S70" s="91"/>
      <c r="T70" s="91"/>
      <c r="U70" s="91"/>
      <c r="V70" s="91"/>
      <c r="W70" s="91"/>
      <c r="X70" s="91"/>
      <c r="Y70" s="91"/>
      <c r="Z70" s="91"/>
      <c r="AA70" s="91"/>
      <c r="AB70" s="91"/>
      <c r="AC70" s="87">
        <f t="shared" si="36"/>
        <v>175</v>
      </c>
      <c r="AD70" s="92"/>
      <c r="AE70" s="92"/>
      <c r="AF70" s="92"/>
      <c r="AG70" s="92"/>
      <c r="AH70" s="92"/>
      <c r="AI70" s="92"/>
      <c r="AJ70" s="92"/>
      <c r="AK70" s="92"/>
      <c r="AL70" s="92"/>
      <c r="AM70" s="92"/>
      <c r="AN70" s="92">
        <f>面积表!E114</f>
        <v>175</v>
      </c>
      <c r="AO70" s="92"/>
      <c r="AP70" s="92"/>
      <c r="AQ70" s="92"/>
      <c r="AR70" s="92"/>
      <c r="AS70" s="92"/>
      <c r="AT70" s="93"/>
      <c r="AU70" s="94"/>
      <c r="AV70" s="1975">
        <f t="shared" si="37"/>
        <v>0</v>
      </c>
      <c r="AW70" s="1975">
        <f t="shared" si="38"/>
        <v>0</v>
      </c>
      <c r="AX70" s="1975" t="str">
        <f t="shared" si="39"/>
        <v>58#</v>
      </c>
      <c r="AY70" s="95">
        <f t="shared" si="40"/>
        <v>1055.9000000000001</v>
      </c>
      <c r="AZ70" s="87">
        <f t="shared" si="41"/>
        <v>2269.2400000000002</v>
      </c>
      <c r="BA70" s="87">
        <f t="shared" si="42"/>
        <v>2094.2400000000002</v>
      </c>
      <c r="BB70" s="87">
        <f t="shared" si="43"/>
        <v>0</v>
      </c>
      <c r="BC70" s="87">
        <f t="shared" si="44"/>
        <v>0</v>
      </c>
      <c r="BD70" s="87">
        <f t="shared" si="45"/>
        <v>1244.1600000000001</v>
      </c>
      <c r="BE70" s="87">
        <f t="shared" si="46"/>
        <v>850.08</v>
      </c>
      <c r="BF70" s="87">
        <f t="shared" si="47"/>
        <v>0</v>
      </c>
      <c r="BG70" s="87">
        <f t="shared" si="48"/>
        <v>0</v>
      </c>
      <c r="BH70" s="87">
        <f t="shared" si="49"/>
        <v>0</v>
      </c>
      <c r="BI70" s="87">
        <f t="shared" si="50"/>
        <v>0</v>
      </c>
      <c r="BJ70" s="87">
        <f t="shared" si="51"/>
        <v>0</v>
      </c>
      <c r="BK70" s="87">
        <f t="shared" si="52"/>
        <v>0</v>
      </c>
      <c r="BL70" s="87">
        <f t="shared" si="53"/>
        <v>175</v>
      </c>
      <c r="BM70" s="87">
        <f t="shared" si="54"/>
        <v>0</v>
      </c>
      <c r="BN70" s="87">
        <f t="shared" si="55"/>
        <v>0</v>
      </c>
      <c r="BO70" s="87">
        <f t="shared" si="56"/>
        <v>0</v>
      </c>
      <c r="BP70" s="87">
        <f t="shared" si="57"/>
        <v>0</v>
      </c>
      <c r="BQ70" s="87">
        <f t="shared" si="58"/>
        <v>0</v>
      </c>
      <c r="BR70" s="87">
        <f t="shared" si="59"/>
        <v>175</v>
      </c>
      <c r="BS70" s="87">
        <f t="shared" si="60"/>
        <v>0</v>
      </c>
      <c r="BT70" s="96">
        <f t="shared" si="61"/>
        <v>0</v>
      </c>
    </row>
    <row r="71" spans="1:72">
      <c r="A71" s="84"/>
      <c r="B71" s="85"/>
      <c r="C71" s="3009" t="s">
        <v>3107</v>
      </c>
      <c r="D71" s="3010" t="s">
        <v>1678</v>
      </c>
      <c r="E71" s="87">
        <f t="shared" si="33"/>
        <v>1198.7</v>
      </c>
      <c r="F71" s="88"/>
      <c r="G71" s="89">
        <f t="shared" si="34"/>
        <v>2576.12</v>
      </c>
      <c r="H71" s="90">
        <f t="shared" si="35"/>
        <v>2376.12</v>
      </c>
      <c r="I71" s="91"/>
      <c r="J71" s="91"/>
      <c r="K71" s="91"/>
      <c r="L71" s="91"/>
      <c r="M71" s="91">
        <f>面积表!G116</f>
        <v>1411.36</v>
      </c>
      <c r="N71" s="91"/>
      <c r="O71" s="91">
        <f>面积表!E117</f>
        <v>964.76</v>
      </c>
      <c r="P71" s="91"/>
      <c r="Q71" s="91"/>
      <c r="R71" s="91"/>
      <c r="S71" s="91"/>
      <c r="T71" s="91"/>
      <c r="U71" s="91"/>
      <c r="V71" s="91"/>
      <c r="W71" s="91"/>
      <c r="X71" s="91"/>
      <c r="Y71" s="91"/>
      <c r="Z71" s="91"/>
      <c r="AA71" s="91"/>
      <c r="AB71" s="91"/>
      <c r="AC71" s="87">
        <f t="shared" si="36"/>
        <v>200</v>
      </c>
      <c r="AD71" s="92"/>
      <c r="AE71" s="92"/>
      <c r="AF71" s="92"/>
      <c r="AG71" s="92"/>
      <c r="AH71" s="92"/>
      <c r="AI71" s="92"/>
      <c r="AJ71" s="92"/>
      <c r="AK71" s="92"/>
      <c r="AL71" s="92"/>
      <c r="AM71" s="92"/>
      <c r="AN71" s="92">
        <f>面积表!E116</f>
        <v>200</v>
      </c>
      <c r="AO71" s="92"/>
      <c r="AP71" s="92"/>
      <c r="AQ71" s="92"/>
      <c r="AR71" s="92"/>
      <c r="AS71" s="92"/>
      <c r="AT71" s="93"/>
      <c r="AU71" s="94"/>
      <c r="AV71" s="1975">
        <f t="shared" si="37"/>
        <v>0</v>
      </c>
      <c r="AW71" s="1975">
        <f t="shared" si="38"/>
        <v>0</v>
      </c>
      <c r="AX71" s="1975" t="str">
        <f t="shared" si="39"/>
        <v>59#</v>
      </c>
      <c r="AY71" s="95">
        <f t="shared" si="40"/>
        <v>1198.7</v>
      </c>
      <c r="AZ71" s="87">
        <f t="shared" si="41"/>
        <v>2576.12</v>
      </c>
      <c r="BA71" s="87">
        <f t="shared" si="42"/>
        <v>2376.12</v>
      </c>
      <c r="BB71" s="87">
        <f t="shared" si="43"/>
        <v>0</v>
      </c>
      <c r="BC71" s="87">
        <f t="shared" si="44"/>
        <v>0</v>
      </c>
      <c r="BD71" s="87">
        <f t="shared" si="45"/>
        <v>1411.36</v>
      </c>
      <c r="BE71" s="87">
        <f t="shared" si="46"/>
        <v>964.76</v>
      </c>
      <c r="BF71" s="87">
        <f t="shared" si="47"/>
        <v>0</v>
      </c>
      <c r="BG71" s="87">
        <f t="shared" si="48"/>
        <v>0</v>
      </c>
      <c r="BH71" s="87">
        <f t="shared" si="49"/>
        <v>0</v>
      </c>
      <c r="BI71" s="87">
        <f t="shared" si="50"/>
        <v>0</v>
      </c>
      <c r="BJ71" s="87">
        <f t="shared" si="51"/>
        <v>0</v>
      </c>
      <c r="BK71" s="87">
        <f t="shared" si="52"/>
        <v>0</v>
      </c>
      <c r="BL71" s="87">
        <f t="shared" si="53"/>
        <v>200</v>
      </c>
      <c r="BM71" s="87">
        <f t="shared" si="54"/>
        <v>0</v>
      </c>
      <c r="BN71" s="87">
        <f t="shared" si="55"/>
        <v>0</v>
      </c>
      <c r="BO71" s="87">
        <f t="shared" si="56"/>
        <v>0</v>
      </c>
      <c r="BP71" s="87">
        <f t="shared" si="57"/>
        <v>0</v>
      </c>
      <c r="BQ71" s="87">
        <f t="shared" si="58"/>
        <v>0</v>
      </c>
      <c r="BR71" s="87">
        <f t="shared" si="59"/>
        <v>200</v>
      </c>
      <c r="BS71" s="87">
        <f t="shared" si="60"/>
        <v>0</v>
      </c>
      <c r="BT71" s="96">
        <f t="shared" si="61"/>
        <v>0</v>
      </c>
    </row>
    <row r="72" spans="1:72">
      <c r="A72" s="84"/>
      <c r="B72" s="85"/>
      <c r="C72" s="3009" t="s">
        <v>3108</v>
      </c>
      <c r="D72" s="3010" t="s">
        <v>1678</v>
      </c>
      <c r="E72" s="87">
        <f t="shared" si="33"/>
        <v>1799.72</v>
      </c>
      <c r="F72" s="88"/>
      <c r="G72" s="89">
        <f t="shared" si="34"/>
        <v>3867.76</v>
      </c>
      <c r="H72" s="90">
        <f t="shared" si="35"/>
        <v>3567.76</v>
      </c>
      <c r="I72" s="91"/>
      <c r="J72" s="91"/>
      <c r="K72" s="91"/>
      <c r="L72" s="91"/>
      <c r="M72" s="91">
        <f>面积表!G118</f>
        <v>2117.36</v>
      </c>
      <c r="N72" s="91"/>
      <c r="O72" s="91">
        <f>面积表!E119</f>
        <v>1450.4</v>
      </c>
      <c r="P72" s="91"/>
      <c r="Q72" s="91"/>
      <c r="R72" s="91"/>
      <c r="S72" s="91"/>
      <c r="T72" s="91"/>
      <c r="U72" s="91"/>
      <c r="V72" s="91"/>
      <c r="W72" s="91"/>
      <c r="X72" s="91"/>
      <c r="Y72" s="91"/>
      <c r="Z72" s="91"/>
      <c r="AA72" s="91"/>
      <c r="AB72" s="91"/>
      <c r="AC72" s="87">
        <f t="shared" si="36"/>
        <v>300</v>
      </c>
      <c r="AD72" s="92"/>
      <c r="AE72" s="92"/>
      <c r="AF72" s="92"/>
      <c r="AG72" s="92"/>
      <c r="AH72" s="92"/>
      <c r="AI72" s="92"/>
      <c r="AJ72" s="92"/>
      <c r="AK72" s="92"/>
      <c r="AL72" s="92"/>
      <c r="AM72" s="92"/>
      <c r="AN72" s="92">
        <f>面积表!E118</f>
        <v>300</v>
      </c>
      <c r="AO72" s="92"/>
      <c r="AP72" s="92"/>
      <c r="AQ72" s="92"/>
      <c r="AR72" s="92"/>
      <c r="AS72" s="92"/>
      <c r="AT72" s="93"/>
      <c r="AU72" s="94"/>
      <c r="AV72" s="1975">
        <f t="shared" si="37"/>
        <v>0</v>
      </c>
      <c r="AW72" s="1975">
        <f t="shared" si="38"/>
        <v>0</v>
      </c>
      <c r="AX72" s="1975" t="str">
        <f t="shared" si="39"/>
        <v>60#</v>
      </c>
      <c r="AY72" s="95">
        <f t="shared" si="40"/>
        <v>1799.72</v>
      </c>
      <c r="AZ72" s="87">
        <f t="shared" si="41"/>
        <v>3867.76</v>
      </c>
      <c r="BA72" s="87">
        <f t="shared" si="42"/>
        <v>3567.76</v>
      </c>
      <c r="BB72" s="87">
        <f t="shared" si="43"/>
        <v>0</v>
      </c>
      <c r="BC72" s="87">
        <f t="shared" si="44"/>
        <v>0</v>
      </c>
      <c r="BD72" s="87">
        <f t="shared" si="45"/>
        <v>2117.36</v>
      </c>
      <c r="BE72" s="87">
        <f t="shared" si="46"/>
        <v>1450.4</v>
      </c>
      <c r="BF72" s="87">
        <f t="shared" si="47"/>
        <v>0</v>
      </c>
      <c r="BG72" s="87">
        <f t="shared" si="48"/>
        <v>0</v>
      </c>
      <c r="BH72" s="87">
        <f t="shared" si="49"/>
        <v>0</v>
      </c>
      <c r="BI72" s="87">
        <f t="shared" si="50"/>
        <v>0</v>
      </c>
      <c r="BJ72" s="87">
        <f t="shared" si="51"/>
        <v>0</v>
      </c>
      <c r="BK72" s="87">
        <f t="shared" si="52"/>
        <v>0</v>
      </c>
      <c r="BL72" s="87">
        <f t="shared" si="53"/>
        <v>300</v>
      </c>
      <c r="BM72" s="87">
        <f t="shared" si="54"/>
        <v>0</v>
      </c>
      <c r="BN72" s="87">
        <f t="shared" si="55"/>
        <v>0</v>
      </c>
      <c r="BO72" s="87">
        <f t="shared" si="56"/>
        <v>0</v>
      </c>
      <c r="BP72" s="87">
        <f t="shared" si="57"/>
        <v>0</v>
      </c>
      <c r="BQ72" s="87">
        <f t="shared" si="58"/>
        <v>0</v>
      </c>
      <c r="BR72" s="87">
        <f t="shared" si="59"/>
        <v>300</v>
      </c>
      <c r="BS72" s="87">
        <f t="shared" si="60"/>
        <v>0</v>
      </c>
      <c r="BT72" s="96">
        <f t="shared" si="61"/>
        <v>0</v>
      </c>
    </row>
    <row r="73" spans="1:72">
      <c r="A73" s="84"/>
      <c r="B73" s="85"/>
      <c r="C73" s="3009" t="s">
        <v>3109</v>
      </c>
      <c r="D73" s="3010" t="s">
        <v>1678</v>
      </c>
      <c r="E73" s="87">
        <f t="shared" si="33"/>
        <v>2396.8000000000002</v>
      </c>
      <c r="F73" s="88"/>
      <c r="G73" s="89">
        <f t="shared" si="34"/>
        <v>5150.96</v>
      </c>
      <c r="H73" s="90">
        <f t="shared" si="35"/>
        <v>4750.96</v>
      </c>
      <c r="I73" s="91"/>
      <c r="J73" s="91"/>
      <c r="K73" s="91"/>
      <c r="L73" s="91"/>
      <c r="M73" s="91">
        <f>面积表!G120</f>
        <v>2820.32</v>
      </c>
      <c r="N73" s="91"/>
      <c r="O73" s="91">
        <f>面积表!E121</f>
        <v>1930.64</v>
      </c>
      <c r="P73" s="91"/>
      <c r="Q73" s="91"/>
      <c r="R73" s="91"/>
      <c r="S73" s="91"/>
      <c r="T73" s="91"/>
      <c r="U73" s="91"/>
      <c r="V73" s="91"/>
      <c r="W73" s="91"/>
      <c r="X73" s="91"/>
      <c r="Y73" s="91"/>
      <c r="Z73" s="91"/>
      <c r="AA73" s="91"/>
      <c r="AB73" s="91"/>
      <c r="AC73" s="87">
        <f t="shared" si="36"/>
        <v>400</v>
      </c>
      <c r="AD73" s="92"/>
      <c r="AE73" s="92"/>
      <c r="AF73" s="92"/>
      <c r="AG73" s="92"/>
      <c r="AH73" s="92"/>
      <c r="AI73" s="92"/>
      <c r="AJ73" s="92"/>
      <c r="AK73" s="92"/>
      <c r="AL73" s="92"/>
      <c r="AM73" s="92"/>
      <c r="AN73" s="92">
        <f>面积表!E120</f>
        <v>400</v>
      </c>
      <c r="AO73" s="92"/>
      <c r="AP73" s="92"/>
      <c r="AQ73" s="92"/>
      <c r="AR73" s="92"/>
      <c r="AS73" s="92"/>
      <c r="AT73" s="93"/>
      <c r="AU73" s="94"/>
      <c r="AV73" s="1975">
        <f t="shared" si="37"/>
        <v>0</v>
      </c>
      <c r="AW73" s="1975">
        <f t="shared" si="38"/>
        <v>0</v>
      </c>
      <c r="AX73" s="1975" t="str">
        <f t="shared" si="39"/>
        <v>61#</v>
      </c>
      <c r="AY73" s="95">
        <f t="shared" si="40"/>
        <v>2396.8000000000002</v>
      </c>
      <c r="AZ73" s="87">
        <f t="shared" si="41"/>
        <v>5150.96</v>
      </c>
      <c r="BA73" s="87">
        <f t="shared" si="42"/>
        <v>4750.96</v>
      </c>
      <c r="BB73" s="87">
        <f t="shared" si="43"/>
        <v>0</v>
      </c>
      <c r="BC73" s="87">
        <f t="shared" si="44"/>
        <v>0</v>
      </c>
      <c r="BD73" s="87">
        <f t="shared" si="45"/>
        <v>2820.32</v>
      </c>
      <c r="BE73" s="87">
        <f t="shared" si="46"/>
        <v>1930.64</v>
      </c>
      <c r="BF73" s="87">
        <f t="shared" si="47"/>
        <v>0</v>
      </c>
      <c r="BG73" s="87">
        <f t="shared" si="48"/>
        <v>0</v>
      </c>
      <c r="BH73" s="87">
        <f t="shared" si="49"/>
        <v>0</v>
      </c>
      <c r="BI73" s="87">
        <f t="shared" si="50"/>
        <v>0</v>
      </c>
      <c r="BJ73" s="87">
        <f t="shared" si="51"/>
        <v>0</v>
      </c>
      <c r="BK73" s="87">
        <f t="shared" si="52"/>
        <v>0</v>
      </c>
      <c r="BL73" s="87">
        <f t="shared" si="53"/>
        <v>400</v>
      </c>
      <c r="BM73" s="87">
        <f t="shared" si="54"/>
        <v>0</v>
      </c>
      <c r="BN73" s="87">
        <f t="shared" si="55"/>
        <v>0</v>
      </c>
      <c r="BO73" s="87">
        <f t="shared" si="56"/>
        <v>0</v>
      </c>
      <c r="BP73" s="87">
        <f t="shared" si="57"/>
        <v>0</v>
      </c>
      <c r="BQ73" s="87">
        <f t="shared" si="58"/>
        <v>0</v>
      </c>
      <c r="BR73" s="87">
        <f t="shared" si="59"/>
        <v>400</v>
      </c>
      <c r="BS73" s="87">
        <f t="shared" si="60"/>
        <v>0</v>
      </c>
      <c r="BT73" s="96">
        <f t="shared" si="61"/>
        <v>0</v>
      </c>
    </row>
    <row r="74" spans="1:72">
      <c r="A74" s="84"/>
      <c r="B74" s="85"/>
      <c r="C74" s="3009" t="s">
        <v>3110</v>
      </c>
      <c r="D74" s="3010" t="s">
        <v>1678</v>
      </c>
      <c r="E74" s="87">
        <f t="shared" si="33"/>
        <v>1799.72</v>
      </c>
      <c r="F74" s="88"/>
      <c r="G74" s="89">
        <f t="shared" si="34"/>
        <v>3867.76</v>
      </c>
      <c r="H74" s="90">
        <f t="shared" si="35"/>
        <v>3567.76</v>
      </c>
      <c r="I74" s="91"/>
      <c r="J74" s="91"/>
      <c r="K74" s="91"/>
      <c r="L74" s="91"/>
      <c r="M74" s="91">
        <f>面积表!G122</f>
        <v>2117.36</v>
      </c>
      <c r="N74" s="91"/>
      <c r="O74" s="91">
        <f>面积表!E123</f>
        <v>1450.4</v>
      </c>
      <c r="P74" s="91"/>
      <c r="Q74" s="91"/>
      <c r="R74" s="91"/>
      <c r="S74" s="91"/>
      <c r="T74" s="91"/>
      <c r="U74" s="91"/>
      <c r="V74" s="91"/>
      <c r="W74" s="91"/>
      <c r="X74" s="91"/>
      <c r="Y74" s="91"/>
      <c r="Z74" s="91"/>
      <c r="AA74" s="91"/>
      <c r="AB74" s="91"/>
      <c r="AC74" s="87">
        <f t="shared" si="36"/>
        <v>300</v>
      </c>
      <c r="AD74" s="92"/>
      <c r="AE74" s="92"/>
      <c r="AF74" s="92"/>
      <c r="AG74" s="92"/>
      <c r="AH74" s="92"/>
      <c r="AI74" s="92"/>
      <c r="AJ74" s="92"/>
      <c r="AK74" s="92"/>
      <c r="AL74" s="92"/>
      <c r="AM74" s="92"/>
      <c r="AN74" s="92">
        <f>面积表!E122</f>
        <v>300</v>
      </c>
      <c r="AO74" s="92"/>
      <c r="AP74" s="92"/>
      <c r="AQ74" s="92"/>
      <c r="AR74" s="92"/>
      <c r="AS74" s="92"/>
      <c r="AT74" s="93"/>
      <c r="AU74" s="94"/>
      <c r="AV74" s="1975">
        <f t="shared" si="37"/>
        <v>0</v>
      </c>
      <c r="AW74" s="1975">
        <f t="shared" si="38"/>
        <v>0</v>
      </c>
      <c r="AX74" s="1975" t="str">
        <f t="shared" si="39"/>
        <v>62#</v>
      </c>
      <c r="AY74" s="95">
        <f t="shared" si="40"/>
        <v>1799.72</v>
      </c>
      <c r="AZ74" s="87">
        <f t="shared" si="41"/>
        <v>3867.76</v>
      </c>
      <c r="BA74" s="87">
        <f t="shared" si="42"/>
        <v>3567.76</v>
      </c>
      <c r="BB74" s="87">
        <f t="shared" si="43"/>
        <v>0</v>
      </c>
      <c r="BC74" s="87">
        <f t="shared" si="44"/>
        <v>0</v>
      </c>
      <c r="BD74" s="87">
        <f t="shared" si="45"/>
        <v>2117.36</v>
      </c>
      <c r="BE74" s="87">
        <f t="shared" si="46"/>
        <v>1450.4</v>
      </c>
      <c r="BF74" s="87">
        <f t="shared" si="47"/>
        <v>0</v>
      </c>
      <c r="BG74" s="87">
        <f t="shared" si="48"/>
        <v>0</v>
      </c>
      <c r="BH74" s="87">
        <f t="shared" si="49"/>
        <v>0</v>
      </c>
      <c r="BI74" s="87">
        <f t="shared" si="50"/>
        <v>0</v>
      </c>
      <c r="BJ74" s="87">
        <f t="shared" si="51"/>
        <v>0</v>
      </c>
      <c r="BK74" s="87">
        <f t="shared" si="52"/>
        <v>0</v>
      </c>
      <c r="BL74" s="87">
        <f t="shared" si="53"/>
        <v>300</v>
      </c>
      <c r="BM74" s="87">
        <f t="shared" si="54"/>
        <v>0</v>
      </c>
      <c r="BN74" s="87">
        <f t="shared" si="55"/>
        <v>0</v>
      </c>
      <c r="BO74" s="87">
        <f t="shared" si="56"/>
        <v>0</v>
      </c>
      <c r="BP74" s="87">
        <f t="shared" si="57"/>
        <v>0</v>
      </c>
      <c r="BQ74" s="87">
        <f t="shared" si="58"/>
        <v>0</v>
      </c>
      <c r="BR74" s="87">
        <f t="shared" si="59"/>
        <v>300</v>
      </c>
      <c r="BS74" s="87">
        <f t="shared" si="60"/>
        <v>0</v>
      </c>
      <c r="BT74" s="96">
        <f t="shared" si="61"/>
        <v>0</v>
      </c>
    </row>
    <row r="75" spans="1:72">
      <c r="A75" s="84"/>
      <c r="B75" s="85"/>
      <c r="C75" s="3009" t="s">
        <v>3111</v>
      </c>
      <c r="D75" s="3010" t="s">
        <v>1678</v>
      </c>
      <c r="E75" s="87">
        <f t="shared" si="33"/>
        <v>1198.7</v>
      </c>
      <c r="F75" s="88"/>
      <c r="G75" s="89">
        <f t="shared" si="34"/>
        <v>2576.12</v>
      </c>
      <c r="H75" s="90">
        <f t="shared" si="35"/>
        <v>2376.12</v>
      </c>
      <c r="I75" s="91"/>
      <c r="J75" s="91"/>
      <c r="K75" s="91"/>
      <c r="L75" s="91"/>
      <c r="M75" s="91">
        <f>面积表!G124</f>
        <v>1411.36</v>
      </c>
      <c r="N75" s="91"/>
      <c r="O75" s="91">
        <f>面积表!E125</f>
        <v>964.76</v>
      </c>
      <c r="P75" s="91"/>
      <c r="Q75" s="91"/>
      <c r="R75" s="91"/>
      <c r="S75" s="91"/>
      <c r="T75" s="91"/>
      <c r="U75" s="91"/>
      <c r="V75" s="91"/>
      <c r="W75" s="91"/>
      <c r="X75" s="91"/>
      <c r="Y75" s="91"/>
      <c r="Z75" s="91"/>
      <c r="AA75" s="91"/>
      <c r="AB75" s="91"/>
      <c r="AC75" s="87">
        <f t="shared" si="36"/>
        <v>200</v>
      </c>
      <c r="AD75" s="92"/>
      <c r="AE75" s="92"/>
      <c r="AF75" s="92"/>
      <c r="AG75" s="92"/>
      <c r="AH75" s="92"/>
      <c r="AI75" s="92"/>
      <c r="AJ75" s="92"/>
      <c r="AK75" s="92"/>
      <c r="AL75" s="92"/>
      <c r="AM75" s="92"/>
      <c r="AN75" s="92">
        <f>面积表!E124</f>
        <v>200</v>
      </c>
      <c r="AO75" s="92"/>
      <c r="AP75" s="92"/>
      <c r="AQ75" s="92"/>
      <c r="AR75" s="92"/>
      <c r="AS75" s="92"/>
      <c r="AT75" s="93"/>
      <c r="AU75" s="94"/>
      <c r="AV75" s="1975">
        <f t="shared" si="37"/>
        <v>0</v>
      </c>
      <c r="AW75" s="1975">
        <f t="shared" si="38"/>
        <v>0</v>
      </c>
      <c r="AX75" s="1975" t="str">
        <f t="shared" si="39"/>
        <v>63#</v>
      </c>
      <c r="AY75" s="95">
        <f t="shared" si="40"/>
        <v>1198.7</v>
      </c>
      <c r="AZ75" s="87">
        <f t="shared" si="41"/>
        <v>2576.12</v>
      </c>
      <c r="BA75" s="87">
        <f t="shared" si="42"/>
        <v>2376.12</v>
      </c>
      <c r="BB75" s="87">
        <f t="shared" si="43"/>
        <v>0</v>
      </c>
      <c r="BC75" s="87">
        <f t="shared" si="44"/>
        <v>0</v>
      </c>
      <c r="BD75" s="87">
        <f t="shared" si="45"/>
        <v>1411.36</v>
      </c>
      <c r="BE75" s="87">
        <f t="shared" si="46"/>
        <v>964.76</v>
      </c>
      <c r="BF75" s="87">
        <f t="shared" si="47"/>
        <v>0</v>
      </c>
      <c r="BG75" s="87">
        <f t="shared" si="48"/>
        <v>0</v>
      </c>
      <c r="BH75" s="87">
        <f t="shared" si="49"/>
        <v>0</v>
      </c>
      <c r="BI75" s="87">
        <f t="shared" si="50"/>
        <v>0</v>
      </c>
      <c r="BJ75" s="87">
        <f t="shared" si="51"/>
        <v>0</v>
      </c>
      <c r="BK75" s="87">
        <f t="shared" si="52"/>
        <v>0</v>
      </c>
      <c r="BL75" s="87">
        <f t="shared" si="53"/>
        <v>200</v>
      </c>
      <c r="BM75" s="87">
        <f t="shared" si="54"/>
        <v>0</v>
      </c>
      <c r="BN75" s="87">
        <f t="shared" si="55"/>
        <v>0</v>
      </c>
      <c r="BO75" s="87">
        <f t="shared" si="56"/>
        <v>0</v>
      </c>
      <c r="BP75" s="87">
        <f t="shared" si="57"/>
        <v>0</v>
      </c>
      <c r="BQ75" s="87">
        <f t="shared" si="58"/>
        <v>0</v>
      </c>
      <c r="BR75" s="87">
        <f t="shared" si="59"/>
        <v>200</v>
      </c>
      <c r="BS75" s="87">
        <f t="shared" si="60"/>
        <v>0</v>
      </c>
      <c r="BT75" s="96">
        <f t="shared" si="61"/>
        <v>0</v>
      </c>
    </row>
    <row r="76" spans="1:72">
      <c r="A76" s="84"/>
      <c r="B76" s="85"/>
      <c r="C76" s="3009" t="s">
        <v>3112</v>
      </c>
      <c r="D76" s="3010" t="s">
        <v>1678</v>
      </c>
      <c r="E76" s="87">
        <f t="shared" si="33"/>
        <v>598.67999999999995</v>
      </c>
      <c r="F76" s="88"/>
      <c r="G76" s="89">
        <f t="shared" si="34"/>
        <v>1286.6199999999999</v>
      </c>
      <c r="H76" s="90">
        <f t="shared" si="35"/>
        <v>1186.6199999999999</v>
      </c>
      <c r="I76" s="91"/>
      <c r="J76" s="91"/>
      <c r="K76" s="91"/>
      <c r="L76" s="91"/>
      <c r="M76" s="91">
        <f>面积表!G126</f>
        <v>708.4</v>
      </c>
      <c r="N76" s="91"/>
      <c r="O76" s="91">
        <f>面积表!E127</f>
        <v>478.22</v>
      </c>
      <c r="P76" s="91"/>
      <c r="Q76" s="91"/>
      <c r="R76" s="91"/>
      <c r="S76" s="91"/>
      <c r="T76" s="91"/>
      <c r="U76" s="91"/>
      <c r="V76" s="91"/>
      <c r="W76" s="91"/>
      <c r="X76" s="91"/>
      <c r="Y76" s="91"/>
      <c r="Z76" s="91"/>
      <c r="AA76" s="91"/>
      <c r="AB76" s="91"/>
      <c r="AC76" s="87">
        <f t="shared" si="36"/>
        <v>100</v>
      </c>
      <c r="AD76" s="92"/>
      <c r="AE76" s="92"/>
      <c r="AF76" s="92"/>
      <c r="AG76" s="92"/>
      <c r="AH76" s="92"/>
      <c r="AI76" s="92"/>
      <c r="AJ76" s="92"/>
      <c r="AK76" s="92"/>
      <c r="AL76" s="92"/>
      <c r="AM76" s="92"/>
      <c r="AN76" s="92">
        <f>面积表!E126</f>
        <v>100</v>
      </c>
      <c r="AO76" s="92"/>
      <c r="AP76" s="92"/>
      <c r="AQ76" s="92"/>
      <c r="AR76" s="92"/>
      <c r="AS76" s="92"/>
      <c r="AT76" s="93"/>
      <c r="AU76" s="94"/>
      <c r="AV76" s="1975">
        <f t="shared" si="37"/>
        <v>0</v>
      </c>
      <c r="AW76" s="1975">
        <f t="shared" si="38"/>
        <v>0</v>
      </c>
      <c r="AX76" s="1975" t="str">
        <f t="shared" si="39"/>
        <v>64#</v>
      </c>
      <c r="AY76" s="95">
        <f t="shared" si="40"/>
        <v>598.67999999999995</v>
      </c>
      <c r="AZ76" s="87">
        <f t="shared" si="41"/>
        <v>1286.6199999999999</v>
      </c>
      <c r="BA76" s="87">
        <f t="shared" si="42"/>
        <v>1186.6199999999999</v>
      </c>
      <c r="BB76" s="87">
        <f t="shared" si="43"/>
        <v>0</v>
      </c>
      <c r="BC76" s="87">
        <f t="shared" si="44"/>
        <v>0</v>
      </c>
      <c r="BD76" s="87">
        <f t="shared" si="45"/>
        <v>708.4</v>
      </c>
      <c r="BE76" s="87">
        <f t="shared" si="46"/>
        <v>478.22</v>
      </c>
      <c r="BF76" s="87">
        <f t="shared" si="47"/>
        <v>0</v>
      </c>
      <c r="BG76" s="87">
        <f t="shared" si="48"/>
        <v>0</v>
      </c>
      <c r="BH76" s="87">
        <f t="shared" si="49"/>
        <v>0</v>
      </c>
      <c r="BI76" s="87">
        <f t="shared" si="50"/>
        <v>0</v>
      </c>
      <c r="BJ76" s="87">
        <f t="shared" si="51"/>
        <v>0</v>
      </c>
      <c r="BK76" s="87">
        <f t="shared" si="52"/>
        <v>0</v>
      </c>
      <c r="BL76" s="87">
        <f t="shared" si="53"/>
        <v>100</v>
      </c>
      <c r="BM76" s="87">
        <f t="shared" si="54"/>
        <v>0</v>
      </c>
      <c r="BN76" s="87">
        <f t="shared" si="55"/>
        <v>0</v>
      </c>
      <c r="BO76" s="87">
        <f t="shared" si="56"/>
        <v>0</v>
      </c>
      <c r="BP76" s="87">
        <f t="shared" si="57"/>
        <v>0</v>
      </c>
      <c r="BQ76" s="87">
        <f t="shared" si="58"/>
        <v>0</v>
      </c>
      <c r="BR76" s="87">
        <f t="shared" si="59"/>
        <v>100</v>
      </c>
      <c r="BS76" s="87">
        <f t="shared" si="60"/>
        <v>0</v>
      </c>
      <c r="BT76" s="96">
        <f t="shared" si="61"/>
        <v>0</v>
      </c>
    </row>
    <row r="77" spans="1:72" ht="42.75">
      <c r="A77" s="84"/>
      <c r="B77" s="85"/>
      <c r="C77" s="3172" t="s">
        <v>3122</v>
      </c>
      <c r="D77" s="86" t="s">
        <v>1678</v>
      </c>
      <c r="E77" s="87">
        <f t="shared" si="33"/>
        <v>32428.19</v>
      </c>
      <c r="F77" s="88"/>
      <c r="G77" s="89">
        <f t="shared" si="34"/>
        <v>83683.78</v>
      </c>
      <c r="H77" s="90">
        <f t="shared" si="35"/>
        <v>59314.05</v>
      </c>
      <c r="I77" s="91"/>
      <c r="J77" s="91"/>
      <c r="K77" s="91"/>
      <c r="L77" s="91"/>
      <c r="M77" s="92"/>
      <c r="N77" s="92"/>
      <c r="O77" s="91">
        <f>面积表!E133</f>
        <v>953.49</v>
      </c>
      <c r="P77" s="91"/>
      <c r="Q77" s="91">
        <f>面积表!E131-13782.5+面积表!G135</f>
        <v>58360.560000000005</v>
      </c>
      <c r="R77" s="91"/>
      <c r="S77" s="91"/>
      <c r="T77" s="91"/>
      <c r="U77" s="91"/>
      <c r="V77" s="91"/>
      <c r="W77" s="91"/>
      <c r="X77" s="91"/>
      <c r="Y77" s="91"/>
      <c r="Z77" s="91"/>
      <c r="AA77" s="91"/>
      <c r="AB77" s="91"/>
      <c r="AC77" s="87">
        <f t="shared" si="36"/>
        <v>10377.23</v>
      </c>
      <c r="AD77" s="92"/>
      <c r="AE77" s="92"/>
      <c r="AF77" s="92">
        <f>面积表!E134</f>
        <v>4104</v>
      </c>
      <c r="AG77" s="92"/>
      <c r="AH77" s="92"/>
      <c r="AI77" s="92"/>
      <c r="AJ77" s="92"/>
      <c r="AK77" s="92"/>
      <c r="AL77" s="92"/>
      <c r="AM77" s="92"/>
      <c r="AN77" s="92">
        <f>面积表!E132+面积表!G136</f>
        <v>6273.23</v>
      </c>
      <c r="AO77" s="92"/>
      <c r="AP77" s="92"/>
      <c r="AQ77" s="92"/>
      <c r="AR77" s="92"/>
      <c r="AS77" s="92"/>
      <c r="AT77" s="93">
        <f>210+13782.5</f>
        <v>13992.5</v>
      </c>
      <c r="AU77" s="94"/>
      <c r="AV77" s="1975">
        <f t="shared" si="37"/>
        <v>0</v>
      </c>
      <c r="AW77" s="1975">
        <f t="shared" si="38"/>
        <v>0</v>
      </c>
      <c r="AX77" s="1975" t="str">
        <f t="shared" si="39"/>
        <v>地下车库及设备用房</v>
      </c>
      <c r="AY77" s="95">
        <f t="shared" si="40"/>
        <v>32428.19</v>
      </c>
      <c r="AZ77" s="87">
        <f t="shared" si="41"/>
        <v>69691.28</v>
      </c>
      <c r="BA77" s="87">
        <f t="shared" si="42"/>
        <v>59314.05</v>
      </c>
      <c r="BB77" s="87">
        <f t="shared" si="43"/>
        <v>0</v>
      </c>
      <c r="BC77" s="87">
        <f t="shared" si="44"/>
        <v>0</v>
      </c>
      <c r="BD77" s="87">
        <f t="shared" si="45"/>
        <v>0</v>
      </c>
      <c r="BE77" s="87">
        <f t="shared" si="46"/>
        <v>953.49</v>
      </c>
      <c r="BF77" s="87">
        <f t="shared" si="47"/>
        <v>58360.560000000005</v>
      </c>
      <c r="BG77" s="87">
        <f t="shared" si="48"/>
        <v>0</v>
      </c>
      <c r="BH77" s="87">
        <f t="shared" si="49"/>
        <v>0</v>
      </c>
      <c r="BI77" s="87">
        <f t="shared" si="50"/>
        <v>0</v>
      </c>
      <c r="BJ77" s="87">
        <f t="shared" si="51"/>
        <v>0</v>
      </c>
      <c r="BK77" s="87">
        <f t="shared" si="52"/>
        <v>0</v>
      </c>
      <c r="BL77" s="87">
        <f t="shared" si="53"/>
        <v>10377.23</v>
      </c>
      <c r="BM77" s="87">
        <f t="shared" si="54"/>
        <v>0</v>
      </c>
      <c r="BN77" s="87">
        <f t="shared" si="55"/>
        <v>4104</v>
      </c>
      <c r="BO77" s="87">
        <f t="shared" si="56"/>
        <v>0</v>
      </c>
      <c r="BP77" s="87">
        <f t="shared" si="57"/>
        <v>0</v>
      </c>
      <c r="BQ77" s="87">
        <f t="shared" si="58"/>
        <v>0</v>
      </c>
      <c r="BR77" s="87">
        <f t="shared" si="59"/>
        <v>6273.23</v>
      </c>
      <c r="BS77" s="87">
        <f t="shared" si="60"/>
        <v>0</v>
      </c>
      <c r="BT77" s="96">
        <f t="shared" si="61"/>
        <v>0</v>
      </c>
    </row>
    <row r="78" spans="1:72" ht="28.5">
      <c r="A78" s="84"/>
      <c r="B78" s="85"/>
      <c r="C78" s="85" t="s">
        <v>3123</v>
      </c>
      <c r="D78" s="86" t="s">
        <v>1678</v>
      </c>
      <c r="E78" s="87">
        <f t="shared" si="33"/>
        <v>266.98</v>
      </c>
      <c r="F78" s="88"/>
      <c r="G78" s="89">
        <f t="shared" si="34"/>
        <v>573.76</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573.76</v>
      </c>
      <c r="AD78" s="92">
        <f>面积表!H128</f>
        <v>300</v>
      </c>
      <c r="AE78" s="92"/>
      <c r="AF78" s="92">
        <f>面积表!E129+面积表!E128</f>
        <v>123.35</v>
      </c>
      <c r="AG78" s="92"/>
      <c r="AH78" s="92">
        <f>面积表!H129</f>
        <v>100</v>
      </c>
      <c r="AJ78" s="15">
        <f>面积表!E130</f>
        <v>50.41</v>
      </c>
      <c r="AK78" s="92"/>
      <c r="AL78" s="92"/>
      <c r="AM78" s="92"/>
      <c r="AN78" s="92"/>
      <c r="AO78" s="92"/>
      <c r="AP78" s="92"/>
      <c r="AQ78" s="92"/>
      <c r="AR78" s="92"/>
      <c r="AS78" s="92"/>
      <c r="AT78" s="93"/>
      <c r="AU78" s="94"/>
      <c r="AV78" s="1975">
        <f t="shared" si="37"/>
        <v>0</v>
      </c>
      <c r="AW78" s="1975">
        <f t="shared" si="38"/>
        <v>0</v>
      </c>
      <c r="AX78" s="1975" t="str">
        <f t="shared" si="39"/>
        <v>S1#配套公建</v>
      </c>
      <c r="AY78" s="95">
        <f t="shared" si="40"/>
        <v>243.52</v>
      </c>
      <c r="AZ78" s="87">
        <f t="shared" si="41"/>
        <v>523.35</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523.35</v>
      </c>
      <c r="BM78" s="87">
        <f t="shared" si="54"/>
        <v>300</v>
      </c>
      <c r="BN78" s="87">
        <f t="shared" si="55"/>
        <v>123.35</v>
      </c>
      <c r="BO78" s="87">
        <f>IF($D78="是",AH78-M77,0)</f>
        <v>100</v>
      </c>
      <c r="BP78" s="87">
        <f>IF($D78="是",N77-AK78,0)</f>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C28" sqref="C28"/>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5" style="1981" customWidth="1"/>
    <col min="20" max="16384" width="9.25" style="1981"/>
  </cols>
  <sheetData>
    <row r="1" spans="1:16" ht="18.75">
      <c r="A1" s="104" t="s">
        <v>201</v>
      </c>
      <c r="B1" s="1980"/>
      <c r="C1" s="1980"/>
      <c r="D1" s="1980"/>
      <c r="E1" s="1980"/>
      <c r="F1" s="1980"/>
      <c r="G1" s="1980"/>
      <c r="H1" s="1980"/>
      <c r="I1" s="1980"/>
      <c r="J1" s="1980"/>
      <c r="K1" s="1980"/>
      <c r="L1" s="1980"/>
    </row>
    <row r="2" spans="1:16" ht="15">
      <c r="A2" s="3291" t="s">
        <v>202</v>
      </c>
      <c r="B2" s="3291"/>
      <c r="C2" s="3291"/>
      <c r="D2" s="1971" t="s">
        <v>203</v>
      </c>
      <c r="E2" s="106" t="s">
        <v>204</v>
      </c>
      <c r="F2" s="1980"/>
      <c r="G2" s="1195"/>
      <c r="H2" s="1196"/>
      <c r="I2" s="1197" t="s">
        <v>856</v>
      </c>
      <c r="J2" s="1980"/>
      <c r="K2" s="1980"/>
      <c r="L2" s="1980"/>
    </row>
    <row r="3" spans="1:16" ht="15.75" thickBot="1">
      <c r="A3" s="3292" t="s">
        <v>205</v>
      </c>
      <c r="B3" s="3292"/>
      <c r="C3" s="3292"/>
      <c r="D3" s="107">
        <f>'数据-基础表'!AY6</f>
        <v>147515.15</v>
      </c>
      <c r="E3" s="107">
        <f>'数据-基础表'!AZ5</f>
        <v>317024.16000000015</v>
      </c>
      <c r="F3" s="1980"/>
      <c r="G3" s="277" t="s">
        <v>857</v>
      </c>
      <c r="H3" s="272" t="s">
        <v>858</v>
      </c>
      <c r="I3" s="1972">
        <f>ROUND('数据-基础表'!B3/'数据-基础表'!A3,2)</f>
        <v>2.15</v>
      </c>
      <c r="J3" s="1980"/>
      <c r="K3" s="1980"/>
      <c r="L3" s="1980"/>
    </row>
    <row r="4" spans="1:16" ht="15">
      <c r="A4" s="3293"/>
      <c r="B4" s="3294"/>
      <c r="C4" s="3295"/>
      <c r="D4" s="108" t="s">
        <v>203</v>
      </c>
      <c r="E4" s="109" t="s">
        <v>204</v>
      </c>
      <c r="F4" s="1980"/>
      <c r="G4" s="1198"/>
      <c r="H4" s="272" t="s">
        <v>859</v>
      </c>
      <c r="I4" s="1972">
        <f>ROUND(SUMIF('数据-基础表'!I9:AS9,"地上",'数据-基础表'!I5:AS5)/'数据-基础表'!A3,2)</f>
        <v>1.01</v>
      </c>
      <c r="J4" s="1980"/>
      <c r="K4" s="1980"/>
      <c r="L4" s="1980"/>
    </row>
    <row r="5" spans="1:16">
      <c r="A5" s="110" t="s">
        <v>206</v>
      </c>
      <c r="B5" s="3296" t="s">
        <v>229</v>
      </c>
      <c r="C5" s="3296"/>
      <c r="D5" s="111">
        <f>ROUND($D$3*E5/$E$3,2)</f>
        <v>68737.75</v>
      </c>
      <c r="E5" s="112">
        <f>SUMIF('数据-基础表'!$11:$11,"住宅",'数据-基础表'!$5:$5)</f>
        <v>147724.00000000003</v>
      </c>
      <c r="F5" s="1980"/>
      <c r="G5" s="277" t="s">
        <v>860</v>
      </c>
      <c r="H5" s="272" t="s">
        <v>858</v>
      </c>
      <c r="I5" s="1972">
        <f>ROUND(E31/D31,2)</f>
        <v>2.15</v>
      </c>
      <c r="J5" s="1980"/>
      <c r="K5" s="1980"/>
      <c r="L5" s="1980"/>
    </row>
    <row r="6" spans="1:16" ht="15" thickBot="1">
      <c r="A6" s="113"/>
      <c r="B6" s="3296" t="s">
        <v>207</v>
      </c>
      <c r="C6" s="3296"/>
      <c r="D6" s="111">
        <f>ROUND($D$3*E6/$E$3,2)</f>
        <v>78777.399999999994</v>
      </c>
      <c r="E6" s="112">
        <f>E3-E5</f>
        <v>169300.16000000012</v>
      </c>
      <c r="F6" s="1980"/>
      <c r="G6" s="1198"/>
      <c r="H6" s="272" t="s">
        <v>859</v>
      </c>
      <c r="I6" s="1972">
        <f>ROUND(F31/D31,2)</f>
        <v>1.01</v>
      </c>
      <c r="J6" s="1980"/>
      <c r="K6" s="1980"/>
      <c r="L6" s="1980"/>
    </row>
    <row r="7" spans="1:16" ht="15">
      <c r="A7" s="3288"/>
      <c r="B7" s="3289"/>
      <c r="C7" s="3290"/>
      <c r="D7" s="108" t="s">
        <v>203</v>
      </c>
      <c r="E7" s="114" t="s">
        <v>230</v>
      </c>
      <c r="F7" s="1980"/>
      <c r="G7" s="1153" t="s">
        <v>1645</v>
      </c>
      <c r="H7" s="1154"/>
      <c r="I7" s="1842"/>
      <c r="J7" s="1980"/>
      <c r="K7" s="1980"/>
      <c r="L7" s="1980"/>
    </row>
    <row r="8" spans="1:16">
      <c r="A8" s="110" t="s">
        <v>208</v>
      </c>
      <c r="B8" s="115" t="s">
        <v>209</v>
      </c>
      <c r="C8" s="111" t="s">
        <v>210</v>
      </c>
      <c r="D8" s="111">
        <f t="shared" ref="D8:D15" si="0">ROUND($D$3*E8/$E$3,2)</f>
        <v>68737.75</v>
      </c>
      <c r="E8" s="116">
        <f>SUMIF('数据-基础表'!BB10:BK10,"地上",'数据-基础表'!BB5:BK5)</f>
        <v>147724.00000000003</v>
      </c>
      <c r="F8" s="1980"/>
      <c r="G8" s="1982"/>
      <c r="H8" s="1982"/>
      <c r="I8" s="1980"/>
      <c r="J8" s="1980"/>
      <c r="K8" s="1980"/>
      <c r="L8" s="1980"/>
    </row>
    <row r="9" spans="1:16">
      <c r="A9" s="117"/>
      <c r="B9" s="118"/>
      <c r="C9" s="111" t="s">
        <v>211</v>
      </c>
      <c r="D9" s="111">
        <f t="shared" si="0"/>
        <v>46.53</v>
      </c>
      <c r="E9" s="3210">
        <f>'数据-基础表'!AH5</f>
        <v>100</v>
      </c>
      <c r="F9" s="1980"/>
      <c r="G9" s="1982"/>
      <c r="H9" s="1982"/>
      <c r="I9" s="1980"/>
      <c r="J9" s="1980"/>
      <c r="K9" s="1980"/>
      <c r="L9" s="1980"/>
    </row>
    <row r="10" spans="1:16">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2329</v>
      </c>
      <c r="D11" s="111">
        <f t="shared" si="0"/>
        <v>23.46</v>
      </c>
      <c r="E11" s="116">
        <f>SUMPRODUCT(('数据-基础表'!BB10:BK10="地下")*('数据-基础表'!BB11:BK11="办公")*('数据-基础表'!BB5:BK5))+'数据-基础表'!AJ5</f>
        <v>50.41</v>
      </c>
      <c r="F11" s="1980"/>
      <c r="G11" s="1982"/>
      <c r="H11" s="1982"/>
      <c r="I11" s="1980"/>
      <c r="J11" s="1980"/>
      <c r="K11" s="1980"/>
      <c r="L11" s="1980"/>
    </row>
    <row r="12" spans="1:16">
      <c r="A12" s="117"/>
      <c r="B12" s="118"/>
      <c r="C12" s="111" t="s">
        <v>213</v>
      </c>
      <c r="D12" s="111">
        <f t="shared" si="0"/>
        <v>37164.01</v>
      </c>
      <c r="E12" s="116">
        <f>SUMPRODUCT(('数据-基础表'!BB10:BK10="地下")*('数据-基础表'!BB11:BK11="仓储")*('数据-基础表'!BB5:BK5))</f>
        <v>79869.01999999996</v>
      </c>
      <c r="F12" s="1980"/>
      <c r="G12" s="1982"/>
      <c r="H12" s="1982"/>
      <c r="I12" s="1980"/>
      <c r="J12" s="1980"/>
      <c r="K12" s="1980"/>
      <c r="L12" s="1980"/>
    </row>
    <row r="13" spans="1:16">
      <c r="A13" s="117"/>
      <c r="B13" s="118"/>
      <c r="C13" s="2327" t="s">
        <v>2336</v>
      </c>
      <c r="D13" s="111">
        <f t="shared" si="0"/>
        <v>27155.87</v>
      </c>
      <c r="E13" s="116">
        <f>SUMPRODUCT(('数据-基础表'!BB10:BK10="地下")*('数据-基础表'!BB11:BK11="车库")*('数据-基础表'!BB5:BK5))</f>
        <v>58360.560000000005</v>
      </c>
      <c r="F13" s="1980"/>
      <c r="G13" s="1982"/>
      <c r="H13" s="1982"/>
      <c r="I13" s="1980"/>
      <c r="J13" s="1980"/>
      <c r="K13" s="1980"/>
      <c r="L13" s="1980"/>
    </row>
    <row r="14" spans="1:16">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214</v>
      </c>
      <c r="D16" s="115">
        <f>SUM(D8:D15)</f>
        <v>133127.62</v>
      </c>
      <c r="E16" s="119">
        <f>SUM(E8:E15)</f>
        <v>286103.99</v>
      </c>
      <c r="F16" s="1980"/>
      <c r="G16" s="1982"/>
      <c r="H16" s="965" t="s">
        <v>218</v>
      </c>
      <c r="I16" s="966"/>
      <c r="J16" s="1980"/>
      <c r="K16" s="3282" t="s">
        <v>2568</v>
      </c>
      <c r="L16" s="3283"/>
      <c r="M16" s="3283"/>
      <c r="N16" s="3283"/>
      <c r="O16" s="3283"/>
      <c r="P16" s="3284"/>
    </row>
    <row r="17" spans="1:19" ht="15">
      <c r="A17" s="120" t="s">
        <v>215</v>
      </c>
      <c r="B17" s="121" t="s">
        <v>216</v>
      </c>
      <c r="C17" s="2294" t="s">
        <v>2315</v>
      </c>
      <c r="D17" s="108" t="s">
        <v>203</v>
      </c>
      <c r="E17" s="123" t="s">
        <v>204</v>
      </c>
      <c r="F17" s="124"/>
      <c r="G17" s="1362"/>
      <c r="H17" s="967" t="s">
        <v>217</v>
      </c>
      <c r="I17" s="968" t="s">
        <v>2314</v>
      </c>
      <c r="J17" s="1980"/>
      <c r="K17" s="3285" t="s">
        <v>2569</v>
      </c>
      <c r="L17" s="3286"/>
      <c r="M17" s="3287"/>
      <c r="N17" s="3285" t="s">
        <v>2570</v>
      </c>
      <c r="O17" s="3286"/>
      <c r="P17" s="3287"/>
      <c r="R17" s="2295" t="s">
        <v>2313</v>
      </c>
      <c r="S17" s="143"/>
    </row>
    <row r="18" spans="1:19" ht="15">
      <c r="A18" s="117"/>
      <c r="B18" s="127"/>
      <c r="C18" s="128"/>
      <c r="D18" s="2638"/>
      <c r="E18" s="129" t="s">
        <v>219</v>
      </c>
      <c r="F18" s="130" t="s">
        <v>220</v>
      </c>
      <c r="G18" s="1363" t="s">
        <v>221</v>
      </c>
      <c r="H18" s="969" t="s">
        <v>222</v>
      </c>
      <c r="I18" s="970" t="s">
        <v>223</v>
      </c>
      <c r="J18" s="1980"/>
      <c r="K18" s="2601" t="s">
        <v>2571</v>
      </c>
      <c r="L18" s="2602" t="s">
        <v>2572</v>
      </c>
      <c r="M18" s="2603" t="s">
        <v>2573</v>
      </c>
      <c r="N18" s="2601" t="s">
        <v>2571</v>
      </c>
      <c r="O18" s="2602" t="s">
        <v>2572</v>
      </c>
      <c r="P18" s="2603" t="s">
        <v>2573</v>
      </c>
      <c r="R18" s="2296" t="s">
        <v>2311</v>
      </c>
      <c r="S18" s="2296" t="s">
        <v>2312</v>
      </c>
    </row>
    <row r="19" spans="1:19">
      <c r="A19" s="132"/>
      <c r="B19" s="115" t="s">
        <v>224</v>
      </c>
      <c r="C19" s="3018" t="s">
        <v>3262</v>
      </c>
      <c r="D19" s="111">
        <f t="shared" ref="D19:D26" si="1">ROUND($D$3*E19/$E$3,2)</f>
        <v>57724.74</v>
      </c>
      <c r="E19" s="133">
        <f t="shared" ref="E19:E26" si="2">SUM(F19:G19)</f>
        <v>124055.99000000002</v>
      </c>
      <c r="F19" s="134">
        <f>'数据-基础表'!I5+'数据-基础表'!K5+'数据-基础表'!M5-F22</f>
        <v>124055.99000000002</v>
      </c>
      <c r="G19" s="1364"/>
      <c r="H19" s="971">
        <f>ROUND($D$3*I19/$E$3,2)</f>
        <v>7263.33</v>
      </c>
      <c r="I19" s="116">
        <f>IF($I$17="自定义",P19,M19)</f>
        <v>15609.59</v>
      </c>
      <c r="J19" s="1980"/>
      <c r="K19" s="2604">
        <f t="shared" ref="K19:K26" si="3">ROUND(E$28*E19/E$27,2)</f>
        <v>11202.96</v>
      </c>
      <c r="L19" s="272">
        <f t="shared" ref="L19:L26" si="4">ROUND(IF(COUNTIF(C19,"*住宅*")&gt;0,E$29*E19/E$32,0),2)</f>
        <v>4406.63</v>
      </c>
      <c r="M19" s="2605">
        <f>K19+L19</f>
        <v>15609.59</v>
      </c>
      <c r="N19" s="2606"/>
      <c r="O19" s="2607"/>
      <c r="P19" s="2608">
        <f>N19+O19</f>
        <v>0</v>
      </c>
      <c r="R19" s="272">
        <f t="shared" ref="R19:S26" si="5">D19+H19</f>
        <v>64988.07</v>
      </c>
      <c r="S19" s="2297">
        <f t="shared" si="5"/>
        <v>139665.58000000002</v>
      </c>
    </row>
    <row r="20" spans="1:19">
      <c r="A20" s="137"/>
      <c r="B20" s="115" t="s">
        <v>225</v>
      </c>
      <c r="C20" s="3018" t="s">
        <v>3256</v>
      </c>
      <c r="D20" s="111">
        <f t="shared" si="1"/>
        <v>37164.01</v>
      </c>
      <c r="E20" s="133">
        <f t="shared" si="2"/>
        <v>79869.01999999996</v>
      </c>
      <c r="F20" s="134"/>
      <c r="G20" s="1364">
        <f>'数据-基础表'!O5</f>
        <v>79869.01999999996</v>
      </c>
      <c r="H20" s="971">
        <f t="shared" ref="H20:H26" si="6">ROUND($D$3*I20/$E$3,2)</f>
        <v>3356.12</v>
      </c>
      <c r="I20" s="116">
        <f t="shared" ref="I20:I26" si="7">IF($I$17="自定义",P20,M20)</f>
        <v>7212.63</v>
      </c>
      <c r="J20" s="1980"/>
      <c r="K20" s="2604">
        <f t="shared" si="3"/>
        <v>7212.63</v>
      </c>
      <c r="L20" s="272">
        <f t="shared" si="4"/>
        <v>0</v>
      </c>
      <c r="M20" s="2605">
        <f t="shared" ref="M20:M26" si="8">K20+L20</f>
        <v>7212.63</v>
      </c>
      <c r="N20" s="2606"/>
      <c r="O20" s="2607"/>
      <c r="P20" s="2608">
        <f t="shared" ref="P20:P26" si="9">N20+O20</f>
        <v>0</v>
      </c>
      <c r="R20" s="272">
        <f t="shared" si="5"/>
        <v>40520.130000000005</v>
      </c>
      <c r="S20" s="2297">
        <f t="shared" si="5"/>
        <v>87081.649999999965</v>
      </c>
    </row>
    <row r="21" spans="1:19">
      <c r="A21" s="137"/>
      <c r="B21" s="115" t="s">
        <v>225</v>
      </c>
      <c r="C21" s="3018" t="s">
        <v>3257</v>
      </c>
      <c r="D21" s="111">
        <f t="shared" si="1"/>
        <v>27155.87</v>
      </c>
      <c r="E21" s="133">
        <f t="shared" si="2"/>
        <v>58360.560000000005</v>
      </c>
      <c r="F21" s="134"/>
      <c r="G21" s="1364">
        <f>'数据-基础表'!Q5</f>
        <v>58360.560000000005</v>
      </c>
      <c r="H21" s="971">
        <f t="shared" si="6"/>
        <v>2452.33</v>
      </c>
      <c r="I21" s="116">
        <f t="shared" si="7"/>
        <v>5270.29</v>
      </c>
      <c r="J21" s="1980"/>
      <c r="K21" s="2604">
        <f t="shared" si="3"/>
        <v>5270.29</v>
      </c>
      <c r="L21" s="272">
        <f t="shared" si="4"/>
        <v>0</v>
      </c>
      <c r="M21" s="2605">
        <f t="shared" si="8"/>
        <v>5270.29</v>
      </c>
      <c r="N21" s="2606"/>
      <c r="O21" s="2607"/>
      <c r="P21" s="2608">
        <f t="shared" si="9"/>
        <v>0</v>
      </c>
      <c r="R21" s="272">
        <f t="shared" si="5"/>
        <v>29608.199999999997</v>
      </c>
      <c r="S21" s="2297">
        <f t="shared" si="5"/>
        <v>63630.850000000006</v>
      </c>
    </row>
    <row r="22" spans="1:19">
      <c r="A22" s="137"/>
      <c r="B22" s="115" t="s">
        <v>225</v>
      </c>
      <c r="C22" s="3192" t="s">
        <v>3264</v>
      </c>
      <c r="D22" s="111">
        <f t="shared" si="1"/>
        <v>11013.01</v>
      </c>
      <c r="E22" s="133">
        <f t="shared" si="2"/>
        <v>23668.010000000002</v>
      </c>
      <c r="F22" s="3209">
        <f>面积表!G2+面积表!G4+面积表!G5+面积表!G6+面积表!G7+面积表!H9+面积表!G100+面积表!G102</f>
        <v>23668.010000000002</v>
      </c>
      <c r="G22" s="1365"/>
      <c r="H22" s="971">
        <f t="shared" si="6"/>
        <v>1385.74</v>
      </c>
      <c r="I22" s="116">
        <f t="shared" si="7"/>
        <v>2978.08</v>
      </c>
      <c r="J22" s="1980"/>
      <c r="K22" s="2604">
        <f t="shared" si="3"/>
        <v>2137.36</v>
      </c>
      <c r="L22" s="272">
        <f t="shared" si="4"/>
        <v>840.72</v>
      </c>
      <c r="M22" s="2605">
        <f t="shared" si="8"/>
        <v>2978.08</v>
      </c>
      <c r="N22" s="2606"/>
      <c r="O22" s="2607"/>
      <c r="P22" s="2608">
        <f t="shared" si="9"/>
        <v>0</v>
      </c>
      <c r="R22" s="272">
        <f t="shared" si="5"/>
        <v>12398.75</v>
      </c>
      <c r="S22" s="2297">
        <f t="shared" si="5"/>
        <v>26646.090000000004</v>
      </c>
    </row>
    <row r="23" spans="1:19">
      <c r="A23" s="137"/>
      <c r="B23" s="115" t="s">
        <v>225</v>
      </c>
      <c r="C23" s="138"/>
      <c r="D23" s="111">
        <f>ROUND($D$3*E23/$E$3,2)</f>
        <v>0</v>
      </c>
      <c r="E23" s="133">
        <f>SUM(F23:G23)</f>
        <v>0</v>
      </c>
      <c r="F23" s="139"/>
      <c r="G23" s="1365"/>
      <c r="H23" s="971">
        <f>ROUND($D$3*I23/$E$3,2)</f>
        <v>0</v>
      </c>
      <c r="I23" s="116">
        <f t="shared" si="7"/>
        <v>0</v>
      </c>
      <c r="J23" s="1980"/>
      <c r="K23" s="2604">
        <f t="shared" si="3"/>
        <v>0</v>
      </c>
      <c r="L23" s="272">
        <f t="shared" si="4"/>
        <v>0</v>
      </c>
      <c r="M23" s="2605">
        <f t="shared" si="8"/>
        <v>0</v>
      </c>
      <c r="N23" s="2606"/>
      <c r="O23" s="2607"/>
      <c r="P23" s="2608">
        <f t="shared" si="9"/>
        <v>0</v>
      </c>
      <c r="R23" s="272">
        <f t="shared" si="5"/>
        <v>0</v>
      </c>
      <c r="S23" s="2297">
        <f t="shared" si="5"/>
        <v>0</v>
      </c>
    </row>
    <row r="24" spans="1:19">
      <c r="A24" s="137"/>
      <c r="B24" s="115" t="s">
        <v>225</v>
      </c>
      <c r="C24" s="138"/>
      <c r="D24" s="111">
        <f>ROUND($D$3*E24/$E$3,2)</f>
        <v>0</v>
      </c>
      <c r="E24" s="133">
        <f>SUM(F24:G24)</f>
        <v>0</v>
      </c>
      <c r="F24" s="139"/>
      <c r="G24" s="1365"/>
      <c r="H24" s="971">
        <f>ROUND($D$3*I24/$E$3,2)</f>
        <v>0</v>
      </c>
      <c r="I24" s="116">
        <f t="shared" si="7"/>
        <v>0</v>
      </c>
      <c r="J24" s="1980"/>
      <c r="K24" s="2604">
        <f t="shared" si="3"/>
        <v>0</v>
      </c>
      <c r="L24" s="272">
        <f t="shared" si="4"/>
        <v>0</v>
      </c>
      <c r="M24" s="2605">
        <f t="shared" si="8"/>
        <v>0</v>
      </c>
      <c r="N24" s="2606"/>
      <c r="O24" s="2607"/>
      <c r="P24" s="2608">
        <f t="shared" si="9"/>
        <v>0</v>
      </c>
      <c r="R24" s="272">
        <f t="shared" si="5"/>
        <v>0</v>
      </c>
      <c r="S24" s="2297">
        <f t="shared" si="5"/>
        <v>0</v>
      </c>
    </row>
    <row r="25" spans="1:19">
      <c r="A25" s="137"/>
      <c r="B25" s="115" t="s">
        <v>225</v>
      </c>
      <c r="C25" s="138"/>
      <c r="D25" s="111">
        <f t="shared" si="1"/>
        <v>0</v>
      </c>
      <c r="E25" s="133">
        <f t="shared" si="2"/>
        <v>0</v>
      </c>
      <c r="F25" s="139"/>
      <c r="G25" s="1365"/>
      <c r="H25" s="110">
        <f t="shared" si="6"/>
        <v>0</v>
      </c>
      <c r="I25" s="116">
        <f t="shared" si="7"/>
        <v>0</v>
      </c>
      <c r="J25" s="1980"/>
      <c r="K25" s="2604">
        <f t="shared" si="3"/>
        <v>0</v>
      </c>
      <c r="L25" s="272">
        <f t="shared" si="4"/>
        <v>0</v>
      </c>
      <c r="M25" s="2605">
        <f t="shared" si="8"/>
        <v>0</v>
      </c>
      <c r="N25" s="2606"/>
      <c r="O25" s="2607"/>
      <c r="P25" s="2608">
        <f t="shared" si="9"/>
        <v>0</v>
      </c>
      <c r="R25" s="272">
        <f t="shared" si="5"/>
        <v>0</v>
      </c>
      <c r="S25" s="2297">
        <f t="shared" si="5"/>
        <v>0</v>
      </c>
    </row>
    <row r="26" spans="1:19">
      <c r="A26" s="137"/>
      <c r="B26" s="115" t="s">
        <v>225</v>
      </c>
      <c r="C26" s="141"/>
      <c r="D26" s="111">
        <f t="shared" si="1"/>
        <v>0</v>
      </c>
      <c r="E26" s="133">
        <f t="shared" si="2"/>
        <v>0</v>
      </c>
      <c r="F26" s="139"/>
      <c r="G26" s="1365"/>
      <c r="H26" s="110">
        <f t="shared" si="6"/>
        <v>0</v>
      </c>
      <c r="I26" s="116">
        <f t="shared" si="7"/>
        <v>0</v>
      </c>
      <c r="J26" s="1980"/>
      <c r="K26" s="2609">
        <f t="shared" si="3"/>
        <v>0</v>
      </c>
      <c r="L26" s="277">
        <f t="shared" si="4"/>
        <v>0</v>
      </c>
      <c r="M26" s="145">
        <f t="shared" si="8"/>
        <v>0</v>
      </c>
      <c r="N26" s="2610"/>
      <c r="O26" s="2611"/>
      <c r="P26" s="2612">
        <f t="shared" si="9"/>
        <v>0</v>
      </c>
      <c r="R26" s="272">
        <f t="shared" si="5"/>
        <v>0</v>
      </c>
      <c r="S26" s="2297">
        <f t="shared" si="5"/>
        <v>0</v>
      </c>
    </row>
    <row r="27" spans="1:19" ht="29.25" thickBot="1">
      <c r="A27" s="137"/>
      <c r="B27" s="111"/>
      <c r="C27" s="126" t="s">
        <v>214</v>
      </c>
      <c r="D27" s="133">
        <f>SUM(D19:D26)</f>
        <v>133057.63</v>
      </c>
      <c r="E27" s="142">
        <f>IF(SUM(E19:E26)='数据-基础表'!BA5,SUM(E19:E26),IF(F27="地上面积有误","面积有误","地下面积有误"))</f>
        <v>285953.58</v>
      </c>
      <c r="F27" s="133">
        <f>IF(SUM(F19:F26)=E8,SUM(F19:F26),"地上面积有误")</f>
        <v>147724.00000000003</v>
      </c>
      <c r="G27" s="112">
        <f>SUM(G19:G26)</f>
        <v>138229.57999999996</v>
      </c>
      <c r="H27" s="972">
        <f>SUM(H19:H26)</f>
        <v>14457.52</v>
      </c>
      <c r="I27" s="973">
        <f>SUM(I19:I26)</f>
        <v>31070.590000000004</v>
      </c>
      <c r="J27" s="1980"/>
      <c r="K27" s="2613">
        <f>SUM(K19:K26)</f>
        <v>25823.24</v>
      </c>
      <c r="L27" s="2614">
        <f>SUM(L19:L26)</f>
        <v>5247.35</v>
      </c>
      <c r="M27" s="2615">
        <f>SUM(M19:M26)</f>
        <v>31070.590000000004</v>
      </c>
      <c r="N27" s="2613">
        <f t="shared" ref="N27:O27" si="10">SUM(N19:N26)</f>
        <v>0</v>
      </c>
      <c r="O27" s="2614">
        <f t="shared" si="10"/>
        <v>0</v>
      </c>
      <c r="P27" s="2616">
        <f>SUM(P19:P26)</f>
        <v>0</v>
      </c>
      <c r="R27" s="2301">
        <f>IF(SUM(R19:R26)=$D$3,SUM(R19:R26),SUM(R19:R26)&amp;"误差"&amp;ROUND(SUM(R19:R26)-$D$3,2))</f>
        <v>147515.15000000002</v>
      </c>
      <c r="S27" s="272" t="str">
        <f>IF(SUM(S19:S26)=$E$3,SUM(S19:S26),SUM(S19:S26)&amp;"误差"&amp;ROUND(SUM(S19:S26)-E3,2))</f>
        <v>317024.17误差0.01</v>
      </c>
    </row>
    <row r="28" spans="1:19">
      <c r="A28" s="137"/>
      <c r="B28" s="115" t="s">
        <v>226</v>
      </c>
      <c r="C28" s="135" t="s">
        <v>227</v>
      </c>
      <c r="D28" s="111">
        <f>ROUND($D$3*E28/$E$3,2)</f>
        <v>12015.86</v>
      </c>
      <c r="E28" s="133">
        <f>SUM(F28:G28)</f>
        <v>25823.23</v>
      </c>
      <c r="F28" s="143">
        <f>'数据-基础表'!BQ5+'数据-基础表'!BS5</f>
        <v>50</v>
      </c>
      <c r="G28" s="144">
        <f>'数据-基础表'!BR5+'数据-基础表'!BT5</f>
        <v>25773.23</v>
      </c>
      <c r="H28" s="1980"/>
      <c r="I28" s="1980"/>
      <c r="J28" s="1980"/>
      <c r="K28" s="1980"/>
      <c r="L28" s="1980"/>
    </row>
    <row r="29" spans="1:19">
      <c r="A29" s="137"/>
      <c r="B29" s="115" t="s">
        <v>226</v>
      </c>
      <c r="C29" s="2309" t="s">
        <v>2322</v>
      </c>
      <c r="D29" s="111">
        <f>ROUND($D$3*E29/$E$3,2)</f>
        <v>2441.65</v>
      </c>
      <c r="E29" s="133">
        <f>SUM(F29:G29)</f>
        <v>5247.35</v>
      </c>
      <c r="F29" s="143">
        <f>'数据-基础表'!BM5+'数据-基础表'!BO5</f>
        <v>1020</v>
      </c>
      <c r="G29" s="145">
        <f>'数据-基础表'!BN5+'数据-基础表'!BP5</f>
        <v>4227.3500000000004</v>
      </c>
      <c r="H29" s="1980"/>
      <c r="I29" s="1980"/>
      <c r="J29" s="1980"/>
      <c r="K29" s="1980"/>
      <c r="L29" s="1980"/>
    </row>
    <row r="30" spans="1:19">
      <c r="A30" s="137"/>
      <c r="B30" s="111"/>
      <c r="C30" s="146" t="s">
        <v>214</v>
      </c>
      <c r="D30" s="133">
        <f>SUM(D28:D29)</f>
        <v>14457.51</v>
      </c>
      <c r="E30" s="133">
        <f>SUM(E28:E29)</f>
        <v>31070.58</v>
      </c>
      <c r="F30" s="133">
        <f>SUM(F28:F29)</f>
        <v>1070</v>
      </c>
      <c r="G30" s="112">
        <f>SUM(G28:G29)</f>
        <v>30000.58</v>
      </c>
      <c r="H30" s="1980"/>
      <c r="I30" s="1980"/>
      <c r="J30" s="1980"/>
      <c r="K30" s="1980"/>
      <c r="L30" s="1980"/>
    </row>
    <row r="31" spans="1:19" ht="32.25" customHeight="1" thickBot="1">
      <c r="A31" s="1366"/>
      <c r="B31" s="1367" t="s">
        <v>228</v>
      </c>
      <c r="C31" s="2326" t="s">
        <v>2324</v>
      </c>
      <c r="D31" s="1368">
        <f>D27+D30</f>
        <v>147515.14000000001</v>
      </c>
      <c r="E31" s="1368">
        <f>E27+E30</f>
        <v>317024.16000000003</v>
      </c>
      <c r="F31" s="1369">
        <f>F27+F30</f>
        <v>148794.00000000003</v>
      </c>
      <c r="G31" s="1370">
        <f>G27+G30</f>
        <v>168230.15999999997</v>
      </c>
      <c r="H31" s="1980"/>
      <c r="I31" s="1980"/>
      <c r="J31" s="1980"/>
      <c r="K31" s="1980"/>
      <c r="L31" s="1980"/>
    </row>
    <row r="32" spans="1:19">
      <c r="A32" s="1980"/>
      <c r="B32" s="2359" t="s">
        <v>2323</v>
      </c>
      <c r="C32" s="2643"/>
      <c r="D32" s="1198"/>
      <c r="E32" s="1198">
        <f>SUMIF(C19:C26,"*住宅*",E19:E26)</f>
        <v>147724.00000000003</v>
      </c>
      <c r="F32" s="1198"/>
      <c r="G32" s="1198"/>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233</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234</v>
      </c>
      <c r="B2" s="2334">
        <f>项目基本情况!D3</f>
        <v>43403</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863</v>
      </c>
      <c r="B4" s="151"/>
      <c r="C4" s="152"/>
      <c r="D4" s="1205"/>
      <c r="E4" s="1206" t="s">
        <v>864</v>
      </c>
      <c r="F4" s="152"/>
      <c r="G4" s="152"/>
      <c r="H4" s="152"/>
      <c r="I4" s="152"/>
      <c r="J4" s="153"/>
      <c r="K4" s="1207"/>
      <c r="L4" s="1208"/>
      <c r="M4" s="152"/>
      <c r="N4" s="1206"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2326</v>
      </c>
      <c r="B5" s="155" t="s">
        <v>235</v>
      </c>
      <c r="C5" s="156" t="s">
        <v>236</v>
      </c>
      <c r="D5" s="157" t="s">
        <v>237</v>
      </c>
      <c r="E5" s="158" t="s">
        <v>238</v>
      </c>
      <c r="F5" s="159" t="s">
        <v>239</v>
      </c>
      <c r="G5" s="158" t="s">
        <v>240</v>
      </c>
      <c r="H5" s="158" t="s">
        <v>861</v>
      </c>
      <c r="I5" s="158" t="s">
        <v>862</v>
      </c>
      <c r="J5" s="160" t="s">
        <v>241</v>
      </c>
      <c r="K5" s="161" t="s">
        <v>242</v>
      </c>
      <c r="L5" s="162" t="s">
        <v>243</v>
      </c>
      <c r="M5" s="163" t="s">
        <v>244</v>
      </c>
      <c r="N5" s="1216" t="s">
        <v>2829</v>
      </c>
      <c r="O5" s="162" t="s">
        <v>245</v>
      </c>
      <c r="P5" s="164" t="s">
        <v>246</v>
      </c>
      <c r="Q5" s="165" t="s">
        <v>247</v>
      </c>
      <c r="R5" s="166" t="s">
        <v>248</v>
      </c>
      <c r="S5" s="2617" t="s">
        <v>2574</v>
      </c>
      <c r="T5" s="167" t="s">
        <v>249</v>
      </c>
      <c r="U5" s="168" t="s">
        <v>250</v>
      </c>
      <c r="V5" s="158" t="s">
        <v>251</v>
      </c>
      <c r="W5" s="158" t="s">
        <v>252</v>
      </c>
      <c r="X5" s="1814"/>
      <c r="Y5" s="169" t="s">
        <v>253</v>
      </c>
      <c r="Z5" s="170" t="s">
        <v>254</v>
      </c>
      <c r="AA5" s="158" t="s">
        <v>251</v>
      </c>
      <c r="AB5" s="158" t="s">
        <v>252</v>
      </c>
      <c r="AC5" s="1815"/>
      <c r="AD5" s="171" t="s">
        <v>253</v>
      </c>
      <c r="AE5" s="1" t="s">
        <v>869</v>
      </c>
      <c r="AF5" s="158" t="s">
        <v>255</v>
      </c>
      <c r="AG5" s="169" t="s">
        <v>256</v>
      </c>
      <c r="AH5" s="1815" t="s">
        <v>2325</v>
      </c>
      <c r="AI5" s="170" t="s">
        <v>2294</v>
      </c>
      <c r="AJ5" s="170" t="s">
        <v>257</v>
      </c>
      <c r="AK5" s="158" t="s">
        <v>258</v>
      </c>
      <c r="AL5" s="158" t="s">
        <v>259</v>
      </c>
      <c r="AM5" s="171" t="s">
        <v>260</v>
      </c>
      <c r="AN5" s="2387"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销售住宅</v>
      </c>
      <c r="B6" s="2333" t="str">
        <f>IF(A6=0,"","经营性")</f>
        <v>经营性</v>
      </c>
      <c r="C6" s="172" t="s">
        <v>922</v>
      </c>
      <c r="D6" s="2304">
        <f>SUMIF(项目基本情况!D$15:I$15,C6,项目基本情况!D$18:I$18)</f>
        <v>70</v>
      </c>
      <c r="E6" s="2305">
        <f>IF(B6="","",SUMIF(项目基本情况!D$15:I$15,C6,项目基本情况!D$17:I$17))</f>
        <v>68865</v>
      </c>
      <c r="F6" s="173">
        <f>SUMIF(项目基本情况!D$15:I$15,C6,项目基本情况!D$19:I$19)</f>
        <v>69.75</v>
      </c>
      <c r="G6" s="174">
        <f>IF(ISERROR(ROUND(POWER(1+H6,D6-F6)*(POWER(1+H6,F6)-1)/(POWER(1+H6,D6)-1),3)),0,ROUND(POWER(1+H6,D6-F6)*(POWER(1+H6,F6)-1)/(POWER(1+H6,D6)-1),3))</f>
        <v>0.999</v>
      </c>
      <c r="H6" s="3019">
        <v>0.04</v>
      </c>
      <c r="I6" s="175">
        <v>4.4999999999999998E-2</v>
      </c>
      <c r="J6" s="175">
        <v>0.08</v>
      </c>
      <c r="K6" s="178">
        <f>SUMIF('数据-汇总表'!C$19:C$33,'数据-取费表'!A6,'数据-汇总表'!E$19:E$33)</f>
        <v>124055.99000000002</v>
      </c>
      <c r="L6" s="3201">
        <v>3000</v>
      </c>
      <c r="M6" s="176">
        <f t="shared" ref="M6:M14" si="0">ROUND(K6*L6/10000,0)</f>
        <v>37217</v>
      </c>
      <c r="N6" s="3020">
        <v>0</v>
      </c>
      <c r="O6" s="176">
        <f>IF($N$5="成新度","——",ROUND(M6*N6,0))</f>
        <v>0</v>
      </c>
      <c r="P6" s="177">
        <f>IF($N$5="成新度","——",M6-O6)</f>
        <v>37217</v>
      </c>
      <c r="Q6" s="3021">
        <v>0.15</v>
      </c>
      <c r="R6" s="178">
        <f>SUMIF('数据-汇总表'!C$19:C$33,A6,'数据-汇总表'!R$19:R$33)</f>
        <v>64988.07</v>
      </c>
      <c r="S6" s="131">
        <f>IF('数据-汇总表'!$I$17="按面积比例",SUMIF('数据-汇总表'!C$19:C$33,A6,'数据-汇总表'!K$19:K$33),SUMIF('数据-汇总表'!C$19:C$33,A6,'数据-汇总表'!N$19:N$33))</f>
        <v>11202.96</v>
      </c>
      <c r="T6" s="2230">
        <f>IF($T$4="按面积比例",IF(ISERROR(ROUND($M$14*S6/S$16,0)),"0",ROUND($M$14*S6/S$16,0)),"需自行计算录入")</f>
        <v>2465</v>
      </c>
      <c r="U6" s="179"/>
      <c r="V6" s="180"/>
      <c r="W6" s="180">
        <v>0.1</v>
      </c>
      <c r="X6" s="2317"/>
      <c r="Y6" s="181">
        <v>1</v>
      </c>
      <c r="Z6" s="182"/>
      <c r="AA6" s="175"/>
      <c r="AB6" s="175"/>
      <c r="AC6" s="2320"/>
      <c r="AD6" s="183"/>
      <c r="AE6" s="969">
        <f ca="1">IF(AN6="",0,SUMIF(INDIRECT("'"&amp;AN6&amp;"'"&amp;"!E:E"),$AE$5,INDIRECT("'"&amp;AN6&amp;"'"&amp;"!F:F")))</f>
        <v>0</v>
      </c>
      <c r="AF6" s="140"/>
      <c r="AG6" s="1210">
        <f>IF(AF6="",0,AE6-AF6)</f>
        <v>0</v>
      </c>
      <c r="AH6" s="140"/>
      <c r="AI6" s="186">
        <v>365</v>
      </c>
      <c r="AJ6" s="187"/>
      <c r="AK6" s="188">
        <v>1.4999999999999999E-2</v>
      </c>
      <c r="AL6" s="189">
        <v>1.5E-3</v>
      </c>
      <c r="AM6" s="3032">
        <v>0.01</v>
      </c>
      <c r="AN6" s="2388"/>
      <c r="AO6" s="1996"/>
      <c r="AP6" s="1201">
        <f>ROUND(1-1/(1+H6)^F6,3)</f>
        <v>0.93500000000000005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地下仓储</v>
      </c>
      <c r="B7" s="2333" t="str">
        <f t="shared" ref="B7:B13" si="1">IF(A7=0,"","经营性")</f>
        <v>经营性</v>
      </c>
      <c r="C7" s="172" t="s">
        <v>3120</v>
      </c>
      <c r="D7" s="2304">
        <f>SUMIF(项目基本情况!D$15:I$15,C7,项目基本情况!D$18:I$18)</f>
        <v>50</v>
      </c>
      <c r="E7" s="2305">
        <f>IF(B7="","",SUMIF(项目基本情况!D$15:I$15,C7,项目基本情况!D$17:I$17))</f>
        <v>61560</v>
      </c>
      <c r="F7" s="173">
        <f>SUMIF(项目基本情况!D$15:I$15,C7,项目基本情况!D$19:I$19)</f>
        <v>49.74</v>
      </c>
      <c r="G7" s="174">
        <f t="shared" ref="G7:G11" si="2">IF(ISERROR(ROUND(POWER(1+H7,D7-F7)*(POWER(1+H7,F7)-1)/(POWER(1+H7,D7)-1),3)),0,ROUND(POWER(1+H7,D7-F7)*(POWER(1+H7,F7)-1)/(POWER(1+H7,D7)-1),3))</f>
        <v>0.999</v>
      </c>
      <c r="H7" s="3197">
        <v>4.4999999999999998E-2</v>
      </c>
      <c r="I7" s="175">
        <v>0.05</v>
      </c>
      <c r="J7" s="175">
        <v>0.08</v>
      </c>
      <c r="K7" s="178">
        <f>SUMIF('数据-汇总表'!C$19:C$33,'数据-取费表'!A7,'数据-汇总表'!E$19:E$33)</f>
        <v>79869.01999999996</v>
      </c>
      <c r="L7" s="3201">
        <v>2500</v>
      </c>
      <c r="M7" s="176">
        <f t="shared" si="0"/>
        <v>19967</v>
      </c>
      <c r="N7" s="3020">
        <v>0</v>
      </c>
      <c r="O7" s="176">
        <f t="shared" ref="O7:O14" si="3">IF($N$5="成新度","——",ROUND(M7*N7,0))</f>
        <v>0</v>
      </c>
      <c r="P7" s="177">
        <f t="shared" ref="P7:P14" si="4">IF($N$5="成新度","——",M7-O7)</f>
        <v>19967</v>
      </c>
      <c r="Q7" s="3021">
        <v>0.05</v>
      </c>
      <c r="R7" s="178">
        <f>SUMIF('数据-汇总表'!C$19:C$33,A7,'数据-汇总表'!R$19:R$33)</f>
        <v>40520.130000000005</v>
      </c>
      <c r="S7" s="131">
        <f>IF('数据-汇总表'!$I$17="按面积比例",SUMIF('数据-汇总表'!C$19:C$33,A7,'数据-汇总表'!K$19:K$33),SUMIF('数据-汇总表'!C$19:C$33,A7,'数据-汇总表'!N$19:N$33))</f>
        <v>7212.63</v>
      </c>
      <c r="T7" s="2230">
        <f t="shared" ref="T7:T13" si="5">IF($T$4="按面积比例",IF(ISERROR(ROUND($M$14*S7/S$16,0)),"0",ROUND($M$14*S7/S$16,0)),"需自行计算录入")</f>
        <v>1587</v>
      </c>
      <c r="U7" s="179"/>
      <c r="V7" s="180"/>
      <c r="W7" s="180"/>
      <c r="X7" s="2317"/>
      <c r="Y7" s="181">
        <v>1</v>
      </c>
      <c r="Z7" s="182"/>
      <c r="AA7" s="175"/>
      <c r="AB7" s="175"/>
      <c r="AC7" s="2320"/>
      <c r="AD7" s="183"/>
      <c r="AE7" s="969">
        <f t="shared" ref="AE7:AE13" ca="1" si="6">IF(AN7="",0,SUMIF(INDIRECT("'"&amp;AN7&amp;"'"&amp;"!E:E"),$AE$5,INDIRECT("'"&amp;AN7&amp;"'"&amp;"!F:F")))</f>
        <v>47.74</v>
      </c>
      <c r="AF7" s="140"/>
      <c r="AG7" s="1210">
        <f t="shared" ref="AG7:AG13" si="7">IF(AF7="",0,AE7-AF7)</f>
        <v>0</v>
      </c>
      <c r="AH7" s="140"/>
      <c r="AI7" s="186">
        <v>365</v>
      </c>
      <c r="AJ7" s="187"/>
      <c r="AK7" s="188">
        <v>1.4999999999999999E-2</v>
      </c>
      <c r="AL7" s="189">
        <v>1.5E-3</v>
      </c>
      <c r="AM7" s="3032">
        <v>0.01</v>
      </c>
      <c r="AN7" s="2388" t="s">
        <v>3273</v>
      </c>
      <c r="AO7" s="1996"/>
      <c r="AP7" s="1201">
        <f t="shared" ref="AP7:AP13" si="8">ROUND(1-1/(1+H7)^F7,3)</f>
        <v>0.88800000000000001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2" t="s">
        <v>3119</v>
      </c>
      <c r="D8" s="2304">
        <f>SUMIF(项目基本情况!D$15:I$15,C8,项目基本情况!D$18:I$18)</f>
        <v>50</v>
      </c>
      <c r="E8" s="2305">
        <f>IF(B8="","",SUMIF(项目基本情况!D$15:I$15,C8,项目基本情况!D$17:I$17))</f>
        <v>61560</v>
      </c>
      <c r="F8" s="173">
        <f>SUMIF(项目基本情况!D$15:I$15,C8,项目基本情况!D$19:I$19)</f>
        <v>49.74</v>
      </c>
      <c r="G8" s="174">
        <f t="shared" si="2"/>
        <v>0.999</v>
      </c>
      <c r="H8" s="3197">
        <v>4.4999999999999998E-2</v>
      </c>
      <c r="I8" s="175">
        <v>0.05</v>
      </c>
      <c r="J8" s="175">
        <v>0.08</v>
      </c>
      <c r="K8" s="178">
        <f>SUMIF('数据-汇总表'!C$19:C$33,'数据-取费表'!A8,'数据-汇总表'!E$19:E$33)</f>
        <v>58360.560000000005</v>
      </c>
      <c r="L8" s="3201">
        <v>2200</v>
      </c>
      <c r="M8" s="176">
        <f>ROUND(K8*L8/10000,0)</f>
        <v>12839</v>
      </c>
      <c r="N8" s="3020">
        <v>0</v>
      </c>
      <c r="O8" s="176">
        <f t="shared" si="3"/>
        <v>0</v>
      </c>
      <c r="P8" s="177">
        <f t="shared" si="4"/>
        <v>12839</v>
      </c>
      <c r="Q8" s="3021">
        <v>0.03</v>
      </c>
      <c r="R8" s="178">
        <f>SUMIF('数据-汇总表'!C$19:C$33,A8,'数据-汇总表'!R$19:R$33)</f>
        <v>29608.199999999997</v>
      </c>
      <c r="S8" s="131">
        <f>IF('数据-汇总表'!$I$17="按面积比例",SUMIF('数据-汇总表'!C$19:C$33,A8,'数据-汇总表'!K$19:K$33),SUMIF('数据-汇总表'!C$19:C$33,A8,'数据-汇总表'!N$19:N$33))</f>
        <v>5270.29</v>
      </c>
      <c r="T8" s="2230">
        <f t="shared" si="5"/>
        <v>1159</v>
      </c>
      <c r="U8" s="179">
        <v>0.8</v>
      </c>
      <c r="V8" s="180">
        <v>2.5000000000000001E-2</v>
      </c>
      <c r="W8" s="180">
        <v>0.1</v>
      </c>
      <c r="X8" s="2317"/>
      <c r="Y8" s="181">
        <v>1</v>
      </c>
      <c r="Z8" s="182"/>
      <c r="AA8" s="175"/>
      <c r="AB8" s="175"/>
      <c r="AC8" s="2320"/>
      <c r="AD8" s="183"/>
      <c r="AE8" s="969">
        <f t="shared" ca="1" si="6"/>
        <v>47.74</v>
      </c>
      <c r="AF8" s="140"/>
      <c r="AG8" s="1210">
        <f t="shared" si="7"/>
        <v>0</v>
      </c>
      <c r="AH8" s="140"/>
      <c r="AI8" s="186">
        <v>365</v>
      </c>
      <c r="AJ8" s="187"/>
      <c r="AK8" s="188">
        <v>1.4999999999999999E-2</v>
      </c>
      <c r="AL8" s="189">
        <v>1.5E-3</v>
      </c>
      <c r="AM8" s="3032">
        <v>0.01</v>
      </c>
      <c r="AN8" s="2388" t="s">
        <v>3274</v>
      </c>
      <c r="AO8" s="1996"/>
      <c r="AP8" s="1201">
        <f t="shared" si="8"/>
        <v>0.88800000000000001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自持住宅</v>
      </c>
      <c r="B9" s="2333" t="str">
        <f t="shared" si="1"/>
        <v>经营性</v>
      </c>
      <c r="C9" s="172" t="s">
        <v>922</v>
      </c>
      <c r="D9" s="2304">
        <f>SUMIF(项目基本情况!D$15:I$15,C9,项目基本情况!D$18:I$18)</f>
        <v>70</v>
      </c>
      <c r="E9" s="2305">
        <f>IF(B9="","",SUMIF(项目基本情况!D$15:I$15,C9,项目基本情况!D$17:I$17))</f>
        <v>68865</v>
      </c>
      <c r="F9" s="173">
        <f>SUMIF(项目基本情况!D$15:I$15,C9,项目基本情况!D$19:I$19)</f>
        <v>69.75</v>
      </c>
      <c r="G9" s="174">
        <f t="shared" si="2"/>
        <v>0.999</v>
      </c>
      <c r="H9" s="3019">
        <v>0.04</v>
      </c>
      <c r="I9" s="175">
        <v>4.4999999999999998E-2</v>
      </c>
      <c r="J9" s="175">
        <v>0.08</v>
      </c>
      <c r="K9" s="178">
        <f>SUMIF('数据-汇总表'!C$19:C$33,'数据-取费表'!A9,'数据-汇总表'!E$19:E$33)</f>
        <v>23668.010000000002</v>
      </c>
      <c r="L9" s="3202">
        <v>3000</v>
      </c>
      <c r="M9" s="176">
        <f t="shared" si="0"/>
        <v>7100</v>
      </c>
      <c r="N9" s="192">
        <v>0</v>
      </c>
      <c r="O9" s="176">
        <f t="shared" si="3"/>
        <v>0</v>
      </c>
      <c r="P9" s="177">
        <f t="shared" si="4"/>
        <v>7100</v>
      </c>
      <c r="Q9" s="191">
        <v>0.15</v>
      </c>
      <c r="R9" s="178">
        <f>SUMIF('数据-汇总表'!C$19:C$33,A9,'数据-汇总表'!R$19:R$33)</f>
        <v>12398.75</v>
      </c>
      <c r="S9" s="131">
        <f>IF('数据-汇总表'!$I$17="按面积比例",SUMIF('数据-汇总表'!C$19:C$33,A9,'数据-汇总表'!K$19:K$33),SUMIF('数据-汇总表'!C$19:C$33,A9,'数据-汇总表'!N$19:N$33))</f>
        <v>2137.36</v>
      </c>
      <c r="T9" s="2230">
        <f t="shared" si="5"/>
        <v>470</v>
      </c>
      <c r="U9" s="179">
        <v>4</v>
      </c>
      <c r="V9" s="180">
        <v>3.5000000000000003E-2</v>
      </c>
      <c r="W9" s="180">
        <v>0.1</v>
      </c>
      <c r="X9" s="2317"/>
      <c r="Y9" s="181">
        <v>1</v>
      </c>
      <c r="Z9" s="182"/>
      <c r="AA9" s="175"/>
      <c r="AB9" s="175"/>
      <c r="AC9" s="2320"/>
      <c r="AD9" s="183"/>
      <c r="AE9" s="969">
        <f t="shared" ca="1" si="6"/>
        <v>67.75</v>
      </c>
      <c r="AF9" s="140"/>
      <c r="AG9" s="1210">
        <f t="shared" si="7"/>
        <v>0</v>
      </c>
      <c r="AH9" s="140"/>
      <c r="AI9" s="186">
        <v>365</v>
      </c>
      <c r="AJ9" s="187"/>
      <c r="AK9" s="188">
        <v>1.4999999999999999E-2</v>
      </c>
      <c r="AL9" s="189">
        <v>1.5E-3</v>
      </c>
      <c r="AM9" s="3032">
        <v>0.01</v>
      </c>
      <c r="AN9" s="2388" t="s">
        <v>3275</v>
      </c>
      <c r="AO9" s="1996"/>
      <c r="AP9" s="1201">
        <f t="shared" si="8"/>
        <v>0.93500000000000005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0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69">
        <f t="shared" ca="1" si="6"/>
        <v>0</v>
      </c>
      <c r="AF10" s="140"/>
      <c r="AG10" s="1210">
        <f t="shared" si="7"/>
        <v>0</v>
      </c>
      <c r="AH10" s="140"/>
      <c r="AI10" s="186"/>
      <c r="AJ10" s="187"/>
      <c r="AK10" s="188"/>
      <c r="AL10" s="189"/>
      <c r="AM10" s="3032"/>
      <c r="AN10" s="2388"/>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0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3"/>
      <c r="AA11" s="175"/>
      <c r="AB11" s="175"/>
      <c r="AC11" s="2320"/>
      <c r="AD11" s="183"/>
      <c r="AE11" s="969">
        <f t="shared" ca="1" si="6"/>
        <v>0</v>
      </c>
      <c r="AF11" s="140"/>
      <c r="AG11" s="1210">
        <f t="shared" si="7"/>
        <v>0</v>
      </c>
      <c r="AH11" s="140"/>
      <c r="AI11" s="186"/>
      <c r="AJ11" s="1996"/>
      <c r="AK11" s="1996"/>
      <c r="AL11" s="1996"/>
      <c r="AM11" s="1996"/>
      <c r="AN11" s="2388"/>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0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3"/>
      <c r="AA12" s="175"/>
      <c r="AB12" s="175"/>
      <c r="AC12" s="2320"/>
      <c r="AD12" s="183"/>
      <c r="AE12" s="969">
        <f t="shared" ca="1" si="6"/>
        <v>0</v>
      </c>
      <c r="AF12" s="140"/>
      <c r="AG12" s="1210">
        <f t="shared" si="7"/>
        <v>0</v>
      </c>
      <c r="AH12" s="140"/>
      <c r="AI12" s="186"/>
      <c r="AJ12" s="187"/>
      <c r="AK12" s="194"/>
      <c r="AL12" s="195"/>
      <c r="AM12" s="1813"/>
      <c r="AN12" s="2388"/>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0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386"/>
      <c r="AN13" s="2388"/>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2316</v>
      </c>
      <c r="B14" s="2302" t="s">
        <v>1679</v>
      </c>
      <c r="C14" s="2303" t="s">
        <v>2316</v>
      </c>
      <c r="D14" s="2304"/>
      <c r="E14" s="2305"/>
      <c r="F14" s="173"/>
      <c r="G14" s="174"/>
      <c r="H14" s="2306"/>
      <c r="I14" s="2306"/>
      <c r="J14" s="2306"/>
      <c r="K14" s="178">
        <f>SUMIF('数据-汇总表'!C$19:C$33,'数据-取费表'!A14,'数据-汇总表'!E$19:E$33)</f>
        <v>25823.23</v>
      </c>
      <c r="L14" s="3202">
        <v>2200</v>
      </c>
      <c r="M14" s="176">
        <f t="shared" si="0"/>
        <v>5681</v>
      </c>
      <c r="N14" s="192">
        <v>0</v>
      </c>
      <c r="O14" s="176">
        <f t="shared" si="3"/>
        <v>0</v>
      </c>
      <c r="P14" s="177">
        <f t="shared" si="4"/>
        <v>5681</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2318</v>
      </c>
      <c r="B15" s="2302" t="s">
        <v>1679</v>
      </c>
      <c r="C15" s="2303" t="s">
        <v>2317</v>
      </c>
      <c r="D15" s="2304"/>
      <c r="E15" s="2305"/>
      <c r="F15" s="173"/>
      <c r="G15" s="174"/>
      <c r="H15" s="2306"/>
      <c r="I15" s="2306"/>
      <c r="J15" s="2306"/>
      <c r="K15" s="178">
        <f>SUMIF('数据-汇总表'!C$19:C$33,'数据-取费表'!A15,'数据-汇总表'!E$19:E$33)</f>
        <v>5247.35</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261</v>
      </c>
      <c r="B16" s="197"/>
      <c r="C16" s="198"/>
      <c r="D16" s="199"/>
      <c r="E16" s="197"/>
      <c r="F16" s="197"/>
      <c r="G16" s="200">
        <f>ROUND(SUMPRODUCT(G6:G13,K6:K13)/SUMPRODUCT((G6:G13&gt;0)*(K6:K13)),3)</f>
        <v>0.999</v>
      </c>
      <c r="H16" s="201">
        <f>ROUND(SUMPRODUCT(H6:H13,K6:K13)/SUMPRODUCT((H6:H13&gt;0)*(K6:K13)),3)</f>
        <v>4.2000000000000003E-2</v>
      </c>
      <c r="I16" s="202"/>
      <c r="J16" s="202"/>
      <c r="K16" s="203">
        <f>SUM(K6:K15)</f>
        <v>317024.15999999997</v>
      </c>
      <c r="L16" s="204">
        <f>ROUND(M16*10000/SUM(K6:K14),0)</f>
        <v>2656</v>
      </c>
      <c r="M16" s="204">
        <f>SUM(M6:M14)</f>
        <v>82804</v>
      </c>
      <c r="N16" s="205">
        <f>ROUND(SUMPRODUCT(M6:M14,N6:N14)/M16,3)</f>
        <v>0</v>
      </c>
      <c r="O16" s="204">
        <f>SUM(O6:O14)</f>
        <v>0</v>
      </c>
      <c r="P16" s="204">
        <f>SUM(P6:P14)</f>
        <v>82804</v>
      </c>
      <c r="Q16" s="206">
        <f>ROUND(SUMPRODUCT(Q6:Q13,K6:K13)/SUMPRODUCT((Q6:Q13&gt;0)*(K6:K13)),2)</f>
        <v>0.1</v>
      </c>
      <c r="R16" s="2307">
        <f>SUM(R6:R13)</f>
        <v>147515.15000000002</v>
      </c>
      <c r="S16" s="207">
        <f>SUM(S6:S13)</f>
        <v>25823.24</v>
      </c>
      <c r="T16" s="208">
        <f>IF(SUMIF(T6:T13,"&lt;9E307")=M14,SUMIF(T6:T13,"&lt;9E307"),"有误，请检查")</f>
        <v>5681</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0.91200000000000003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262</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263</v>
      </c>
      <c r="B19" s="216">
        <v>0</v>
      </c>
      <c r="C19" s="2360" t="s">
        <v>2338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264</v>
      </c>
      <c r="B20" s="218">
        <v>2</v>
      </c>
      <c r="C20" s="2360" t="s">
        <v>2337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265</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266</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267</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268</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269</v>
      </c>
      <c r="B26" s="223"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2340</v>
      </c>
      <c r="B27" s="3203">
        <v>160</v>
      </c>
      <c r="C27" s="2363" t="s">
        <v>2344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2341</v>
      </c>
      <c r="B28" s="3204">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2339</v>
      </c>
      <c r="B29" s="229">
        <v>0</v>
      </c>
      <c r="C29" s="1548" t="s">
        <v>2342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272</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273</v>
      </c>
      <c r="B31" s="227">
        <f>B30-B32</f>
        <v>170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274</v>
      </c>
      <c r="B32" s="3205">
        <v>30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277</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278</v>
      </c>
      <c r="B34" s="230">
        <v>0.05</v>
      </c>
      <c r="C34" s="2361" t="s">
        <v>2895</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275</v>
      </c>
      <c r="B35" s="226">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276</v>
      </c>
      <c r="B36" s="231">
        <v>1.4999999999999999E-2</v>
      </c>
      <c r="C36" s="2361" t="s">
        <v>2897</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279</v>
      </c>
      <c r="B37" s="233">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280</v>
      </c>
      <c r="B38" s="230">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2459</v>
      </c>
      <c r="B40" s="2477">
        <f ca="1">存贷款利率!E2</f>
        <v>4.7500000000000001E-2</v>
      </c>
      <c r="C40" s="2361" t="s">
        <v>2343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281</v>
      </c>
      <c r="B41" s="235">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282</v>
      </c>
      <c r="B42" s="237">
        <v>0.05</v>
      </c>
      <c r="C42" s="309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283</v>
      </c>
      <c r="B43" s="238">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284</v>
      </c>
      <c r="B44" s="239">
        <v>0.05</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285</v>
      </c>
      <c r="B45" s="237">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286</v>
      </c>
      <c r="B46" s="237">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287</v>
      </c>
      <c r="B47" s="241"/>
      <c r="C47" s="3067"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288</v>
      </c>
      <c r="B48" s="243">
        <v>0.03</v>
      </c>
      <c r="C48" s="3068"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289</v>
      </c>
      <c r="B49" s="237">
        <v>5.0000000000000001E-4</v>
      </c>
      <c r="C49" s="3068"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290</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291</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292</v>
      </c>
      <c r="B52" s="247">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293</v>
      </c>
      <c r="B53" s="248" t="s">
        <v>1409</v>
      </c>
      <c r="C53" s="3069" t="s">
        <v>2905</v>
      </c>
      <c r="D53" s="3070"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2" t="s">
        <v>2907</v>
      </c>
      <c r="B54" s="185"/>
      <c r="C54" s="1990">
        <v>30</v>
      </c>
      <c r="D54" s="3071"/>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2" t="s">
        <v>2908</v>
      </c>
      <c r="B55" s="185"/>
      <c r="C55" s="1990">
        <v>24</v>
      </c>
      <c r="D55" s="3071"/>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2" t="s">
        <v>2909</v>
      </c>
      <c r="B56" s="185"/>
      <c r="C56" s="1990">
        <v>18</v>
      </c>
      <c r="D56" s="3071"/>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2" t="s">
        <v>2910</v>
      </c>
      <c r="B57" s="185"/>
      <c r="C57" s="1990">
        <v>12</v>
      </c>
      <c r="D57" s="3071"/>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2" t="s">
        <v>2911</v>
      </c>
      <c r="B58" s="185"/>
      <c r="C58" s="1990">
        <v>3</v>
      </c>
      <c r="D58" s="3071"/>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2" t="s">
        <v>2912</v>
      </c>
      <c r="B59" s="185">
        <v>1.5</v>
      </c>
      <c r="C59" s="1990">
        <v>1.5</v>
      </c>
      <c r="D59" s="3071"/>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2" t="s">
        <v>2913</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2" t="s">
        <v>2914</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2" t="s">
        <v>2915</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3" t="s">
        <v>2916</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7"/>
  <sheetViews>
    <sheetView topLeftCell="A22" zoomScale="115" zoomScaleNormal="115" workbookViewId="0">
      <selection activeCell="C15" sqref="C15"/>
    </sheetView>
  </sheetViews>
  <sheetFormatPr defaultRowHeight="13.5"/>
  <cols>
    <col min="2" max="2" width="10" customWidth="1"/>
    <col min="3" max="3" width="10.75" customWidth="1"/>
    <col min="5" max="5" width="9" style="3173"/>
    <col min="6" max="6" width="12.75" customWidth="1"/>
  </cols>
  <sheetData>
    <row r="1" spans="1:9">
      <c r="C1" s="3171" t="s">
        <v>2991</v>
      </c>
      <c r="D1" s="3171" t="s">
        <v>2992</v>
      </c>
      <c r="F1" s="3171"/>
      <c r="G1" s="3171" t="s">
        <v>2993</v>
      </c>
    </row>
    <row r="2" spans="1:9">
      <c r="A2" s="3171" t="s">
        <v>2984</v>
      </c>
      <c r="B2" s="3171" t="s">
        <v>2983</v>
      </c>
      <c r="C2">
        <v>1230.23</v>
      </c>
      <c r="E2"/>
      <c r="G2">
        <v>1230.23</v>
      </c>
    </row>
    <row r="3" spans="1:9">
      <c r="B3" s="3171" t="s">
        <v>2985</v>
      </c>
      <c r="C3">
        <f>3280.72-C2</f>
        <v>2050.4899999999998</v>
      </c>
      <c r="E3"/>
      <c r="G3">
        <v>2050.4899999999998</v>
      </c>
    </row>
    <row r="4" spans="1:9">
      <c r="A4" s="3171" t="s">
        <v>2986</v>
      </c>
      <c r="B4" s="3171" t="s">
        <v>2983</v>
      </c>
      <c r="C4">
        <v>3280.72</v>
      </c>
      <c r="E4"/>
      <c r="G4">
        <v>3280.72</v>
      </c>
    </row>
    <row r="5" spans="1:9">
      <c r="A5" s="3171" t="s">
        <v>2987</v>
      </c>
      <c r="B5" s="3171" t="s">
        <v>2983</v>
      </c>
      <c r="C5">
        <v>4376.6000000000004</v>
      </c>
      <c r="E5"/>
      <c r="G5">
        <v>4376.6000000000004</v>
      </c>
    </row>
    <row r="6" spans="1:9">
      <c r="A6" s="3171" t="s">
        <v>2988</v>
      </c>
      <c r="B6" s="3171" t="s">
        <v>2983</v>
      </c>
      <c r="C6">
        <v>4376.6000000000004</v>
      </c>
      <c r="E6"/>
      <c r="G6">
        <v>4376.6000000000004</v>
      </c>
    </row>
    <row r="7" spans="1:9">
      <c r="A7" s="3171" t="s">
        <v>2989</v>
      </c>
      <c r="B7" s="3171" t="s">
        <v>2983</v>
      </c>
      <c r="C7">
        <v>4373.12</v>
      </c>
      <c r="E7"/>
      <c r="G7">
        <f>C7</f>
        <v>4373.12</v>
      </c>
    </row>
    <row r="8" spans="1:9">
      <c r="A8" s="3171" t="s">
        <v>2990</v>
      </c>
      <c r="B8" s="3171" t="s">
        <v>2999</v>
      </c>
      <c r="C8" s="3175">
        <f>D8+G8</f>
        <v>4590.9799999999996</v>
      </c>
      <c r="E8"/>
      <c r="G8">
        <v>4590.9799999999996</v>
      </c>
      <c r="H8">
        <f>120+400+100</f>
        <v>620</v>
      </c>
      <c r="I8" s="3171" t="s">
        <v>2994</v>
      </c>
    </row>
    <row r="9" spans="1:9">
      <c r="E9"/>
      <c r="H9">
        <f>G8-H8-H10-H11</f>
        <v>3910.9799999999996</v>
      </c>
      <c r="I9" s="3171" t="s">
        <v>2983</v>
      </c>
    </row>
    <row r="10" spans="1:9">
      <c r="E10"/>
      <c r="H10" s="3175">
        <v>50</v>
      </c>
      <c r="I10" s="3171" t="s">
        <v>2995</v>
      </c>
    </row>
    <row r="11" spans="1:9">
      <c r="E11"/>
      <c r="H11">
        <v>10</v>
      </c>
      <c r="I11" s="3171" t="s">
        <v>2996</v>
      </c>
    </row>
    <row r="12" spans="1:9">
      <c r="A12" s="3171" t="s">
        <v>2997</v>
      </c>
      <c r="B12" s="3171" t="s">
        <v>2985</v>
      </c>
      <c r="C12">
        <f>D12+G12</f>
        <v>4230.17</v>
      </c>
      <c r="D12">
        <f>E12+E13</f>
        <v>1798.48</v>
      </c>
      <c r="E12" s="3174">
        <v>400</v>
      </c>
      <c r="F12" s="3171" t="s">
        <v>2995</v>
      </c>
      <c r="G12" s="3171">
        <v>2431.69</v>
      </c>
    </row>
    <row r="13" spans="1:9">
      <c r="E13">
        <v>1398.48</v>
      </c>
      <c r="F13" s="3171" t="s">
        <v>2998</v>
      </c>
    </row>
    <row r="14" spans="1:9">
      <c r="A14" s="3171" t="s">
        <v>3000</v>
      </c>
      <c r="B14" s="3171" t="s">
        <v>2985</v>
      </c>
      <c r="C14">
        <f>D14+G14</f>
        <v>5298.5300000000007</v>
      </c>
      <c r="D14">
        <f>E14+E15</f>
        <v>2258.9300000000003</v>
      </c>
      <c r="E14" s="3174">
        <v>500</v>
      </c>
      <c r="F14" s="3171" t="s">
        <v>2995</v>
      </c>
      <c r="G14" s="3171">
        <v>3039.6</v>
      </c>
    </row>
    <row r="15" spans="1:9">
      <c r="E15">
        <v>1758.93</v>
      </c>
      <c r="F15" s="3171" t="s">
        <v>2998</v>
      </c>
    </row>
    <row r="16" spans="1:9">
      <c r="A16" s="3171" t="s">
        <v>3001</v>
      </c>
      <c r="B16" s="3171" t="s">
        <v>2985</v>
      </c>
      <c r="C16">
        <f>D16+G16</f>
        <v>5298.5300000000007</v>
      </c>
      <c r="D16">
        <f>E16+E17</f>
        <v>2258.9300000000003</v>
      </c>
      <c r="E16" s="3174">
        <v>500</v>
      </c>
      <c r="F16" s="3171" t="s">
        <v>2995</v>
      </c>
      <c r="G16" s="3171">
        <v>3039.6</v>
      </c>
    </row>
    <row r="17" spans="1:8">
      <c r="E17">
        <v>1758.93</v>
      </c>
      <c r="F17" s="3171" t="s">
        <v>2998</v>
      </c>
    </row>
    <row r="18" spans="1:8">
      <c r="A18" s="3171" t="s">
        <v>3002</v>
      </c>
      <c r="B18" s="3171" t="s">
        <v>2985</v>
      </c>
      <c r="C18">
        <f>D18+G18</f>
        <v>5298.5300000000007</v>
      </c>
      <c r="D18">
        <f>E18+E19</f>
        <v>2258.9300000000003</v>
      </c>
      <c r="E18" s="3174">
        <v>500</v>
      </c>
      <c r="F18" s="3171" t="s">
        <v>2995</v>
      </c>
      <c r="G18" s="3171">
        <v>3039.6</v>
      </c>
    </row>
    <row r="19" spans="1:8">
      <c r="E19">
        <v>1758.93</v>
      </c>
      <c r="F19" s="3171" t="s">
        <v>2998</v>
      </c>
    </row>
    <row r="20" spans="1:8" s="3173" customFormat="1">
      <c r="A20" s="3174" t="s">
        <v>3309</v>
      </c>
      <c r="B20" s="3174" t="s">
        <v>2985</v>
      </c>
      <c r="C20" s="3174">
        <f>D20+G20</f>
        <v>5369.26</v>
      </c>
      <c r="D20" s="3174">
        <f>E20+E21</f>
        <v>2329.66</v>
      </c>
      <c r="E20" s="3174">
        <v>500</v>
      </c>
      <c r="F20" s="3174" t="s">
        <v>2995</v>
      </c>
      <c r="G20" s="3174">
        <v>3039.6</v>
      </c>
    </row>
    <row r="21" spans="1:8" s="3173" customFormat="1">
      <c r="A21" s="3174"/>
      <c r="B21" s="3174"/>
      <c r="C21" s="3174"/>
      <c r="D21" s="3174"/>
      <c r="E21" s="3174">
        <v>1829.66</v>
      </c>
      <c r="F21" s="3174" t="s">
        <v>2998</v>
      </c>
      <c r="G21" s="3174"/>
    </row>
    <row r="22" spans="1:8" s="3173" customFormat="1">
      <c r="A22" s="3174" t="s">
        <v>3310</v>
      </c>
      <c r="B22" s="3174" t="s">
        <v>2985</v>
      </c>
      <c r="C22" s="3174">
        <f>D22+G22</f>
        <v>5369.27</v>
      </c>
      <c r="D22" s="3174">
        <f>E22+E23</f>
        <v>2329.67</v>
      </c>
      <c r="E22" s="3174">
        <v>500</v>
      </c>
      <c r="F22" s="3174" t="s">
        <v>2995</v>
      </c>
      <c r="G22" s="3174">
        <v>3039.6</v>
      </c>
    </row>
    <row r="23" spans="1:8" s="3173" customFormat="1">
      <c r="A23" s="3174"/>
      <c r="B23" s="3174"/>
      <c r="C23" s="3174"/>
      <c r="D23" s="3174"/>
      <c r="E23" s="3174">
        <v>1829.67</v>
      </c>
      <c r="F23" s="3174" t="s">
        <v>2998</v>
      </c>
      <c r="G23" s="3174"/>
    </row>
    <row r="24" spans="1:8" s="3173" customFormat="1">
      <c r="A24" s="3174" t="s">
        <v>3311</v>
      </c>
      <c r="B24" s="3174" t="s">
        <v>2985</v>
      </c>
      <c r="C24" s="3174">
        <f>D24+G24</f>
        <v>5298.66</v>
      </c>
      <c r="D24" s="3174">
        <f>E24+E25</f>
        <v>2259.06</v>
      </c>
      <c r="E24" s="3174">
        <v>500</v>
      </c>
      <c r="F24" s="3174" t="s">
        <v>2995</v>
      </c>
      <c r="G24" s="3174">
        <v>3039.6</v>
      </c>
      <c r="H24" s="3174"/>
    </row>
    <row r="25" spans="1:8" s="3173" customFormat="1">
      <c r="A25" s="3174"/>
      <c r="B25" s="3174"/>
      <c r="C25" s="3174"/>
      <c r="D25" s="3174"/>
      <c r="E25" s="3174">
        <v>1759.06</v>
      </c>
      <c r="F25" s="3174" t="s">
        <v>2998</v>
      </c>
      <c r="G25" s="3174"/>
      <c r="H25" s="3174"/>
    </row>
    <row r="26" spans="1:8" s="3173" customFormat="1">
      <c r="A26" s="3174" t="s">
        <v>3312</v>
      </c>
      <c r="B26" s="3174" t="s">
        <v>2985</v>
      </c>
      <c r="C26" s="3174">
        <f>D26+G26</f>
        <v>5298.66</v>
      </c>
      <c r="D26" s="3174">
        <f>E26+E27</f>
        <v>2259.06</v>
      </c>
      <c r="E26" s="3174">
        <v>500</v>
      </c>
      <c r="F26" s="3174" t="s">
        <v>2995</v>
      </c>
      <c r="G26" s="3174">
        <v>3039.6</v>
      </c>
      <c r="H26" s="3174"/>
    </row>
    <row r="27" spans="1:8" s="3173" customFormat="1">
      <c r="A27" s="3174"/>
      <c r="B27" s="3174"/>
      <c r="C27" s="3174"/>
      <c r="D27" s="3174"/>
      <c r="E27" s="3174">
        <v>1759.06</v>
      </c>
      <c r="F27" s="3174" t="s">
        <v>2998</v>
      </c>
      <c r="G27" s="3174"/>
      <c r="H27" s="3174"/>
    </row>
    <row r="28" spans="1:8" s="3173" customFormat="1">
      <c r="A28" s="3174" t="s">
        <v>3313</v>
      </c>
      <c r="B28" s="3174" t="s">
        <v>2985</v>
      </c>
      <c r="C28" s="3174">
        <f>D28+G28</f>
        <v>5298.66</v>
      </c>
      <c r="D28" s="3174">
        <f>E28+E29</f>
        <v>2259.06</v>
      </c>
      <c r="E28" s="3174">
        <v>500</v>
      </c>
      <c r="F28" s="3174" t="s">
        <v>2995</v>
      </c>
      <c r="G28" s="3174">
        <v>3039.6</v>
      </c>
      <c r="H28" s="3174"/>
    </row>
    <row r="29" spans="1:8" s="3173" customFormat="1">
      <c r="A29" s="3174"/>
      <c r="B29" s="3174"/>
      <c r="C29" s="3174"/>
      <c r="D29" s="3174"/>
      <c r="E29" s="3174">
        <v>1759.06</v>
      </c>
      <c r="F29" s="3174" t="s">
        <v>2998</v>
      </c>
      <c r="G29" s="3174"/>
      <c r="H29" s="3174"/>
    </row>
    <row r="30" spans="1:8" s="3173" customFormat="1">
      <c r="A30" s="3174" t="s">
        <v>3314</v>
      </c>
      <c r="B30" s="3174" t="s">
        <v>2985</v>
      </c>
      <c r="C30" s="3174">
        <f>D30+G30</f>
        <v>5645.48</v>
      </c>
      <c r="D30" s="3174">
        <f>E30+E31</f>
        <v>2605.88</v>
      </c>
      <c r="E30" s="3174">
        <v>500</v>
      </c>
      <c r="F30" s="3174" t="s">
        <v>2995</v>
      </c>
      <c r="G30" s="3174">
        <v>3039.6</v>
      </c>
      <c r="H30" s="3174"/>
    </row>
    <row r="31" spans="1:8" s="3173" customFormat="1">
      <c r="A31" s="3174"/>
      <c r="B31" s="3174"/>
      <c r="C31" s="3174"/>
      <c r="D31" s="3174"/>
      <c r="E31" s="3174">
        <v>2105.88</v>
      </c>
      <c r="F31" s="3174" t="s">
        <v>2998</v>
      </c>
      <c r="G31" s="3174"/>
      <c r="H31" s="3174"/>
    </row>
    <row r="32" spans="1:8">
      <c r="A32" s="3171" t="s">
        <v>3003</v>
      </c>
      <c r="B32" s="3171" t="s">
        <v>2985</v>
      </c>
      <c r="C32">
        <f>D32+G32</f>
        <v>4509.6900000000005</v>
      </c>
      <c r="D32">
        <f>E32+E33</f>
        <v>2078</v>
      </c>
      <c r="E32" s="3174">
        <v>400</v>
      </c>
      <c r="F32" s="3171" t="s">
        <v>2995</v>
      </c>
      <c r="G32" s="3171">
        <v>2431.69</v>
      </c>
    </row>
    <row r="33" spans="1:7">
      <c r="E33">
        <v>1678</v>
      </c>
      <c r="F33" s="3171" t="s">
        <v>2998</v>
      </c>
    </row>
    <row r="34" spans="1:7">
      <c r="A34" s="3171" t="s">
        <v>3004</v>
      </c>
      <c r="B34" s="3171" t="s">
        <v>2985</v>
      </c>
      <c r="C34">
        <f>D34+G34</f>
        <v>4231.7299999999996</v>
      </c>
      <c r="D34">
        <f>E34+E35</f>
        <v>1800.04</v>
      </c>
      <c r="E34" s="3174">
        <v>400</v>
      </c>
      <c r="F34" s="3171" t="s">
        <v>2995</v>
      </c>
      <c r="G34" s="3171">
        <v>2431.69</v>
      </c>
    </row>
    <row r="35" spans="1:7">
      <c r="E35">
        <v>1400.04</v>
      </c>
      <c r="F35" s="3171" t="s">
        <v>2998</v>
      </c>
    </row>
    <row r="36" spans="1:7">
      <c r="A36" s="3171" t="s">
        <v>3005</v>
      </c>
      <c r="B36" s="3171" t="s">
        <v>2985</v>
      </c>
      <c r="C36">
        <f>D36+G36</f>
        <v>4231.7299999999996</v>
      </c>
      <c r="D36">
        <f>E36+E37</f>
        <v>1800.04</v>
      </c>
      <c r="E36" s="3174">
        <v>400</v>
      </c>
      <c r="F36" s="3171" t="s">
        <v>2995</v>
      </c>
      <c r="G36" s="3171">
        <v>2431.69</v>
      </c>
    </row>
    <row r="37" spans="1:7">
      <c r="E37">
        <v>1400.04</v>
      </c>
      <c r="F37" s="3171" t="s">
        <v>2998</v>
      </c>
    </row>
    <row r="38" spans="1:7">
      <c r="A38" s="3171" t="s">
        <v>3006</v>
      </c>
      <c r="B38" s="3171" t="s">
        <v>2985</v>
      </c>
      <c r="C38">
        <f>D38+G38</f>
        <v>4231.7299999999996</v>
      </c>
      <c r="D38">
        <f>E38+E39</f>
        <v>1800.04</v>
      </c>
      <c r="E38" s="3174">
        <v>400</v>
      </c>
      <c r="F38" s="3171" t="s">
        <v>2995</v>
      </c>
      <c r="G38" s="3171">
        <v>2431.69</v>
      </c>
    </row>
    <row r="39" spans="1:7">
      <c r="E39">
        <v>1400.04</v>
      </c>
      <c r="F39" s="3171" t="s">
        <v>2998</v>
      </c>
    </row>
    <row r="40" spans="1:7">
      <c r="A40" s="3171" t="s">
        <v>3007</v>
      </c>
      <c r="B40" s="3171" t="s">
        <v>2985</v>
      </c>
      <c r="C40">
        <f>D40+G40</f>
        <v>4279.71</v>
      </c>
      <c r="D40">
        <f>E40+E41</f>
        <v>1848.02</v>
      </c>
      <c r="E40" s="3174">
        <v>400</v>
      </c>
      <c r="F40" s="3171" t="s">
        <v>2995</v>
      </c>
      <c r="G40" s="3171">
        <v>2431.69</v>
      </c>
    </row>
    <row r="41" spans="1:7">
      <c r="E41">
        <v>1448.02</v>
      </c>
      <c r="F41" s="3171" t="s">
        <v>2998</v>
      </c>
    </row>
    <row r="42" spans="1:7">
      <c r="A42" s="3171" t="s">
        <v>3008</v>
      </c>
      <c r="B42" s="3171" t="s">
        <v>2985</v>
      </c>
      <c r="C42">
        <f>D42+G42</f>
        <v>3209.69</v>
      </c>
      <c r="D42">
        <f>E42+E43</f>
        <v>1385.93</v>
      </c>
      <c r="E42" s="3174">
        <v>300</v>
      </c>
      <c r="F42" s="3171" t="s">
        <v>2995</v>
      </c>
      <c r="G42" s="3171">
        <v>1823.76</v>
      </c>
    </row>
    <row r="43" spans="1:7">
      <c r="E43">
        <v>1085.93</v>
      </c>
      <c r="F43" s="3171" t="s">
        <v>2998</v>
      </c>
    </row>
    <row r="44" spans="1:7">
      <c r="A44" s="3171" t="s">
        <v>3009</v>
      </c>
      <c r="B44" s="3171" t="s">
        <v>2985</v>
      </c>
      <c r="C44">
        <f>D44+G44</f>
        <v>3173.77</v>
      </c>
      <c r="D44">
        <f>E44+E45</f>
        <v>1350.01</v>
      </c>
      <c r="E44" s="3174">
        <v>300</v>
      </c>
      <c r="F44" s="3171" t="s">
        <v>2995</v>
      </c>
      <c r="G44" s="3171">
        <v>1823.76</v>
      </c>
    </row>
    <row r="45" spans="1:7">
      <c r="E45">
        <v>1050.01</v>
      </c>
      <c r="F45" s="3171" t="s">
        <v>2998</v>
      </c>
    </row>
    <row r="46" spans="1:7">
      <c r="A46" s="3171" t="s">
        <v>3010</v>
      </c>
      <c r="B46" s="3171" t="s">
        <v>2985</v>
      </c>
      <c r="C46">
        <f>D46+G46</f>
        <v>3173.77</v>
      </c>
      <c r="D46">
        <f>E46+E47</f>
        <v>1350.01</v>
      </c>
      <c r="E46" s="3174">
        <v>300</v>
      </c>
      <c r="F46" s="3171" t="s">
        <v>2995</v>
      </c>
      <c r="G46" s="3171">
        <v>1823.76</v>
      </c>
    </row>
    <row r="47" spans="1:7">
      <c r="E47">
        <v>1050.01</v>
      </c>
      <c r="F47" s="3171" t="s">
        <v>2998</v>
      </c>
    </row>
    <row r="48" spans="1:7">
      <c r="A48" s="3171" t="s">
        <v>3011</v>
      </c>
      <c r="B48" s="3171" t="s">
        <v>2985</v>
      </c>
      <c r="C48">
        <f>D48+G48</f>
        <v>3176.33</v>
      </c>
      <c r="D48">
        <f>E48+E49</f>
        <v>1352.57</v>
      </c>
      <c r="E48" s="3174">
        <v>300</v>
      </c>
      <c r="F48" s="3171" t="s">
        <v>2995</v>
      </c>
      <c r="G48" s="3171">
        <v>1823.76</v>
      </c>
    </row>
    <row r="49" spans="1:7">
      <c r="E49">
        <v>1052.57</v>
      </c>
      <c r="F49" s="3171" t="s">
        <v>2998</v>
      </c>
    </row>
    <row r="50" spans="1:7">
      <c r="A50" s="3171" t="s">
        <v>3012</v>
      </c>
      <c r="B50" s="3171" t="s">
        <v>2985</v>
      </c>
      <c r="C50">
        <f>D50+G50</f>
        <v>2021.14</v>
      </c>
      <c r="D50">
        <f>E50+E51</f>
        <v>961.26</v>
      </c>
      <c r="E50" s="3174">
        <v>150</v>
      </c>
      <c r="F50" s="3171" t="s">
        <v>2995</v>
      </c>
      <c r="G50">
        <v>1059.8800000000001</v>
      </c>
    </row>
    <row r="51" spans="1:7">
      <c r="E51">
        <v>811.26</v>
      </c>
      <c r="F51" s="3171" t="s">
        <v>2998</v>
      </c>
    </row>
    <row r="52" spans="1:7">
      <c r="A52" s="3171" t="s">
        <v>3013</v>
      </c>
      <c r="B52" s="3171" t="s">
        <v>2985</v>
      </c>
      <c r="C52">
        <f>D52+G52</f>
        <v>1934.44</v>
      </c>
      <c r="D52">
        <f>E52+E53</f>
        <v>874.56</v>
      </c>
      <c r="E52" s="3174">
        <v>150</v>
      </c>
      <c r="F52" s="3171" t="s">
        <v>2995</v>
      </c>
      <c r="G52">
        <v>1059.8800000000001</v>
      </c>
    </row>
    <row r="53" spans="1:7">
      <c r="E53">
        <v>724.56</v>
      </c>
      <c r="F53" s="3171" t="s">
        <v>2998</v>
      </c>
    </row>
    <row r="54" spans="1:7">
      <c r="A54" s="3171" t="s">
        <v>3014</v>
      </c>
      <c r="B54" s="3171" t="s">
        <v>2985</v>
      </c>
      <c r="C54">
        <f>D54+G54</f>
        <v>3217.73</v>
      </c>
      <c r="D54">
        <f>E54+E55</f>
        <v>1454.89</v>
      </c>
      <c r="E54" s="3174">
        <v>250</v>
      </c>
      <c r="F54" s="3171" t="s">
        <v>2995</v>
      </c>
      <c r="G54" s="3171">
        <v>1762.84</v>
      </c>
    </row>
    <row r="55" spans="1:7">
      <c r="E55">
        <v>1204.8900000000001</v>
      </c>
      <c r="F55" s="3171" t="s">
        <v>2998</v>
      </c>
    </row>
    <row r="56" spans="1:7">
      <c r="A56" s="3171" t="s">
        <v>3015</v>
      </c>
      <c r="B56" s="3171" t="s">
        <v>2985</v>
      </c>
      <c r="C56">
        <f>D56+G56</f>
        <v>4509.24</v>
      </c>
      <c r="D56">
        <f>E56+E57</f>
        <v>2040.4</v>
      </c>
      <c r="E56" s="3174">
        <v>350</v>
      </c>
      <c r="F56" s="3171" t="s">
        <v>2995</v>
      </c>
      <c r="G56" s="3171">
        <v>2468.84</v>
      </c>
    </row>
    <row r="57" spans="1:7">
      <c r="E57">
        <v>1690.4</v>
      </c>
      <c r="F57" s="3171" t="s">
        <v>2998</v>
      </c>
    </row>
    <row r="58" spans="1:7">
      <c r="A58" s="3171" t="s">
        <v>3016</v>
      </c>
      <c r="B58" s="3171" t="s">
        <v>2985</v>
      </c>
      <c r="C58">
        <f>D58+G58</f>
        <v>4624.47</v>
      </c>
      <c r="D58">
        <f>E58+E59</f>
        <v>2155.63</v>
      </c>
      <c r="E58" s="3174">
        <v>350</v>
      </c>
      <c r="F58" s="3171" t="s">
        <v>2995</v>
      </c>
      <c r="G58" s="3171">
        <v>2468.84</v>
      </c>
    </row>
    <row r="59" spans="1:7">
      <c r="E59">
        <v>1805.63</v>
      </c>
      <c r="F59" s="3171" t="s">
        <v>2998</v>
      </c>
    </row>
    <row r="60" spans="1:7">
      <c r="A60" s="3171" t="s">
        <v>3017</v>
      </c>
      <c r="B60" s="3171" t="s">
        <v>2985</v>
      </c>
      <c r="C60">
        <f>D60+G60</f>
        <v>3834.21</v>
      </c>
      <c r="D60">
        <f>E60+E61</f>
        <v>1727.71</v>
      </c>
      <c r="E60" s="3174">
        <v>350</v>
      </c>
      <c r="F60" s="3171" t="s">
        <v>2995</v>
      </c>
      <c r="G60" s="3171">
        <v>2106.5</v>
      </c>
    </row>
    <row r="61" spans="1:7">
      <c r="E61">
        <v>1377.71</v>
      </c>
      <c r="F61" s="3171" t="s">
        <v>2998</v>
      </c>
    </row>
    <row r="62" spans="1:7">
      <c r="A62" s="3171" t="s">
        <v>3018</v>
      </c>
      <c r="B62" s="3171" t="s">
        <v>2985</v>
      </c>
      <c r="C62">
        <f>D62+G62</f>
        <v>3792.92</v>
      </c>
      <c r="D62">
        <f>E62+E63</f>
        <v>1686.42</v>
      </c>
      <c r="E62" s="3174">
        <v>350</v>
      </c>
      <c r="F62" s="3171" t="s">
        <v>2995</v>
      </c>
      <c r="G62" s="3171">
        <v>2106.5</v>
      </c>
    </row>
    <row r="63" spans="1:7">
      <c r="E63">
        <v>1336.42</v>
      </c>
      <c r="F63" s="3171" t="s">
        <v>2998</v>
      </c>
    </row>
    <row r="64" spans="1:7">
      <c r="A64" s="3171" t="s">
        <v>3019</v>
      </c>
      <c r="B64" s="3171" t="s">
        <v>2985</v>
      </c>
      <c r="C64">
        <f>D64+G64</f>
        <v>3792.92</v>
      </c>
      <c r="D64">
        <f>E64+E65</f>
        <v>1686.42</v>
      </c>
      <c r="E64" s="3174">
        <v>350</v>
      </c>
      <c r="F64" s="3171" t="s">
        <v>2995</v>
      </c>
      <c r="G64" s="3171">
        <v>2106.5</v>
      </c>
    </row>
    <row r="65" spans="1:8">
      <c r="E65">
        <v>1336.42</v>
      </c>
      <c r="F65" s="3171" t="s">
        <v>2998</v>
      </c>
    </row>
    <row r="66" spans="1:8">
      <c r="A66" s="3171" t="s">
        <v>3020</v>
      </c>
      <c r="B66" s="3171" t="s">
        <v>2985</v>
      </c>
      <c r="C66">
        <f>D66+G66</f>
        <v>3792.92</v>
      </c>
      <c r="D66">
        <f>E66+E67</f>
        <v>1686.42</v>
      </c>
      <c r="E66" s="3174">
        <v>350</v>
      </c>
      <c r="F66" s="3171" t="s">
        <v>2995</v>
      </c>
      <c r="G66" s="3171">
        <v>2106.5</v>
      </c>
    </row>
    <row r="67" spans="1:8">
      <c r="E67">
        <v>1336.42</v>
      </c>
      <c r="F67" s="3171" t="s">
        <v>2998</v>
      </c>
    </row>
    <row r="68" spans="1:8">
      <c r="A68" s="3171" t="s">
        <v>3021</v>
      </c>
      <c r="B68" s="3171" t="s">
        <v>2985</v>
      </c>
      <c r="C68">
        <f>D68+G68</f>
        <v>4070.8900000000003</v>
      </c>
      <c r="D68">
        <f>E68+E69</f>
        <v>1964.39</v>
      </c>
      <c r="E68" s="3174">
        <v>350</v>
      </c>
      <c r="F68" s="3171" t="s">
        <v>2995</v>
      </c>
      <c r="G68" s="3171">
        <v>2106.5</v>
      </c>
    </row>
    <row r="69" spans="1:8">
      <c r="E69">
        <v>1614.39</v>
      </c>
      <c r="F69" s="3171" t="s">
        <v>2998</v>
      </c>
    </row>
    <row r="70" spans="1:8">
      <c r="A70" s="3174" t="s">
        <v>3315</v>
      </c>
      <c r="B70" s="3174" t="s">
        <v>2985</v>
      </c>
      <c r="C70" s="3174">
        <f>D70+G70</f>
        <v>5251.25</v>
      </c>
      <c r="D70" s="3174">
        <f>E70+E71</f>
        <v>2491.83</v>
      </c>
      <c r="E70" s="3174">
        <v>450</v>
      </c>
      <c r="F70" s="3174" t="s">
        <v>2995</v>
      </c>
      <c r="G70" s="3174">
        <v>2759.42</v>
      </c>
      <c r="H70" s="3173"/>
    </row>
    <row r="71" spans="1:8">
      <c r="A71" s="3174"/>
      <c r="B71" s="3174"/>
      <c r="C71" s="3174"/>
      <c r="D71" s="3174"/>
      <c r="E71" s="3174">
        <v>2041.83</v>
      </c>
      <c r="F71" s="3174" t="s">
        <v>2998</v>
      </c>
      <c r="G71" s="3174"/>
      <c r="H71" s="3173"/>
    </row>
    <row r="72" spans="1:8">
      <c r="A72" s="3174" t="s">
        <v>3316</v>
      </c>
      <c r="B72" s="3174" t="s">
        <v>2985</v>
      </c>
      <c r="C72" s="3174">
        <f>D72+G72</f>
        <v>4904.45</v>
      </c>
      <c r="D72" s="3174">
        <f>E72+E73</f>
        <v>2145.0299999999997</v>
      </c>
      <c r="E72" s="3174">
        <v>450</v>
      </c>
      <c r="F72" s="3174" t="s">
        <v>2995</v>
      </c>
      <c r="G72" s="3174">
        <v>2759.42</v>
      </c>
      <c r="H72" s="3173"/>
    </row>
    <row r="73" spans="1:8">
      <c r="A73" s="3174"/>
      <c r="B73" s="3174"/>
      <c r="C73" s="3174"/>
      <c r="D73" s="3174"/>
      <c r="E73" s="3174">
        <v>1695.03</v>
      </c>
      <c r="F73" s="3174" t="s">
        <v>2998</v>
      </c>
      <c r="G73" s="3174"/>
      <c r="H73" s="3173"/>
    </row>
    <row r="74" spans="1:8">
      <c r="A74" s="3174" t="s">
        <v>3317</v>
      </c>
      <c r="B74" s="3174" t="s">
        <v>2985</v>
      </c>
      <c r="C74" s="3174">
        <f>D74+G74</f>
        <v>4904.45</v>
      </c>
      <c r="D74" s="3174">
        <f>E74+E75</f>
        <v>2145.0299999999997</v>
      </c>
      <c r="E74" s="3174">
        <v>450</v>
      </c>
      <c r="F74" s="3174" t="s">
        <v>2995</v>
      </c>
      <c r="G74" s="3174">
        <v>2759.42</v>
      </c>
      <c r="H74" s="3173"/>
    </row>
    <row r="75" spans="1:8">
      <c r="A75" s="3174"/>
      <c r="B75" s="3174"/>
      <c r="C75" s="3174"/>
      <c r="D75" s="3174"/>
      <c r="E75" s="3174">
        <v>1695.03</v>
      </c>
      <c r="F75" s="3174" t="s">
        <v>2998</v>
      </c>
      <c r="G75" s="3174"/>
      <c r="H75" s="3173"/>
    </row>
    <row r="76" spans="1:8">
      <c r="A76" s="3174" t="s">
        <v>3318</v>
      </c>
      <c r="B76" s="3174" t="s">
        <v>2985</v>
      </c>
      <c r="C76" s="3174">
        <f>D76+G76</f>
        <v>4904.45</v>
      </c>
      <c r="D76" s="3174">
        <f>E76+E77</f>
        <v>2145.0299999999997</v>
      </c>
      <c r="E76" s="3174">
        <v>450</v>
      </c>
      <c r="F76" s="3174" t="s">
        <v>2995</v>
      </c>
      <c r="G76" s="3174">
        <v>2759.42</v>
      </c>
      <c r="H76" s="3173"/>
    </row>
    <row r="77" spans="1:8">
      <c r="A77" s="3174"/>
      <c r="B77" s="3174"/>
      <c r="C77" s="3174"/>
      <c r="D77" s="3174"/>
      <c r="E77" s="3174">
        <v>1695.03</v>
      </c>
      <c r="F77" s="3174" t="s">
        <v>2998</v>
      </c>
      <c r="G77" s="3174"/>
      <c r="H77" s="3173"/>
    </row>
    <row r="78" spans="1:8">
      <c r="A78" s="3174" t="s">
        <v>3319</v>
      </c>
      <c r="B78" s="3174" t="s">
        <v>2985</v>
      </c>
      <c r="C78" s="3174">
        <f>D78+G78</f>
        <v>4972.4400000000005</v>
      </c>
      <c r="D78" s="3174">
        <f>E78+E79</f>
        <v>2213.02</v>
      </c>
      <c r="E78" s="3174">
        <v>450</v>
      </c>
      <c r="F78" s="3174" t="s">
        <v>2995</v>
      </c>
      <c r="G78" s="3174">
        <v>2759.42</v>
      </c>
      <c r="H78" s="3173"/>
    </row>
    <row r="79" spans="1:8">
      <c r="A79" s="3174"/>
      <c r="B79" s="3174"/>
      <c r="C79" s="3174"/>
      <c r="D79" s="3174"/>
      <c r="E79" s="3174">
        <v>1763.02</v>
      </c>
      <c r="F79" s="3174" t="s">
        <v>2998</v>
      </c>
      <c r="G79" s="3174"/>
      <c r="H79" s="3173"/>
    </row>
    <row r="80" spans="1:8">
      <c r="A80" s="3174" t="s">
        <v>3320</v>
      </c>
      <c r="B80" s="3174" t="s">
        <v>2985</v>
      </c>
      <c r="C80" s="3174">
        <f>D80+G80</f>
        <v>5369.16</v>
      </c>
      <c r="D80" s="3174">
        <f>E80+E81</f>
        <v>2329.56</v>
      </c>
      <c r="E80" s="3174">
        <v>500</v>
      </c>
      <c r="F80" s="3174" t="s">
        <v>2995</v>
      </c>
      <c r="G80" s="3174">
        <v>3039.6</v>
      </c>
      <c r="H80" s="3173"/>
    </row>
    <row r="81" spans="1:8">
      <c r="A81" s="3174"/>
      <c r="B81" s="3174"/>
      <c r="C81" s="3174"/>
      <c r="D81" s="3174"/>
      <c r="E81" s="3174">
        <v>1829.56</v>
      </c>
      <c r="F81" s="3174" t="s">
        <v>2998</v>
      </c>
      <c r="G81" s="3174"/>
      <c r="H81" s="3173"/>
    </row>
    <row r="82" spans="1:8">
      <c r="A82" s="3174" t="s">
        <v>3321</v>
      </c>
      <c r="B82" s="3174" t="s">
        <v>2985</v>
      </c>
      <c r="C82" s="3174">
        <f>D82+G82</f>
        <v>6355.76</v>
      </c>
      <c r="D82" s="3174">
        <f>E82+E83</f>
        <v>2708.1</v>
      </c>
      <c r="E82" s="3174">
        <v>600</v>
      </c>
      <c r="F82" s="3174" t="s">
        <v>3028</v>
      </c>
      <c r="G82" s="3174">
        <v>3647.66</v>
      </c>
      <c r="H82" s="3173"/>
    </row>
    <row r="83" spans="1:8">
      <c r="A83" s="3174"/>
      <c r="B83" s="3174"/>
      <c r="C83" s="3174"/>
      <c r="D83" s="3174"/>
      <c r="E83" s="3174">
        <v>2108.1</v>
      </c>
      <c r="F83" s="3174" t="s">
        <v>2998</v>
      </c>
      <c r="G83" s="3174"/>
      <c r="H83" s="3174"/>
    </row>
    <row r="84" spans="1:8">
      <c r="A84" s="3174" t="s">
        <v>3322</v>
      </c>
      <c r="B84" s="3174" t="s">
        <v>2985</v>
      </c>
      <c r="C84" s="3174">
        <f>D84+G84</f>
        <v>4231.78</v>
      </c>
      <c r="D84" s="3174">
        <f>E84+E85</f>
        <v>1800.09</v>
      </c>
      <c r="E84" s="3174">
        <v>400</v>
      </c>
      <c r="F84" s="3174" t="s">
        <v>2995</v>
      </c>
      <c r="G84" s="3174">
        <v>2431.69</v>
      </c>
      <c r="H84" s="3174"/>
    </row>
    <row r="85" spans="1:8">
      <c r="A85" s="3174"/>
      <c r="B85" s="3174"/>
      <c r="C85" s="3174"/>
      <c r="D85" s="3174"/>
      <c r="E85" s="3174">
        <v>1400.09</v>
      </c>
      <c r="F85" s="3174" t="s">
        <v>2998</v>
      </c>
      <c r="G85" s="3174"/>
      <c r="H85" s="3174"/>
    </row>
    <row r="86" spans="1:8">
      <c r="A86" s="3174" t="s">
        <v>3323</v>
      </c>
      <c r="B86" s="3174" t="s">
        <v>2985</v>
      </c>
      <c r="C86" s="3174">
        <f>D86+G86</f>
        <v>2657.38</v>
      </c>
      <c r="D86" s="3174">
        <f>E86+E87</f>
        <v>1127.8899999999999</v>
      </c>
      <c r="E86" s="3174">
        <v>250</v>
      </c>
      <c r="F86" s="3174" t="s">
        <v>2995</v>
      </c>
      <c r="G86" s="3174">
        <v>1529.49</v>
      </c>
      <c r="H86" s="3174"/>
    </row>
    <row r="87" spans="1:8">
      <c r="A87" s="3174"/>
      <c r="B87" s="3174"/>
      <c r="C87" s="3174"/>
      <c r="D87" s="3174"/>
      <c r="E87" s="3174">
        <v>877.89</v>
      </c>
      <c r="F87" s="3174" t="s">
        <v>2998</v>
      </c>
      <c r="G87" s="3174"/>
      <c r="H87" s="3174"/>
    </row>
    <row r="88" spans="1:8">
      <c r="A88" s="3171" t="s">
        <v>3022</v>
      </c>
      <c r="B88" s="3171" t="s">
        <v>2985</v>
      </c>
      <c r="C88" s="3206">
        <f>D88+G88</f>
        <v>1635.61</v>
      </c>
      <c r="D88" s="3206">
        <f>E88+E89</f>
        <v>742.93</v>
      </c>
      <c r="E88" s="3207">
        <v>125</v>
      </c>
      <c r="F88" s="3208" t="s">
        <v>2995</v>
      </c>
      <c r="G88" s="3208">
        <v>892.68</v>
      </c>
    </row>
    <row r="89" spans="1:8">
      <c r="E89">
        <v>617.92999999999995</v>
      </c>
      <c r="F89" s="3171" t="s">
        <v>2998</v>
      </c>
    </row>
    <row r="90" spans="1:8">
      <c r="A90" s="3171" t="s">
        <v>3023</v>
      </c>
      <c r="B90" s="3171" t="s">
        <v>2985</v>
      </c>
      <c r="C90">
        <f>D90+G90</f>
        <v>3216.52</v>
      </c>
      <c r="D90">
        <f>E90+E91</f>
        <v>1453.68</v>
      </c>
      <c r="E90" s="3174">
        <v>250</v>
      </c>
      <c r="F90" s="3171" t="s">
        <v>2995</v>
      </c>
      <c r="G90" s="3171">
        <v>1762.84</v>
      </c>
    </row>
    <row r="91" spans="1:8">
      <c r="E91">
        <v>1203.68</v>
      </c>
      <c r="F91" s="3171" t="s">
        <v>2998</v>
      </c>
    </row>
    <row r="92" spans="1:8">
      <c r="A92" s="3171" t="s">
        <v>3024</v>
      </c>
      <c r="B92" s="3171" t="s">
        <v>2985</v>
      </c>
      <c r="C92">
        <f>D92+G92</f>
        <v>3217.73</v>
      </c>
      <c r="D92">
        <f>E92+E93</f>
        <v>1454.89</v>
      </c>
      <c r="E92" s="3174">
        <v>250</v>
      </c>
      <c r="F92" s="3171" t="s">
        <v>2995</v>
      </c>
      <c r="G92" s="3171">
        <v>1762.84</v>
      </c>
    </row>
    <row r="93" spans="1:8">
      <c r="E93">
        <v>1204.8900000000001</v>
      </c>
      <c r="F93" s="3171" t="s">
        <v>2998</v>
      </c>
    </row>
    <row r="94" spans="1:8">
      <c r="A94" s="3171" t="s">
        <v>3025</v>
      </c>
      <c r="B94" s="3171" t="s">
        <v>2985</v>
      </c>
      <c r="C94">
        <f>D94+G94</f>
        <v>3232.7200000000003</v>
      </c>
      <c r="D94">
        <f>E94+E95</f>
        <v>1469.88</v>
      </c>
      <c r="E94" s="3174">
        <v>250</v>
      </c>
      <c r="F94" s="3171" t="s">
        <v>2995</v>
      </c>
      <c r="G94" s="3171">
        <v>1762.84</v>
      </c>
    </row>
    <row r="95" spans="1:8">
      <c r="E95">
        <v>1219.8800000000001</v>
      </c>
      <c r="F95" s="3171" t="s">
        <v>2998</v>
      </c>
    </row>
    <row r="96" spans="1:8">
      <c r="A96" s="3171" t="s">
        <v>3026</v>
      </c>
      <c r="B96" s="3171" t="s">
        <v>2985</v>
      </c>
      <c r="C96">
        <f>D96+G96</f>
        <v>3232.7200000000003</v>
      </c>
      <c r="D96">
        <f>E96+E97</f>
        <v>1469.88</v>
      </c>
      <c r="E96" s="3174">
        <v>250</v>
      </c>
      <c r="F96" s="3171" t="s">
        <v>2995</v>
      </c>
      <c r="G96" s="3171">
        <v>1762.84</v>
      </c>
    </row>
    <row r="97" spans="1:7">
      <c r="E97">
        <v>1219.8800000000001</v>
      </c>
      <c r="F97" s="3171" t="s">
        <v>2998</v>
      </c>
    </row>
    <row r="98" spans="1:7">
      <c r="A98" s="3171" t="s">
        <v>3027</v>
      </c>
      <c r="B98" s="3171" t="s">
        <v>2985</v>
      </c>
      <c r="C98">
        <f>D98+G98</f>
        <v>3217.73</v>
      </c>
      <c r="D98">
        <f>E98+E99</f>
        <v>1454.89</v>
      </c>
      <c r="E98" s="3174">
        <v>250</v>
      </c>
      <c r="F98" s="3171" t="s">
        <v>2995</v>
      </c>
      <c r="G98" s="3171">
        <v>1762.84</v>
      </c>
    </row>
    <row r="99" spans="1:7">
      <c r="E99">
        <v>1204.8900000000001</v>
      </c>
      <c r="F99" s="3171" t="s">
        <v>2998</v>
      </c>
    </row>
    <row r="100" spans="1:7">
      <c r="A100" s="3171" t="s">
        <v>3029</v>
      </c>
      <c r="B100" s="3171" t="s">
        <v>2999</v>
      </c>
      <c r="C100">
        <f>D100+G100</f>
        <v>1934.44</v>
      </c>
      <c r="D100">
        <f>E100+E101</f>
        <v>874.56</v>
      </c>
      <c r="E100" s="3174">
        <v>150</v>
      </c>
      <c r="F100" s="3171" t="s">
        <v>2995</v>
      </c>
      <c r="G100" s="3171">
        <v>1059.8800000000001</v>
      </c>
    </row>
    <row r="101" spans="1:7">
      <c r="E101">
        <v>724.56</v>
      </c>
      <c r="F101" s="3171" t="s">
        <v>2998</v>
      </c>
    </row>
    <row r="102" spans="1:7">
      <c r="A102" s="3171" t="s">
        <v>3030</v>
      </c>
      <c r="B102" s="3171" t="s">
        <v>2999</v>
      </c>
      <c r="C102">
        <f>D102+G102</f>
        <v>1934.44</v>
      </c>
      <c r="D102">
        <f>E102+E103</f>
        <v>874.56</v>
      </c>
      <c r="E102" s="3174">
        <v>150</v>
      </c>
      <c r="F102" s="3171" t="s">
        <v>2995</v>
      </c>
      <c r="G102" s="3171">
        <v>1059.8800000000001</v>
      </c>
    </row>
    <row r="103" spans="1:7">
      <c r="E103">
        <v>724.56</v>
      </c>
      <c r="F103" s="3171" t="s">
        <v>2998</v>
      </c>
    </row>
    <row r="104" spans="1:7">
      <c r="A104" s="3171" t="s">
        <v>3031</v>
      </c>
      <c r="B104" s="3171" t="s">
        <v>2985</v>
      </c>
      <c r="C104">
        <f>D104+G104</f>
        <v>1934.44</v>
      </c>
      <c r="D104">
        <f>E104+E105</f>
        <v>874.56</v>
      </c>
      <c r="E104" s="3174">
        <v>150</v>
      </c>
      <c r="F104" s="3171" t="s">
        <v>2995</v>
      </c>
      <c r="G104" s="3171">
        <v>1059.8800000000001</v>
      </c>
    </row>
    <row r="105" spans="1:7">
      <c r="E105">
        <v>724.56</v>
      </c>
      <c r="F105" s="3171" t="s">
        <v>2998</v>
      </c>
    </row>
    <row r="106" spans="1:7">
      <c r="A106" s="3171" t="s">
        <v>3032</v>
      </c>
      <c r="B106" s="3171" t="s">
        <v>2985</v>
      </c>
      <c r="C106">
        <f>D106+G106</f>
        <v>3217.73</v>
      </c>
      <c r="D106">
        <f>E106+E107</f>
        <v>1454.89</v>
      </c>
      <c r="E106" s="3174">
        <v>250</v>
      </c>
      <c r="F106" s="3171" t="s">
        <v>2995</v>
      </c>
      <c r="G106" s="3171">
        <v>1762.84</v>
      </c>
    </row>
    <row r="107" spans="1:7">
      <c r="E107">
        <v>1204.8900000000001</v>
      </c>
      <c r="F107" s="3171" t="s">
        <v>2998</v>
      </c>
    </row>
    <row r="108" spans="1:7">
      <c r="A108" s="3171" t="s">
        <v>3033</v>
      </c>
      <c r="B108" s="3171" t="s">
        <v>2985</v>
      </c>
      <c r="C108" s="3206">
        <f>D108+G108</f>
        <v>4202.45</v>
      </c>
      <c r="D108" s="3206">
        <f>E108+E109</f>
        <v>1900.81</v>
      </c>
      <c r="E108" s="3207">
        <v>325</v>
      </c>
      <c r="F108" s="3208" t="s">
        <v>2995</v>
      </c>
      <c r="G108" s="3208">
        <v>2301.64</v>
      </c>
    </row>
    <row r="109" spans="1:7">
      <c r="C109" s="3206"/>
      <c r="D109" s="3206"/>
      <c r="E109" s="3206">
        <v>1575.81</v>
      </c>
      <c r="F109" s="3208" t="s">
        <v>2998</v>
      </c>
      <c r="G109" s="3206"/>
    </row>
    <row r="110" spans="1:7">
      <c r="A110" s="3171" t="s">
        <v>3034</v>
      </c>
      <c r="B110" s="3171" t="s">
        <v>2985</v>
      </c>
      <c r="C110" s="3206">
        <f>D110+G110</f>
        <v>2910.86</v>
      </c>
      <c r="D110" s="3206">
        <f>E110+E111</f>
        <v>1315.22</v>
      </c>
      <c r="E110" s="3207">
        <v>225</v>
      </c>
      <c r="F110" s="3208" t="s">
        <v>2995</v>
      </c>
      <c r="G110" s="3208">
        <v>1595.64</v>
      </c>
    </row>
    <row r="111" spans="1:7">
      <c r="C111" s="3206"/>
      <c r="D111" s="3206"/>
      <c r="E111" s="3206">
        <v>1090.22</v>
      </c>
      <c r="F111" s="3208" t="s">
        <v>2998</v>
      </c>
      <c r="G111" s="3206"/>
    </row>
    <row r="112" spans="1:7">
      <c r="A112" s="3171" t="s">
        <v>3035</v>
      </c>
      <c r="B112" s="3171" t="s">
        <v>2985</v>
      </c>
      <c r="C112" s="3206">
        <f>D112+G112</f>
        <v>1292.92</v>
      </c>
      <c r="D112" s="3206">
        <f>E112+E113</f>
        <v>584.52</v>
      </c>
      <c r="E112" s="3207">
        <v>100</v>
      </c>
      <c r="F112" s="3208" t="s">
        <v>2995</v>
      </c>
      <c r="G112" s="3208">
        <v>708.4</v>
      </c>
    </row>
    <row r="113" spans="1:9">
      <c r="E113">
        <v>484.52</v>
      </c>
      <c r="F113" s="3171" t="s">
        <v>2998</v>
      </c>
    </row>
    <row r="114" spans="1:9">
      <c r="A114" s="3171" t="s">
        <v>3036</v>
      </c>
      <c r="B114" s="3171" t="s">
        <v>2985</v>
      </c>
      <c r="C114" s="3206">
        <f>D114+G114</f>
        <v>2269.2399999999998</v>
      </c>
      <c r="D114" s="3206">
        <f>E114+E115</f>
        <v>1025.08</v>
      </c>
      <c r="E114" s="3207">
        <v>175</v>
      </c>
      <c r="F114" s="3208" t="s">
        <v>2995</v>
      </c>
      <c r="G114" s="3208">
        <v>1244.1600000000001</v>
      </c>
    </row>
    <row r="115" spans="1:9">
      <c r="C115" s="3206"/>
      <c r="D115" s="3206"/>
      <c r="E115" s="3206">
        <v>850.08</v>
      </c>
      <c r="F115" s="3208" t="s">
        <v>2998</v>
      </c>
      <c r="G115" s="3206"/>
    </row>
    <row r="116" spans="1:9">
      <c r="A116" s="3171" t="s">
        <v>3037</v>
      </c>
      <c r="B116" s="3171" t="s">
        <v>2985</v>
      </c>
      <c r="C116">
        <f>D116+G116</f>
        <v>2576.12</v>
      </c>
      <c r="D116">
        <f>E116+E117</f>
        <v>1164.76</v>
      </c>
      <c r="E116" s="3174">
        <v>200</v>
      </c>
      <c r="F116" s="3171" t="s">
        <v>2995</v>
      </c>
      <c r="G116" s="3171">
        <v>1411.36</v>
      </c>
    </row>
    <row r="117" spans="1:9">
      <c r="E117">
        <v>964.76</v>
      </c>
      <c r="F117" s="3171" t="s">
        <v>2998</v>
      </c>
    </row>
    <row r="118" spans="1:9">
      <c r="A118" s="3171" t="s">
        <v>3038</v>
      </c>
      <c r="B118" s="3171" t="s">
        <v>2985</v>
      </c>
      <c r="C118">
        <f>D118+G118</f>
        <v>3867.76</v>
      </c>
      <c r="D118">
        <f>E118+E119</f>
        <v>1750.4</v>
      </c>
      <c r="E118" s="3174">
        <v>300</v>
      </c>
      <c r="F118" s="3171" t="s">
        <v>2995</v>
      </c>
      <c r="G118" s="3171">
        <v>2117.36</v>
      </c>
    </row>
    <row r="119" spans="1:9">
      <c r="E119">
        <v>1450.4</v>
      </c>
      <c r="F119" s="3171" t="s">
        <v>2998</v>
      </c>
    </row>
    <row r="120" spans="1:9">
      <c r="A120" s="3171" t="s">
        <v>3039</v>
      </c>
      <c r="B120" s="3171" t="s">
        <v>2985</v>
      </c>
      <c r="C120">
        <f>D120+G120</f>
        <v>5150.9600000000009</v>
      </c>
      <c r="D120">
        <f>E120+E121</f>
        <v>2330.6400000000003</v>
      </c>
      <c r="E120" s="3174">
        <v>400</v>
      </c>
      <c r="F120" s="3171" t="s">
        <v>2995</v>
      </c>
      <c r="G120" s="3171">
        <v>2820.32</v>
      </c>
    </row>
    <row r="121" spans="1:9">
      <c r="E121">
        <v>1930.64</v>
      </c>
      <c r="F121" s="3171" t="s">
        <v>2998</v>
      </c>
    </row>
    <row r="122" spans="1:9">
      <c r="A122" s="3171" t="s">
        <v>3040</v>
      </c>
      <c r="B122" s="3171" t="s">
        <v>2985</v>
      </c>
      <c r="C122">
        <f>D122+G122</f>
        <v>3867.76</v>
      </c>
      <c r="D122">
        <f>E122+E123</f>
        <v>1750.4</v>
      </c>
      <c r="E122" s="3174">
        <v>300</v>
      </c>
      <c r="F122" s="3171" t="s">
        <v>2995</v>
      </c>
      <c r="G122" s="3171">
        <v>2117.36</v>
      </c>
    </row>
    <row r="123" spans="1:9">
      <c r="E123">
        <v>1450.4</v>
      </c>
      <c r="F123" s="3171" t="s">
        <v>2998</v>
      </c>
    </row>
    <row r="124" spans="1:9">
      <c r="A124" s="3171" t="s">
        <v>3041</v>
      </c>
      <c r="B124" s="3171" t="s">
        <v>2985</v>
      </c>
      <c r="C124">
        <f>D124+G124</f>
        <v>2576.12</v>
      </c>
      <c r="D124">
        <f>E124+E125</f>
        <v>1164.76</v>
      </c>
      <c r="E124" s="3174">
        <v>200</v>
      </c>
      <c r="F124" s="3171" t="s">
        <v>2995</v>
      </c>
      <c r="G124" s="3171">
        <v>1411.36</v>
      </c>
    </row>
    <row r="125" spans="1:9">
      <c r="E125">
        <v>964.76</v>
      </c>
      <c r="F125" s="3171" t="s">
        <v>2998</v>
      </c>
    </row>
    <row r="126" spans="1:9">
      <c r="A126" s="3171" t="s">
        <v>3042</v>
      </c>
      <c r="B126" s="3171" t="s">
        <v>2985</v>
      </c>
      <c r="C126">
        <f>D126+G126</f>
        <v>1286.6199999999999</v>
      </c>
      <c r="D126">
        <f>E126+E127</f>
        <v>578.22</v>
      </c>
      <c r="E126" s="3174">
        <v>100</v>
      </c>
      <c r="F126" s="3171" t="s">
        <v>2995</v>
      </c>
      <c r="G126" s="3171">
        <v>708.4</v>
      </c>
    </row>
    <row r="127" spans="1:9">
      <c r="E127">
        <v>478.22</v>
      </c>
      <c r="F127" s="3171" t="s">
        <v>2998</v>
      </c>
    </row>
    <row r="128" spans="1:9">
      <c r="A128" s="3171" t="s">
        <v>3043</v>
      </c>
      <c r="B128" s="3171" t="s">
        <v>3044</v>
      </c>
      <c r="C128">
        <f>D128+G128</f>
        <v>573.76</v>
      </c>
      <c r="D128">
        <f>+E128+E129+E130</f>
        <v>173.76</v>
      </c>
      <c r="E128">
        <v>102.56</v>
      </c>
      <c r="F128" s="3171" t="s">
        <v>3045</v>
      </c>
      <c r="G128" s="3171">
        <f>H128+H129</f>
        <v>400</v>
      </c>
      <c r="H128" s="3171">
        <v>300</v>
      </c>
      <c r="I128" s="3171" t="s">
        <v>3048</v>
      </c>
    </row>
    <row r="129" spans="1:9">
      <c r="E129">
        <v>20.79</v>
      </c>
      <c r="F129" s="3171" t="s">
        <v>3046</v>
      </c>
      <c r="H129" s="3171">
        <v>100</v>
      </c>
      <c r="I129" s="3171" t="s">
        <v>3047</v>
      </c>
    </row>
    <row r="130" spans="1:9">
      <c r="B130" s="3171"/>
      <c r="E130">
        <v>50.41</v>
      </c>
      <c r="F130" s="3171" t="s">
        <v>3047</v>
      </c>
    </row>
    <row r="131" spans="1:9">
      <c r="A131" s="3171" t="s">
        <v>3329</v>
      </c>
      <c r="C131">
        <f>D131+G131</f>
        <v>57996.38</v>
      </c>
      <c r="D131">
        <f>E131+E132+E133+E134</f>
        <v>57786.38</v>
      </c>
      <c r="E131">
        <v>47322.66</v>
      </c>
      <c r="F131" s="3171" t="s">
        <v>3324</v>
      </c>
      <c r="G131">
        <v>210</v>
      </c>
      <c r="H131">
        <v>210</v>
      </c>
      <c r="I131" s="3171" t="s">
        <v>3328</v>
      </c>
    </row>
    <row r="132" spans="1:9">
      <c r="A132" s="3171"/>
      <c r="B132" s="3171"/>
      <c r="E132">
        <f>3846.23+900+500+50+50+30+15+15</f>
        <v>5406.23</v>
      </c>
      <c r="F132" s="3171" t="s">
        <v>3325</v>
      </c>
    </row>
    <row r="133" spans="1:9">
      <c r="A133" s="3171"/>
      <c r="E133">
        <v>953.49</v>
      </c>
      <c r="F133" s="3171" t="s">
        <v>3326</v>
      </c>
    </row>
    <row r="134" spans="1:9">
      <c r="B134" s="3171"/>
      <c r="E134">
        <f>4104</f>
        <v>4104</v>
      </c>
      <c r="F134" s="3171" t="s">
        <v>3327</v>
      </c>
    </row>
    <row r="135" spans="1:9">
      <c r="A135" s="3171" t="s">
        <v>3330</v>
      </c>
      <c r="C135">
        <f>D135+E135</f>
        <v>25687.4</v>
      </c>
      <c r="E135">
        <f>G135+G136</f>
        <v>25687.4</v>
      </c>
      <c r="F135" s="3171" t="s">
        <v>3331</v>
      </c>
      <c r="G135">
        <v>24820.400000000001</v>
      </c>
    </row>
    <row r="136" spans="1:9">
      <c r="B136" s="3171"/>
      <c r="E136"/>
      <c r="F136" s="3171" t="s">
        <v>3332</v>
      </c>
      <c r="G136">
        <f>540+327</f>
        <v>867</v>
      </c>
    </row>
    <row r="137" spans="1:9">
      <c r="E137"/>
      <c r="F137" s="3171"/>
    </row>
    <row r="138" spans="1:9">
      <c r="B138" s="3171"/>
      <c r="E138"/>
      <c r="F138" s="3171"/>
    </row>
    <row r="139" spans="1:9">
      <c r="E139"/>
      <c r="F139" s="3171"/>
    </row>
    <row r="140" spans="1:9">
      <c r="B140" s="3171"/>
      <c r="E140"/>
      <c r="F140" s="3171"/>
    </row>
    <row r="141" spans="1:9">
      <c r="E141"/>
      <c r="F141" s="3171"/>
    </row>
    <row r="142" spans="1:9">
      <c r="B142" s="3171"/>
      <c r="E142"/>
      <c r="F142" s="3171"/>
    </row>
    <row r="143" spans="1:9">
      <c r="E143"/>
      <c r="F143" s="3171"/>
    </row>
    <row r="144" spans="1:9">
      <c r="B144" s="3171"/>
      <c r="E144"/>
      <c r="F144" s="3171"/>
    </row>
    <row r="145" spans="2:6">
      <c r="E145"/>
      <c r="F145" s="3171"/>
    </row>
    <row r="146" spans="2:6">
      <c r="B146" s="3171"/>
      <c r="E146"/>
      <c r="F146" s="3171"/>
    </row>
    <row r="147" spans="2:6">
      <c r="E147"/>
      <c r="F147" s="3171"/>
    </row>
    <row r="148" spans="2:6">
      <c r="B148" s="3171"/>
      <c r="E148"/>
      <c r="F148" s="3171"/>
    </row>
    <row r="149" spans="2:6">
      <c r="E149"/>
      <c r="F149" s="3171"/>
    </row>
    <row r="150" spans="2:6">
      <c r="B150" s="3171"/>
      <c r="E150"/>
      <c r="F150" s="3171"/>
    </row>
    <row r="151" spans="2:6">
      <c r="E151"/>
      <c r="F151" s="3171"/>
    </row>
    <row r="152" spans="2:6">
      <c r="B152" s="3171"/>
      <c r="E152"/>
      <c r="F152" s="3171"/>
    </row>
    <row r="153" spans="2:6">
      <c r="E153"/>
      <c r="F153" s="3171"/>
    </row>
    <row r="154" spans="2:6">
      <c r="B154" s="3171"/>
      <c r="E154"/>
      <c r="F154" s="3171"/>
    </row>
    <row r="155" spans="2:6">
      <c r="E155"/>
      <c r="F155" s="3171"/>
    </row>
    <row r="156" spans="2:6">
      <c r="B156" s="3171"/>
      <c r="E156"/>
      <c r="F156" s="3171"/>
    </row>
    <row r="157" spans="2:6">
      <c r="E157"/>
      <c r="F157" s="3171"/>
    </row>
    <row r="158" spans="2:6">
      <c r="B158" s="3171"/>
      <c r="E158"/>
      <c r="F158" s="3171"/>
    </row>
    <row r="159" spans="2:6">
      <c r="E159"/>
      <c r="F159" s="3171"/>
    </row>
    <row r="160" spans="2:6">
      <c r="B160" s="3171"/>
      <c r="E160"/>
      <c r="F160" s="3171"/>
    </row>
    <row r="161" spans="2:6">
      <c r="E161"/>
      <c r="F161" s="3171"/>
    </row>
    <row r="162" spans="2:6">
      <c r="B162" s="3171"/>
      <c r="E162"/>
      <c r="F162" s="3171"/>
    </row>
    <row r="163" spans="2:6">
      <c r="E163"/>
      <c r="F163" s="3171"/>
    </row>
    <row r="164" spans="2:6">
      <c r="B164" s="3171"/>
      <c r="E164"/>
      <c r="F164" s="3171"/>
    </row>
    <row r="165" spans="2:6">
      <c r="E165"/>
      <c r="F165" s="3171"/>
    </row>
    <row r="166" spans="2:6">
      <c r="B166" s="3171"/>
      <c r="E166"/>
      <c r="F166" s="3171"/>
    </row>
    <row r="167" spans="2:6">
      <c r="E167"/>
      <c r="F167" s="3171"/>
    </row>
    <row r="168" spans="2:6">
      <c r="B168" s="3171"/>
      <c r="E168"/>
      <c r="F168" s="3171"/>
    </row>
    <row r="169" spans="2:6">
      <c r="E169"/>
      <c r="F169" s="3171"/>
    </row>
    <row r="170" spans="2:6">
      <c r="B170" s="3171"/>
      <c r="E170"/>
      <c r="F170" s="3171"/>
    </row>
    <row r="171" spans="2:6">
      <c r="E171"/>
      <c r="F171" s="3171"/>
    </row>
    <row r="172" spans="2:6">
      <c r="B172" s="3171"/>
      <c r="E172"/>
      <c r="F172" s="3171"/>
    </row>
    <row r="173" spans="2:6">
      <c r="E173"/>
      <c r="F173" s="3171"/>
    </row>
    <row r="174" spans="2:6">
      <c r="B174" s="3171"/>
      <c r="E174"/>
      <c r="F174" s="3171"/>
    </row>
    <row r="175" spans="2:6">
      <c r="E175"/>
      <c r="F175" s="3171"/>
    </row>
    <row r="176" spans="2:6">
      <c r="B176" s="3171"/>
      <c r="E176"/>
      <c r="F176" s="3171"/>
    </row>
    <row r="177" spans="2:6">
      <c r="E177"/>
      <c r="F177" s="3171"/>
    </row>
    <row r="178" spans="2:6">
      <c r="B178" s="3171"/>
      <c r="E178"/>
      <c r="F178" s="3171"/>
    </row>
    <row r="179" spans="2:6">
      <c r="E179"/>
      <c r="F179" s="3171"/>
    </row>
    <row r="180" spans="2:6">
      <c r="B180" s="3171"/>
      <c r="E180"/>
      <c r="F180" s="3171"/>
    </row>
    <row r="181" spans="2:6">
      <c r="E181"/>
      <c r="F181" s="3171"/>
    </row>
    <row r="182" spans="2:6">
      <c r="B182" s="3171"/>
      <c r="E182"/>
      <c r="F182" s="3171"/>
    </row>
    <row r="183" spans="2:6">
      <c r="E183"/>
      <c r="F183" s="3171"/>
    </row>
    <row r="184" spans="2:6">
      <c r="B184" s="3171"/>
      <c r="E184"/>
      <c r="F184" s="3171"/>
    </row>
    <row r="185" spans="2:6">
      <c r="E185"/>
      <c r="F185" s="3171"/>
    </row>
    <row r="186" spans="2:6">
      <c r="B186" s="3171"/>
      <c r="E186"/>
      <c r="F186" s="3171"/>
    </row>
    <row r="187" spans="2:6">
      <c r="E187"/>
      <c r="F187" s="3171"/>
    </row>
    <row r="188" spans="2:6">
      <c r="B188" s="3171"/>
      <c r="E188"/>
      <c r="F188" s="3171"/>
    </row>
    <row r="189" spans="2:6">
      <c r="E189"/>
      <c r="F189" s="3171"/>
    </row>
    <row r="190" spans="2:6">
      <c r="B190" s="3171"/>
      <c r="E190"/>
      <c r="F190" s="3171"/>
    </row>
    <row r="191" spans="2:6">
      <c r="E191"/>
      <c r="F191" s="3171"/>
    </row>
    <row r="192" spans="2:6">
      <c r="E192"/>
      <c r="F192" s="3171"/>
    </row>
    <row r="193" spans="6:6" customFormat="1">
      <c r="F193" s="3171"/>
    </row>
    <row r="194" spans="6:6" customFormat="1">
      <c r="F194" s="3171"/>
    </row>
    <row r="195" spans="6:6" customFormat="1">
      <c r="F195" s="3171"/>
    </row>
    <row r="196" spans="6:6" customFormat="1">
      <c r="F196" s="3171"/>
    </row>
    <row r="197" spans="6:6" customFormat="1">
      <c r="F197" s="3171"/>
    </row>
    <row r="198" spans="6:6" customFormat="1">
      <c r="F198" s="3171"/>
    </row>
    <row r="199" spans="6:6" customFormat="1">
      <c r="F199" s="3171"/>
    </row>
    <row r="200" spans="6:6" customFormat="1">
      <c r="F200" s="3171"/>
    </row>
    <row r="201" spans="6:6" customFormat="1">
      <c r="F201" s="3171"/>
    </row>
    <row r="202" spans="6:6" customFormat="1">
      <c r="F202" s="3171"/>
    </row>
    <row r="203" spans="6:6" customFormat="1">
      <c r="F203" s="3171"/>
    </row>
    <row r="204" spans="6:6" customFormat="1">
      <c r="F204" s="3171"/>
    </row>
    <row r="205" spans="6:6" customFormat="1">
      <c r="F205" s="3171"/>
    </row>
    <row r="206" spans="6:6" customFormat="1">
      <c r="F206" s="3171"/>
    </row>
    <row r="207" spans="6:6" customFormat="1">
      <c r="F207" s="3171"/>
    </row>
    <row r="208" spans="6:6" customFormat="1">
      <c r="F208" s="3171"/>
    </row>
    <row r="209" spans="6:6" customFormat="1">
      <c r="F209" s="3171"/>
    </row>
    <row r="210" spans="6:6" customFormat="1">
      <c r="F210" s="3171"/>
    </row>
    <row r="211" spans="6:6" customFormat="1">
      <c r="F211" s="3171"/>
    </row>
    <row r="212" spans="6:6" customFormat="1">
      <c r="F212" s="3171"/>
    </row>
    <row r="213" spans="6:6" customFormat="1">
      <c r="F213" s="3171"/>
    </row>
    <row r="214" spans="6:6" customFormat="1">
      <c r="F214" s="3171"/>
    </row>
    <row r="215" spans="6:6" customFormat="1">
      <c r="F215" s="3171"/>
    </row>
    <row r="216" spans="6:6" customFormat="1">
      <c r="F216" s="3171"/>
    </row>
    <row r="217" spans="6:6" customFormat="1">
      <c r="F217" s="3171"/>
    </row>
    <row r="218" spans="6:6" customFormat="1">
      <c r="F218" s="3171"/>
    </row>
    <row r="219" spans="6:6" customFormat="1">
      <c r="F219" s="3171"/>
    </row>
    <row r="220" spans="6:6" customFormat="1">
      <c r="F220" s="3171"/>
    </row>
    <row r="221" spans="6:6" customFormat="1">
      <c r="F221" s="3171"/>
    </row>
    <row r="222" spans="6:6" customFormat="1">
      <c r="F222" s="3171"/>
    </row>
    <row r="223" spans="6:6" customFormat="1">
      <c r="F223" s="3171"/>
    </row>
    <row r="224" spans="6:6" customFormat="1">
      <c r="F224" s="3171"/>
    </row>
    <row r="225" spans="6:6" customFormat="1">
      <c r="F225" s="3171"/>
    </row>
    <row r="226" spans="6:6" customFormat="1">
      <c r="F226" s="3171"/>
    </row>
    <row r="227" spans="6:6" customFormat="1">
      <c r="F227" s="3171"/>
    </row>
    <row r="228" spans="6:6" customFormat="1">
      <c r="F228" s="3171"/>
    </row>
    <row r="229" spans="6:6" customFormat="1">
      <c r="F229" s="3171"/>
    </row>
    <row r="230" spans="6:6" customFormat="1">
      <c r="F230" s="3171"/>
    </row>
    <row r="231" spans="6:6" customFormat="1">
      <c r="F231" s="3171"/>
    </row>
    <row r="232" spans="6:6" customFormat="1">
      <c r="F232" s="3171"/>
    </row>
    <row r="233" spans="6:6" customFormat="1">
      <c r="F233" s="3171"/>
    </row>
    <row r="234" spans="6:6" customFormat="1">
      <c r="F234" s="3171"/>
    </row>
    <row r="235" spans="6:6" customFormat="1">
      <c r="F235" s="3171"/>
    </row>
    <row r="236" spans="6:6" customFormat="1">
      <c r="F236" s="3171"/>
    </row>
    <row r="237" spans="6:6" customFormat="1">
      <c r="F237" s="3171"/>
    </row>
    <row r="238" spans="6:6" customFormat="1">
      <c r="F238" s="3171"/>
    </row>
    <row r="239" spans="6:6" customFormat="1">
      <c r="F239" s="3171"/>
    </row>
    <row r="240" spans="6:6" customFormat="1">
      <c r="F240" s="3171"/>
    </row>
    <row r="241" spans="6:6" customFormat="1">
      <c r="F241" s="3171"/>
    </row>
    <row r="242" spans="6:6" customFormat="1">
      <c r="F242" s="3171"/>
    </row>
    <row r="243" spans="6:6" customFormat="1">
      <c r="F243" s="3171"/>
    </row>
    <row r="244" spans="6:6" customFormat="1">
      <c r="F244" s="3171"/>
    </row>
    <row r="245" spans="6:6" customFormat="1">
      <c r="F245" s="3171"/>
    </row>
    <row r="246" spans="6:6" customFormat="1">
      <c r="F246" s="3171"/>
    </row>
    <row r="247" spans="6:6" customFormat="1">
      <c r="F247" s="3171"/>
    </row>
    <row r="248" spans="6:6" customFormat="1">
      <c r="F248" s="3171"/>
    </row>
    <row r="249" spans="6:6" customFormat="1">
      <c r="F249" s="3171"/>
    </row>
    <row r="250" spans="6:6" customFormat="1">
      <c r="F250" s="3171"/>
    </row>
    <row r="251" spans="6:6" customFormat="1">
      <c r="F251" s="3171"/>
    </row>
    <row r="252" spans="6:6" customFormat="1">
      <c r="F252" s="3171"/>
    </row>
    <row r="253" spans="6:6" customFormat="1">
      <c r="F253" s="3171"/>
    </row>
    <row r="254" spans="6:6" customFormat="1">
      <c r="F254" s="3171"/>
    </row>
    <row r="255" spans="6:6" customFormat="1">
      <c r="F255" s="3171"/>
    </row>
    <row r="256" spans="6:6" customFormat="1">
      <c r="F256" s="3171"/>
    </row>
    <row r="257" spans="5:6">
      <c r="E257"/>
      <c r="F257" s="3171"/>
    </row>
    <row r="258" spans="5:6">
      <c r="E258"/>
      <c r="F258" s="3171"/>
    </row>
    <row r="259" spans="5:6">
      <c r="E259"/>
      <c r="F259" s="3171"/>
    </row>
    <row r="260" spans="5:6">
      <c r="E260"/>
      <c r="F260" s="3171"/>
    </row>
    <row r="261" spans="5:6">
      <c r="E261"/>
      <c r="F261" s="3171"/>
    </row>
    <row r="262" spans="5:6">
      <c r="E262"/>
      <c r="F262" s="3171"/>
    </row>
    <row r="263" spans="5:6">
      <c r="E263"/>
      <c r="F263" s="3171"/>
    </row>
    <row r="264" spans="5:6">
      <c r="E264"/>
      <c r="F264" s="3171"/>
    </row>
    <row r="265" spans="5:6">
      <c r="E265"/>
      <c r="F265" s="3171"/>
    </row>
    <row r="266" spans="5:6">
      <c r="E266" s="3174"/>
    </row>
    <row r="267" spans="5:6">
      <c r="E267" s="3174"/>
    </row>
  </sheetData>
  <autoFilter ref="A1:I265"/>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7" t="s">
        <v>1663</v>
      </c>
      <c r="B1" s="3298"/>
      <c r="C1" s="3298"/>
      <c r="D1" s="3298"/>
      <c r="E1" s="3298"/>
      <c r="F1" s="3298"/>
      <c r="G1" s="3298"/>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54">
      <c r="A3" s="1224" t="s">
        <v>1666</v>
      </c>
      <c r="B3" s="1225" t="s">
        <v>1653</v>
      </c>
      <c r="C3" s="3184" t="s">
        <v>3205</v>
      </c>
      <c r="D3" s="2005"/>
      <c r="E3" s="1226" t="s">
        <v>1666</v>
      </c>
      <c r="F3" s="1227" t="s">
        <v>1654</v>
      </c>
      <c r="G3" s="3077" t="s">
        <v>2921</v>
      </c>
      <c r="H3" s="2004"/>
      <c r="I3" s="2004"/>
      <c r="J3" s="2004"/>
      <c r="K3" s="2004"/>
      <c r="L3" s="2004"/>
      <c r="M3" s="2004"/>
      <c r="N3" s="2004"/>
      <c r="O3" s="2004"/>
      <c r="P3" s="2004"/>
      <c r="Q3" s="2004"/>
      <c r="R3" s="2004"/>
    </row>
    <row r="4" spans="1:18" ht="40.5">
      <c r="A4" s="1226"/>
      <c r="B4" s="1228" t="s">
        <v>1667</v>
      </c>
      <c r="C4" s="3074" t="s">
        <v>3203</v>
      </c>
      <c r="D4" s="2005"/>
      <c r="E4" s="1229"/>
      <c r="F4" s="1230" t="s">
        <v>1668</v>
      </c>
      <c r="G4" s="3075" t="s">
        <v>2918</v>
      </c>
      <c r="H4" s="2004"/>
      <c r="I4" s="2004"/>
      <c r="J4" s="2004"/>
      <c r="K4" s="2004"/>
      <c r="L4" s="2004"/>
      <c r="M4" s="2004"/>
      <c r="N4" s="2004"/>
      <c r="O4" s="2004"/>
      <c r="P4" s="2004"/>
      <c r="Q4" s="2004"/>
      <c r="R4" s="2004"/>
    </row>
    <row r="5" spans="1:18" ht="27">
      <c r="A5" s="1226"/>
      <c r="B5" s="1228" t="s">
        <v>1669</v>
      </c>
      <c r="C5" s="3074" t="s">
        <v>3203</v>
      </c>
      <c r="D5" s="2005"/>
      <c r="E5" s="1229"/>
      <c r="F5" s="1228" t="s">
        <v>2548</v>
      </c>
      <c r="G5" s="3075" t="s">
        <v>2919</v>
      </c>
      <c r="H5" s="2004"/>
      <c r="I5" s="2004"/>
      <c r="J5" s="2004"/>
      <c r="K5" s="2004"/>
      <c r="L5" s="2004"/>
      <c r="M5" s="2004"/>
      <c r="N5" s="2004"/>
      <c r="O5" s="2004"/>
      <c r="P5" s="2004"/>
      <c r="Q5" s="2004"/>
      <c r="R5" s="2004"/>
    </row>
    <row r="6" spans="1:18" ht="81">
      <c r="A6" s="1226"/>
      <c r="B6" s="1228" t="s">
        <v>1655</v>
      </c>
      <c r="C6" s="3185" t="s">
        <v>3217</v>
      </c>
      <c r="D6" s="2005"/>
      <c r="E6" s="1229"/>
      <c r="F6" s="1228" t="s">
        <v>2549</v>
      </c>
      <c r="G6" s="3075" t="s">
        <v>2917</v>
      </c>
      <c r="H6" s="2004"/>
      <c r="I6" s="2004"/>
      <c r="J6" s="2004"/>
      <c r="K6" s="2004"/>
      <c r="L6" s="2004"/>
      <c r="M6" s="2004"/>
      <c r="N6" s="2004"/>
      <c r="O6" s="2004"/>
      <c r="P6" s="2004"/>
      <c r="Q6" s="2004"/>
      <c r="R6" s="2004"/>
    </row>
    <row r="7" spans="1:18" ht="41.25" thickBot="1">
      <c r="A7" s="1226"/>
      <c r="B7" s="1228" t="s">
        <v>2548</v>
      </c>
      <c r="C7" s="3185" t="s">
        <v>3208</v>
      </c>
      <c r="D7" s="2006"/>
      <c r="E7" s="1231"/>
      <c r="F7" s="1232" t="s">
        <v>1670</v>
      </c>
      <c r="G7" s="3078" t="s">
        <v>2920</v>
      </c>
      <c r="H7" s="2004"/>
      <c r="I7" s="2004"/>
      <c r="J7" s="2004"/>
      <c r="K7" s="2004"/>
      <c r="L7" s="2004"/>
      <c r="M7" s="2004"/>
      <c r="N7" s="2004"/>
      <c r="O7" s="2004"/>
      <c r="P7" s="2004"/>
      <c r="Q7" s="2004"/>
      <c r="R7" s="2004"/>
    </row>
    <row r="8" spans="1:18" ht="27">
      <c r="A8" s="1226"/>
      <c r="B8" s="1228" t="s">
        <v>2549</v>
      </c>
      <c r="C8" s="3185" t="s">
        <v>3204</v>
      </c>
      <c r="D8" s="2006"/>
      <c r="E8" s="2006"/>
      <c r="F8" s="1549"/>
      <c r="G8" s="1549"/>
      <c r="H8" s="2004"/>
      <c r="I8" s="2004"/>
      <c r="J8" s="2004"/>
      <c r="K8" s="2004"/>
      <c r="L8" s="2004"/>
      <c r="M8" s="2004"/>
      <c r="N8" s="2004"/>
      <c r="O8" s="2004"/>
      <c r="P8" s="2004"/>
      <c r="Q8" s="2004"/>
      <c r="R8" s="2004"/>
    </row>
    <row r="9" spans="1:18" ht="54">
      <c r="A9" s="1226"/>
      <c r="B9" s="1228" t="s">
        <v>1656</v>
      </c>
      <c r="C9" s="3186" t="s">
        <v>3209</v>
      </c>
      <c r="D9" s="2005"/>
      <c r="E9" s="2006"/>
      <c r="F9" s="1549"/>
      <c r="G9" s="1549"/>
      <c r="H9" s="2004"/>
      <c r="I9" s="2004"/>
      <c r="J9" s="2004"/>
      <c r="K9" s="2004"/>
      <c r="L9" s="2004"/>
      <c r="M9" s="2004"/>
      <c r="N9" s="2004"/>
      <c r="O9" s="2004"/>
      <c r="P9" s="2004"/>
      <c r="Q9" s="2004"/>
      <c r="R9" s="2004"/>
    </row>
    <row r="10" spans="1:18" s="2012" customFormat="1" ht="15" thickBot="1">
      <c r="A10" s="1233"/>
      <c r="B10" s="1234" t="s">
        <v>1671</v>
      </c>
      <c r="C10" s="3076" t="s">
        <v>3210</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1672</v>
      </c>
      <c r="B13" s="2574"/>
      <c r="C13" s="2574"/>
      <c r="D13" s="1221"/>
      <c r="E13" s="2574"/>
      <c r="F13" s="2574"/>
      <c r="G13" s="2574"/>
    </row>
    <row r="14" spans="1:18" ht="14.25" thickBot="1">
      <c r="A14" s="1235"/>
      <c r="B14" s="1236"/>
      <c r="C14" s="1237" t="s">
        <v>1664</v>
      </c>
      <c r="D14" s="2005"/>
      <c r="E14" s="1238"/>
      <c r="F14" s="1238"/>
      <c r="G14" s="1220" t="s">
        <v>1665</v>
      </c>
    </row>
    <row r="15" spans="1:18" ht="54">
      <c r="A15" s="2584" t="s">
        <v>1657</v>
      </c>
      <c r="B15" s="1239" t="s">
        <v>1653</v>
      </c>
      <c r="C15" s="1240" t="str">
        <f>C3</f>
        <v>估价对象周边1公里内仅有龙湖滟澜山、优山美地D区等，综合评价居住社区成熟度较好</v>
      </c>
      <c r="D15" s="2005"/>
      <c r="E15" s="2581" t="s">
        <v>1658</v>
      </c>
      <c r="F15" s="1239" t="s">
        <v>1673</v>
      </c>
      <c r="G15" s="1241" t="str">
        <f>G3</f>
        <v>估价对象位于XX开发区，园区建设成熟度XX，产业集聚程度XX</v>
      </c>
    </row>
    <row r="16" spans="1:18" ht="40.5">
      <c r="A16" s="2585"/>
      <c r="B16" s="1242" t="s">
        <v>1667</v>
      </c>
      <c r="C16" s="1243" t="str">
        <f>C4</f>
        <v>——</v>
      </c>
      <c r="D16" s="2005"/>
      <c r="E16" s="2582"/>
      <c r="F16" s="1244" t="s">
        <v>1668</v>
      </c>
      <c r="G16" s="1002" t="str">
        <f>G4</f>
        <v>估价对象周边道路状况、公共交通通达情况、停车便捷程度，综合评价交通便捷度较好</v>
      </c>
    </row>
    <row r="17" spans="1:7" ht="14.25">
      <c r="A17" s="2585"/>
      <c r="B17" s="1242" t="s">
        <v>1669</v>
      </c>
      <c r="C17" s="1243" t="str">
        <f>C5</f>
        <v>——</v>
      </c>
      <c r="D17" s="2006"/>
      <c r="E17" s="2582"/>
      <c r="F17" s="1244" t="s">
        <v>1674</v>
      </c>
      <c r="G17" s="2790"/>
    </row>
    <row r="18" spans="1:7" ht="81">
      <c r="A18" s="2585"/>
      <c r="B18" s="1244" t="s">
        <v>1655</v>
      </c>
      <c r="C18" s="1002" t="str">
        <f>C6</f>
        <v>估价对象周边1公里内公共交通通达情况较好，有942、855路公交线路、距京承高速公路1.3公里、停车较便捷，综合评价交通便捷度较好</v>
      </c>
      <c r="D18" s="2006"/>
      <c r="E18" s="2582"/>
      <c r="F18" s="1244" t="s">
        <v>1670</v>
      </c>
      <c r="G18" s="1002" t="str">
        <f>G7</f>
        <v>该园区内是否有污染型企业，绿化情况，卫生条件，整体环境状况判断</v>
      </c>
    </row>
    <row r="19" spans="1:7" ht="27">
      <c r="A19" s="2585"/>
      <c r="B19" s="1244" t="s">
        <v>1659</v>
      </c>
      <c r="C19" s="3187" t="s">
        <v>3206</v>
      </c>
      <c r="D19" s="2005"/>
      <c r="E19" s="2582"/>
      <c r="F19" s="1228" t="s">
        <v>2548</v>
      </c>
      <c r="G19" s="1002" t="str">
        <f>G5</f>
        <v>估价对象所在区域公共配套设施齐备情况</v>
      </c>
    </row>
    <row r="20" spans="1:7" ht="54">
      <c r="A20" s="2585"/>
      <c r="B20" s="1244" t="s">
        <v>1660</v>
      </c>
      <c r="C20" s="1243" t="str">
        <f>C9</f>
        <v>区域自然环境：温榆河；人文环境：北京国际标准舞学院；综合评价环境状况较好</v>
      </c>
      <c r="D20" s="2006"/>
      <c r="E20" s="2582"/>
      <c r="F20" s="1228" t="s">
        <v>2549</v>
      </c>
      <c r="G20" s="1002" t="str">
        <f>G6</f>
        <v>估价对象所在区域基础设施水平</v>
      </c>
    </row>
    <row r="21" spans="1:7" ht="40.5">
      <c r="A21" s="2585"/>
      <c r="B21" s="1228" t="s">
        <v>2548</v>
      </c>
      <c r="C21" s="1002" t="str">
        <f>C7</f>
        <v>估价对象所在区域公共配套设施齐备情况较差，2公里内有银行、社区医院等</v>
      </c>
      <c r="D21" s="2005"/>
      <c r="E21" s="2582"/>
      <c r="F21" s="1244" t="s">
        <v>1661</v>
      </c>
      <c r="G21" s="3079"/>
    </row>
    <row r="22" spans="1:7" ht="27">
      <c r="A22" s="2585"/>
      <c r="B22" s="1228" t="s">
        <v>2549</v>
      </c>
      <c r="C22" s="1002" t="str">
        <f>C8</f>
        <v>估价对象所在区域基础设施水平七通一平</v>
      </c>
      <c r="D22" s="2005"/>
      <c r="E22" s="2582"/>
      <c r="F22" s="1244" t="s">
        <v>1671</v>
      </c>
      <c r="G22" s="2790"/>
    </row>
    <row r="23" spans="1:7" ht="15" thickBot="1">
      <c r="A23" s="2585"/>
      <c r="B23" s="1244" t="s">
        <v>1661</v>
      </c>
      <c r="C23" s="3079" t="s">
        <v>3207</v>
      </c>
      <c r="E23" s="2583"/>
      <c r="F23" s="1245" t="s">
        <v>1675</v>
      </c>
      <c r="G23" s="3080"/>
    </row>
    <row r="24" spans="1:7" ht="14.25" thickBot="1">
      <c r="A24" s="2586"/>
      <c r="B24" s="1245" t="s">
        <v>1662</v>
      </c>
      <c r="C24" s="1246" t="str">
        <f>C10</f>
        <v>城市支路-安庆街</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2845</v>
      </c>
      <c r="B1" s="3038">
        <f>SUM(B14:B23)</f>
        <v>317024.16000000015</v>
      </c>
      <c r="C1" s="3039"/>
      <c r="D1" s="3039"/>
      <c r="E1" s="3039"/>
      <c r="F1" s="3039"/>
    </row>
    <row r="2" spans="1:9" ht="16.5">
      <c r="A2" s="3038" t="s">
        <v>2846</v>
      </c>
      <c r="B2" s="3038">
        <f>SUM(C14:C23)</f>
        <v>147515.15</v>
      </c>
      <c r="C2" s="3039"/>
      <c r="D2" s="3039"/>
      <c r="E2" s="3039"/>
      <c r="F2" s="3039"/>
    </row>
    <row r="3" spans="1:9" ht="16.5">
      <c r="A3" s="3038" t="s">
        <v>2847</v>
      </c>
      <c r="B3" s="3040">
        <f>项目基本情况!D3</f>
        <v>43403</v>
      </c>
      <c r="C3" s="3039"/>
      <c r="D3" s="3039"/>
      <c r="E3" s="3039"/>
      <c r="F3" s="3039"/>
    </row>
    <row r="4" spans="1:9" ht="33">
      <c r="A4" s="3038" t="s">
        <v>2848</v>
      </c>
      <c r="B4" s="3038" t="s">
        <v>2849</v>
      </c>
      <c r="C4" s="3038" t="s">
        <v>2850</v>
      </c>
      <c r="D4" s="3038" t="s">
        <v>2851</v>
      </c>
      <c r="E4" s="3039"/>
      <c r="F4" s="3039"/>
    </row>
    <row r="5" spans="1:9" ht="16.5">
      <c r="A5" s="3038" t="s">
        <v>2852</v>
      </c>
      <c r="B5" s="3038">
        <f ca="1">SUM(D14:D23)</f>
        <v>697897</v>
      </c>
      <c r="C5" s="3038">
        <f ca="1">ROUND(B5*10000/$B$1,0)</f>
        <v>22014</v>
      </c>
      <c r="D5" s="3038">
        <f ca="1">ROUND(B5*10000/$B$2,0)</f>
        <v>47310</v>
      </c>
      <c r="E5" s="3039"/>
      <c r="F5" s="3039"/>
    </row>
    <row r="6" spans="1:9" ht="16.5">
      <c r="A6" s="3038" t="s">
        <v>2853</v>
      </c>
      <c r="B6" s="3038">
        <f ca="1">SUM(G14:G23)</f>
        <v>660497</v>
      </c>
      <c r="C6" s="3038">
        <f t="shared" ref="C6:C8" ca="1" si="0">ROUND(B6*10000/$B$1,0)</f>
        <v>20834</v>
      </c>
      <c r="D6" s="3038">
        <f t="shared" ref="D6:D8" ca="1" si="1">ROUND(B6*10000/$B$2,0)</f>
        <v>44775</v>
      </c>
      <c r="E6" s="3039"/>
      <c r="F6" s="3039"/>
    </row>
    <row r="7" spans="1:9" ht="16.5">
      <c r="A7" s="3038" t="s">
        <v>2854</v>
      </c>
      <c r="B7" s="3038">
        <f>SUM(H14:H23)</f>
        <v>0</v>
      </c>
      <c r="C7" s="3038">
        <f t="shared" si="0"/>
        <v>0</v>
      </c>
      <c r="D7" s="3038">
        <f t="shared" si="1"/>
        <v>0</v>
      </c>
      <c r="E7" s="3039"/>
      <c r="F7" s="3039"/>
    </row>
    <row r="8" spans="1:9" ht="16.5">
      <c r="A8" s="3038" t="s">
        <v>2855</v>
      </c>
      <c r="B8" s="3038">
        <f>SUM(I14:I23)</f>
        <v>0</v>
      </c>
      <c r="C8" s="3038">
        <f t="shared" si="0"/>
        <v>0</v>
      </c>
      <c r="D8" s="3038">
        <f t="shared" si="1"/>
        <v>0</v>
      </c>
      <c r="E8" s="3039"/>
      <c r="F8" s="3039"/>
    </row>
    <row r="9" spans="1:9" ht="16.5">
      <c r="A9" s="3038" t="s">
        <v>2856</v>
      </c>
      <c r="B9" s="3041"/>
      <c r="C9" s="3039"/>
      <c r="D9" s="3039"/>
      <c r="E9" s="3039"/>
      <c r="F9" s="3039"/>
    </row>
    <row r="10" spans="1:9" ht="16.5">
      <c r="A10" s="3038" t="s">
        <v>2857</v>
      </c>
      <c r="B10" s="3041"/>
      <c r="C10" s="3039"/>
      <c r="D10" s="3039"/>
      <c r="E10" s="3039"/>
      <c r="F10" s="3039"/>
    </row>
    <row r="11" spans="1:9" ht="16.5">
      <c r="A11" s="3038" t="s">
        <v>2874</v>
      </c>
      <c r="B11" s="3041"/>
      <c r="C11" s="3039"/>
      <c r="D11" s="3039"/>
      <c r="E11" s="3039"/>
      <c r="F11" s="3039"/>
    </row>
    <row r="12" spans="1:9" ht="16.5">
      <c r="A12" s="3039"/>
      <c r="B12" s="3039"/>
      <c r="C12" s="3039"/>
      <c r="D12" s="3039"/>
      <c r="E12" s="3039"/>
      <c r="F12" s="3039"/>
    </row>
    <row r="13" spans="1:9" ht="33">
      <c r="A13" s="3044" t="s">
        <v>2873</v>
      </c>
      <c r="B13" s="3042" t="s">
        <v>2845</v>
      </c>
      <c r="C13" s="3042" t="s">
        <v>2846</v>
      </c>
      <c r="D13" s="3042" t="s">
        <v>2858</v>
      </c>
      <c r="E13" s="3038" t="s">
        <v>2872</v>
      </c>
      <c r="F13" s="3038" t="s">
        <v>2851</v>
      </c>
      <c r="G13" s="3042" t="s">
        <v>2859</v>
      </c>
      <c r="H13" s="3042" t="s">
        <v>2860</v>
      </c>
      <c r="I13" s="3042" t="s">
        <v>2861</v>
      </c>
    </row>
    <row r="14" spans="1:9" ht="16.5">
      <c r="A14" s="3045" t="s">
        <v>2871</v>
      </c>
      <c r="B14" s="3042">
        <f>结果表!L38</f>
        <v>317024.16000000015</v>
      </c>
      <c r="C14" s="3042">
        <f>结果表!K38</f>
        <v>147515.15</v>
      </c>
      <c r="D14" s="3042">
        <f ca="1">结果表!C42</f>
        <v>697897</v>
      </c>
      <c r="E14" s="3042">
        <f ca="1">ROUND(D14*10000/B14,0)</f>
        <v>22014</v>
      </c>
      <c r="F14" s="3042">
        <f ca="1">ROUND(D14*10000/C14,0)</f>
        <v>47310</v>
      </c>
      <c r="G14" s="3042">
        <f ca="1">结果表!C44</f>
        <v>660497</v>
      </c>
      <c r="H14" s="3042" t="str">
        <f>结果表!C45</f>
        <v>——</v>
      </c>
      <c r="I14" s="3042" t="str">
        <f>结果表!C46</f>
        <v>——</v>
      </c>
    </row>
    <row r="15" spans="1:9" ht="16.5">
      <c r="A15" s="3045" t="s">
        <v>2862</v>
      </c>
      <c r="B15" s="3046"/>
      <c r="C15" s="3046"/>
      <c r="D15" s="3046"/>
      <c r="E15" s="3042" t="e">
        <f t="shared" ref="E15:E23" si="2">ROUND(D15*10000/B15,0)</f>
        <v>#DIV/0!</v>
      </c>
      <c r="F15" s="3042" t="e">
        <f t="shared" ref="F15:F23" si="3">ROUND(D15*10000/C15,0)</f>
        <v>#DIV/0!</v>
      </c>
      <c r="G15" s="3043"/>
      <c r="H15" s="3043"/>
      <c r="I15" s="3046"/>
    </row>
    <row r="16" spans="1:9" ht="16.5">
      <c r="A16" s="3045" t="s">
        <v>2863</v>
      </c>
      <c r="B16" s="3046"/>
      <c r="C16" s="3046"/>
      <c r="D16" s="3046"/>
      <c r="E16" s="3042" t="e">
        <f t="shared" si="2"/>
        <v>#DIV/0!</v>
      </c>
      <c r="F16" s="3042" t="e">
        <f t="shared" si="3"/>
        <v>#DIV/0!</v>
      </c>
      <c r="G16" s="3043"/>
      <c r="H16" s="3043"/>
      <c r="I16" s="3046"/>
    </row>
    <row r="17" spans="1:9" ht="16.5">
      <c r="A17" s="3045" t="s">
        <v>2864</v>
      </c>
      <c r="B17" s="3046"/>
      <c r="C17" s="3046"/>
      <c r="D17" s="3046"/>
      <c r="E17" s="3042" t="e">
        <f t="shared" si="2"/>
        <v>#DIV/0!</v>
      </c>
      <c r="F17" s="3042" t="e">
        <f t="shared" si="3"/>
        <v>#DIV/0!</v>
      </c>
      <c r="G17" s="3043"/>
      <c r="H17" s="3043"/>
      <c r="I17" s="3046"/>
    </row>
    <row r="18" spans="1:9" ht="16.5">
      <c r="A18" s="3045" t="s">
        <v>2865</v>
      </c>
      <c r="B18" s="3046"/>
      <c r="C18" s="3046"/>
      <c r="D18" s="3046"/>
      <c r="E18" s="3042" t="e">
        <f t="shared" si="2"/>
        <v>#DIV/0!</v>
      </c>
      <c r="F18" s="3042" t="e">
        <f t="shared" si="3"/>
        <v>#DIV/0!</v>
      </c>
      <c r="G18" s="3046"/>
      <c r="H18" s="3046"/>
      <c r="I18" s="3046"/>
    </row>
    <row r="19" spans="1:9" ht="16.5">
      <c r="A19" s="3045" t="s">
        <v>2866</v>
      </c>
      <c r="B19" s="3046"/>
      <c r="C19" s="3046"/>
      <c r="D19" s="3046"/>
      <c r="E19" s="3042" t="e">
        <f t="shared" si="2"/>
        <v>#DIV/0!</v>
      </c>
      <c r="F19" s="3042" t="e">
        <f t="shared" si="3"/>
        <v>#DIV/0!</v>
      </c>
      <c r="G19" s="3046"/>
      <c r="H19" s="3046"/>
      <c r="I19" s="3046"/>
    </row>
    <row r="20" spans="1:9" ht="16.5">
      <c r="A20" s="3045" t="s">
        <v>2867</v>
      </c>
      <c r="B20" s="3046"/>
      <c r="C20" s="3046"/>
      <c r="D20" s="3046"/>
      <c r="E20" s="3042" t="e">
        <f t="shared" si="2"/>
        <v>#DIV/0!</v>
      </c>
      <c r="F20" s="3042" t="e">
        <f t="shared" si="3"/>
        <v>#DIV/0!</v>
      </c>
      <c r="G20" s="3046"/>
      <c r="H20" s="3046"/>
      <c r="I20" s="3046"/>
    </row>
    <row r="21" spans="1:9" ht="16.5">
      <c r="A21" s="3045" t="s">
        <v>2868</v>
      </c>
      <c r="B21" s="3046"/>
      <c r="C21" s="3046"/>
      <c r="D21" s="3046"/>
      <c r="E21" s="3042" t="e">
        <f t="shared" si="2"/>
        <v>#DIV/0!</v>
      </c>
      <c r="F21" s="3042" t="e">
        <f t="shared" si="3"/>
        <v>#DIV/0!</v>
      </c>
      <c r="G21" s="3046"/>
      <c r="H21" s="3046"/>
      <c r="I21" s="3046"/>
    </row>
    <row r="22" spans="1:9" ht="16.5">
      <c r="A22" s="3045" t="s">
        <v>2869</v>
      </c>
      <c r="B22" s="3046"/>
      <c r="C22" s="3046"/>
      <c r="D22" s="3046"/>
      <c r="E22" s="3042" t="e">
        <f t="shared" si="2"/>
        <v>#DIV/0!</v>
      </c>
      <c r="F22" s="3042" t="e">
        <f t="shared" si="3"/>
        <v>#DIV/0!</v>
      </c>
      <c r="G22" s="3046"/>
      <c r="H22" s="3046"/>
      <c r="I22" s="3046"/>
    </row>
    <row r="23" spans="1:9" ht="16.5">
      <c r="A23" s="3045" t="s">
        <v>2870</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H19" sqref="H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2057</v>
      </c>
      <c r="B1" s="1773"/>
      <c r="C1" s="1801" t="s">
        <v>2058</v>
      </c>
      <c r="D1" s="1802" t="s">
        <v>3278</v>
      </c>
      <c r="E1" s="1801" t="s">
        <v>2059</v>
      </c>
      <c r="F1" s="1803" t="s">
        <v>3279</v>
      </c>
      <c r="G1" s="308"/>
      <c r="H1" s="308"/>
      <c r="I1" s="308"/>
      <c r="J1" s="2025"/>
      <c r="K1" s="2025"/>
      <c r="L1" s="2025"/>
      <c r="M1" s="2025"/>
      <c r="N1" s="2025"/>
      <c r="O1" s="2025"/>
      <c r="P1" s="2025"/>
      <c r="Q1" s="2025"/>
      <c r="R1" s="2025"/>
      <c r="S1" s="2025"/>
      <c r="T1" s="2025"/>
      <c r="U1" s="2025"/>
      <c r="V1" s="2025"/>
    </row>
    <row r="2" spans="1:22" ht="21.75" customHeight="1" thickBot="1">
      <c r="A2" s="3344" t="str">
        <f>项目基本情况!K2</f>
        <v>北京市顺义区后沙峪镇31-18-001e地块R2二类居住用地出让国有建设用地使用权</v>
      </c>
      <c r="B2" s="3345"/>
      <c r="C2" s="3346"/>
      <c r="D2" s="3346"/>
      <c r="E2" s="3346"/>
      <c r="F2" s="3346"/>
      <c r="G2" s="3345"/>
      <c r="H2" s="3345"/>
      <c r="I2" s="3347"/>
      <c r="J2" s="2026"/>
      <c r="K2" s="2025"/>
      <c r="L2" s="2025"/>
      <c r="M2" s="2025"/>
      <c r="N2" s="2025"/>
      <c r="O2" s="2025"/>
      <c r="P2" s="2025"/>
      <c r="Q2" s="2025"/>
      <c r="R2" s="2025"/>
      <c r="S2" s="2025"/>
      <c r="T2" s="2025"/>
      <c r="U2" s="2025"/>
      <c r="V2" s="2025"/>
    </row>
    <row r="3" spans="1:22" ht="14.25">
      <c r="A3" s="3355" t="s">
        <v>297</v>
      </c>
      <c r="B3" s="3356"/>
      <c r="C3" s="3356"/>
      <c r="D3" s="3356"/>
      <c r="E3" s="3356"/>
      <c r="F3" s="3356"/>
      <c r="G3" s="3356"/>
      <c r="H3" s="3356"/>
      <c r="I3" s="3356"/>
      <c r="J3" s="2026"/>
      <c r="K3" s="2025"/>
      <c r="L3" s="2025"/>
      <c r="M3" s="2025"/>
      <c r="N3" s="2025"/>
      <c r="O3" s="2025"/>
      <c r="P3" s="2025"/>
      <c r="Q3" s="2025"/>
      <c r="R3" s="2025"/>
      <c r="S3" s="2025"/>
      <c r="T3" s="2025"/>
      <c r="U3" s="2025"/>
      <c r="V3" s="2025"/>
    </row>
    <row r="4" spans="1:22" ht="14.25">
      <c r="A4" s="255" t="s">
        <v>298</v>
      </c>
      <c r="B4" s="256" t="s">
        <v>299</v>
      </c>
      <c r="C4" s="257" t="s">
        <v>3276</v>
      </c>
      <c r="D4" s="257" t="s">
        <v>3277</v>
      </c>
      <c r="E4" s="3319" t="s">
        <v>300</v>
      </c>
      <c r="F4" s="3361"/>
      <c r="G4" s="3361"/>
      <c r="H4" s="3361"/>
      <c r="I4" s="3320"/>
      <c r="J4" s="2026"/>
      <c r="K4" s="2025"/>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5"/>
      <c r="O4" s="2025"/>
      <c r="P4" s="2025"/>
      <c r="Q4" s="2025"/>
      <c r="R4" s="2025"/>
      <c r="S4" s="2025"/>
      <c r="T4" s="2025"/>
      <c r="U4" s="2025"/>
      <c r="V4" s="2025"/>
    </row>
    <row r="5" spans="1:22" ht="14.25">
      <c r="A5" s="3348" t="s">
        <v>301</v>
      </c>
      <c r="B5" s="3349">
        <v>25</v>
      </c>
      <c r="C5" s="3357"/>
      <c r="D5" s="3360"/>
      <c r="E5" s="258" t="s">
        <v>302</v>
      </c>
      <c r="F5" s="259"/>
      <c r="G5" s="259"/>
      <c r="H5" s="259"/>
      <c r="I5" s="260"/>
      <c r="J5" s="2026"/>
      <c r="K5" s="2025"/>
      <c r="L5" s="2025"/>
      <c r="M5" s="2025"/>
      <c r="N5" s="2025"/>
      <c r="O5" s="2025"/>
      <c r="P5" s="2025"/>
      <c r="Q5" s="2025"/>
      <c r="R5" s="2025"/>
      <c r="S5" s="2025"/>
      <c r="T5" s="2025"/>
      <c r="U5" s="2025"/>
      <c r="V5" s="2025"/>
    </row>
    <row r="6" spans="1:22" ht="14.25">
      <c r="A6" s="3348"/>
      <c r="B6" s="3349"/>
      <c r="C6" s="3358"/>
      <c r="D6" s="3360"/>
      <c r="E6" s="258" t="s">
        <v>303</v>
      </c>
      <c r="F6" s="259"/>
      <c r="G6" s="259"/>
      <c r="H6" s="259"/>
      <c r="I6" s="260"/>
      <c r="J6" s="2026"/>
      <c r="K6" s="2025"/>
      <c r="L6" s="2025"/>
      <c r="M6" s="2025"/>
      <c r="N6" s="2025"/>
      <c r="O6" s="2025"/>
      <c r="P6" s="2025"/>
      <c r="Q6" s="2025"/>
      <c r="R6" s="2025"/>
      <c r="S6" s="2025"/>
      <c r="T6" s="2025"/>
      <c r="U6" s="2025"/>
      <c r="V6" s="2025"/>
    </row>
    <row r="7" spans="1:22" ht="14.25">
      <c r="A7" s="3348"/>
      <c r="B7" s="3349"/>
      <c r="C7" s="3359"/>
      <c r="D7" s="3360"/>
      <c r="E7" s="258" t="s">
        <v>304</v>
      </c>
      <c r="F7" s="259"/>
      <c r="G7" s="259"/>
      <c r="H7" s="259"/>
      <c r="I7" s="260"/>
      <c r="J7" s="2026"/>
      <c r="K7" s="2025"/>
      <c r="L7" s="2025"/>
      <c r="M7" s="2025"/>
      <c r="N7" s="2025"/>
      <c r="O7" s="2025"/>
      <c r="P7" s="2025"/>
      <c r="Q7" s="2025"/>
      <c r="R7" s="2025"/>
      <c r="S7" s="2025"/>
      <c r="T7" s="2025"/>
      <c r="U7" s="2025"/>
      <c r="V7" s="2025"/>
    </row>
    <row r="8" spans="1:22" ht="14.25">
      <c r="A8" s="3348" t="s">
        <v>305</v>
      </c>
      <c r="B8" s="3349">
        <v>15</v>
      </c>
      <c r="C8" s="3357"/>
      <c r="D8" s="3360"/>
      <c r="E8" s="258" t="s">
        <v>306</v>
      </c>
      <c r="F8" s="259"/>
      <c r="G8" s="259"/>
      <c r="H8" s="259"/>
      <c r="I8" s="260"/>
      <c r="J8" s="2026"/>
      <c r="K8" s="2025"/>
      <c r="L8" s="2025"/>
      <c r="M8" s="2025"/>
      <c r="N8" s="2025"/>
      <c r="O8" s="2025"/>
      <c r="P8" s="2025"/>
      <c r="Q8" s="2025"/>
      <c r="R8" s="2025"/>
      <c r="S8" s="2025"/>
      <c r="T8" s="2025"/>
      <c r="U8" s="2025"/>
      <c r="V8" s="2025"/>
    </row>
    <row r="9" spans="1:22" ht="14.25">
      <c r="A9" s="3348"/>
      <c r="B9" s="3349"/>
      <c r="C9" s="3359"/>
      <c r="D9" s="3360"/>
      <c r="E9" s="258" t="s">
        <v>307</v>
      </c>
      <c r="F9" s="259"/>
      <c r="G9" s="259"/>
      <c r="H9" s="259"/>
      <c r="I9" s="260"/>
      <c r="J9" s="2026"/>
      <c r="K9" s="2025"/>
      <c r="L9" s="2025"/>
      <c r="M9" s="2025"/>
      <c r="N9" s="2025"/>
      <c r="O9" s="2025"/>
      <c r="P9" s="2025"/>
      <c r="Q9" s="2025"/>
      <c r="R9" s="2025"/>
      <c r="S9" s="2025"/>
      <c r="T9" s="2025"/>
      <c r="U9" s="2025"/>
      <c r="V9" s="2025"/>
    </row>
    <row r="10" spans="1:22" ht="14.25">
      <c r="A10" s="3348" t="s">
        <v>308</v>
      </c>
      <c r="B10" s="3349">
        <v>15</v>
      </c>
      <c r="C10" s="3357"/>
      <c r="D10" s="3360"/>
      <c r="E10" s="258" t="s">
        <v>309</v>
      </c>
      <c r="F10" s="259"/>
      <c r="G10" s="259"/>
      <c r="H10" s="259"/>
      <c r="I10" s="260"/>
      <c r="J10" s="2026"/>
      <c r="K10" s="2025"/>
      <c r="L10" s="2025"/>
      <c r="M10" s="2025"/>
      <c r="N10" s="2025"/>
      <c r="O10" s="2025"/>
      <c r="P10" s="2025"/>
      <c r="Q10" s="2025"/>
      <c r="R10" s="2025"/>
      <c r="S10" s="2025"/>
      <c r="T10" s="2025"/>
      <c r="U10" s="2025"/>
      <c r="V10" s="2025"/>
    </row>
    <row r="11" spans="1:22" ht="14.25">
      <c r="A11" s="3348"/>
      <c r="B11" s="3349"/>
      <c r="C11" s="3359"/>
      <c r="D11" s="3360"/>
      <c r="E11" s="258" t="s">
        <v>310</v>
      </c>
      <c r="F11" s="259"/>
      <c r="G11" s="259"/>
      <c r="H11" s="259"/>
      <c r="I11" s="260"/>
      <c r="J11" s="2026"/>
      <c r="K11" s="2025"/>
      <c r="L11" s="2025"/>
      <c r="M11" s="2025"/>
      <c r="N11" s="2025"/>
      <c r="O11" s="2025"/>
      <c r="P11" s="2025"/>
      <c r="Q11" s="2025"/>
      <c r="R11" s="2025"/>
      <c r="S11" s="2025"/>
      <c r="T11" s="2025"/>
      <c r="U11" s="2025"/>
      <c r="V11" s="2025"/>
    </row>
    <row r="12" spans="1:22" ht="14.25">
      <c r="A12" s="3348" t="s">
        <v>311</v>
      </c>
      <c r="B12" s="3349">
        <v>15</v>
      </c>
      <c r="C12" s="3357"/>
      <c r="D12" s="3360"/>
      <c r="E12" s="258" t="s">
        <v>312</v>
      </c>
      <c r="F12" s="259"/>
      <c r="G12" s="259"/>
      <c r="H12" s="259"/>
      <c r="I12" s="260"/>
      <c r="J12" s="2026"/>
      <c r="K12" s="2025"/>
      <c r="L12" s="2025"/>
      <c r="M12" s="2025"/>
      <c r="N12" s="2025"/>
      <c r="O12" s="2025"/>
      <c r="P12" s="2025"/>
      <c r="Q12" s="2025"/>
      <c r="R12" s="2025"/>
      <c r="S12" s="2025"/>
      <c r="T12" s="2025"/>
      <c r="U12" s="2025"/>
      <c r="V12" s="2025"/>
    </row>
    <row r="13" spans="1:22" ht="14.25">
      <c r="A13" s="3348"/>
      <c r="B13" s="3349"/>
      <c r="C13" s="3359"/>
      <c r="D13" s="3360"/>
      <c r="E13" s="258" t="s">
        <v>313</v>
      </c>
      <c r="F13" s="259"/>
      <c r="G13" s="259"/>
      <c r="H13" s="259"/>
      <c r="I13" s="260"/>
      <c r="J13" s="2026"/>
      <c r="K13" s="2025"/>
      <c r="L13" s="2025"/>
      <c r="M13" s="2025"/>
      <c r="N13" s="2025"/>
      <c r="O13" s="2025"/>
      <c r="P13" s="2025"/>
      <c r="Q13" s="2025"/>
      <c r="R13" s="2025"/>
      <c r="S13" s="2025"/>
      <c r="T13" s="2025"/>
      <c r="U13" s="2025"/>
      <c r="V13" s="2025"/>
    </row>
    <row r="14" spans="1:22" ht="14.25">
      <c r="A14" s="3348" t="s">
        <v>314</v>
      </c>
      <c r="B14" s="3349">
        <v>30</v>
      </c>
      <c r="C14" s="3357">
        <v>5</v>
      </c>
      <c r="D14" s="3360">
        <v>5</v>
      </c>
      <c r="E14" s="258" t="s">
        <v>315</v>
      </c>
      <c r="F14" s="259"/>
      <c r="G14" s="259"/>
      <c r="H14" s="259"/>
      <c r="I14" s="260"/>
      <c r="J14" s="2026"/>
      <c r="K14" s="2025"/>
      <c r="L14" s="2025"/>
      <c r="M14" s="2025"/>
      <c r="N14" s="2025"/>
      <c r="O14" s="2025"/>
      <c r="P14" s="2025"/>
      <c r="Q14" s="2025"/>
      <c r="R14" s="2025"/>
      <c r="S14" s="2025"/>
      <c r="T14" s="2025"/>
      <c r="U14" s="2025"/>
      <c r="V14" s="2025"/>
    </row>
    <row r="15" spans="1:22" ht="14.25">
      <c r="A15" s="3348"/>
      <c r="B15" s="3349"/>
      <c r="C15" s="3358"/>
      <c r="D15" s="3360"/>
      <c r="E15" s="258" t="s">
        <v>316</v>
      </c>
      <c r="F15" s="259"/>
      <c r="G15" s="259"/>
      <c r="H15" s="259"/>
      <c r="I15" s="260"/>
      <c r="J15" s="2026"/>
      <c r="K15" s="2025"/>
      <c r="L15" s="2025"/>
      <c r="M15" s="2025"/>
      <c r="N15" s="2025"/>
      <c r="O15" s="2025"/>
      <c r="P15" s="2025"/>
      <c r="Q15" s="2025"/>
      <c r="R15" s="2025"/>
      <c r="S15" s="2025"/>
      <c r="T15" s="2025"/>
      <c r="U15" s="2025"/>
      <c r="V15" s="2025"/>
    </row>
    <row r="16" spans="1:22" ht="14.25">
      <c r="A16" s="3348"/>
      <c r="B16" s="3349"/>
      <c r="C16" s="3359"/>
      <c r="D16" s="3360"/>
      <c r="E16" s="258" t="s">
        <v>317</v>
      </c>
      <c r="F16" s="259"/>
      <c r="G16" s="259"/>
      <c r="H16" s="259"/>
      <c r="I16" s="260"/>
      <c r="J16" s="2026"/>
      <c r="K16" s="2025"/>
      <c r="L16" s="2025"/>
      <c r="M16" s="2025"/>
      <c r="N16" s="2025"/>
      <c r="O16" s="2025"/>
      <c r="P16" s="2025"/>
      <c r="Q16" s="2025"/>
      <c r="R16" s="2025"/>
      <c r="S16" s="2025"/>
      <c r="T16" s="2025"/>
      <c r="U16" s="2025"/>
      <c r="V16" s="2025"/>
    </row>
    <row r="17" spans="1:26" ht="15">
      <c r="A17" s="261" t="s">
        <v>318</v>
      </c>
      <c r="B17" s="143"/>
      <c r="C17" s="262">
        <f>SUM(C5:C16)</f>
        <v>5</v>
      </c>
      <c r="D17" s="262">
        <f>SUM(D5:D16)</f>
        <v>5</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319</v>
      </c>
      <c r="B18" s="105"/>
      <c r="C18" s="264">
        <f>ROUND(C17/SUM(C17:D17),2)</f>
        <v>0.5</v>
      </c>
      <c r="D18" s="264">
        <f>1-C18</f>
        <v>0.5</v>
      </c>
      <c r="E18" s="308"/>
      <c r="F18" s="308"/>
      <c r="G18" s="308"/>
      <c r="H18" s="308"/>
      <c r="I18" s="308"/>
      <c r="J18" s="2025"/>
      <c r="K18" s="2025"/>
      <c r="L18" s="2025"/>
      <c r="M18" s="2025"/>
      <c r="N18" s="2025"/>
      <c r="O18" s="2025"/>
      <c r="P18" s="2025"/>
      <c r="Q18" s="2025"/>
      <c r="R18" s="2025"/>
      <c r="S18" s="2025"/>
      <c r="T18" s="2025"/>
      <c r="U18" s="2025"/>
      <c r="V18" s="2025"/>
    </row>
    <row r="19" spans="1:26" ht="15">
      <c r="A19" s="265" t="s">
        <v>320</v>
      </c>
      <c r="B19" s="266" t="s">
        <v>321</v>
      </c>
      <c r="C19" s="267">
        <f ca="1">SUMIF(INDIRECT("'"&amp;C4&amp;"'"&amp;"!A:A"),结果表!B19,INDIRECT("'"&amp;C4&amp;"'"&amp;"!B:B"))</f>
        <v>709407</v>
      </c>
      <c r="D19" s="268">
        <f ca="1">SUMIF(INDIRECT("'"&amp;D4&amp;"'"&amp;"!A:A"),结果表!B19,INDIRECT("'"&amp;D4&amp;"'"&amp;"!B:B"))</f>
        <v>686386</v>
      </c>
      <c r="E19" s="265" t="s">
        <v>322</v>
      </c>
      <c r="F19" s="266" t="s">
        <v>321</v>
      </c>
      <c r="G19" s="269">
        <f ca="1">ROUND(C19*$C$18+D19*$D$18,0)</f>
        <v>697897</v>
      </c>
      <c r="H19" s="270" t="s">
        <v>323</v>
      </c>
      <c r="I19" s="308"/>
      <c r="J19" s="2025"/>
      <c r="K19" s="2025"/>
      <c r="L19" s="2025"/>
      <c r="M19" s="2025"/>
      <c r="N19" s="2025"/>
      <c r="O19" s="2025"/>
      <c r="P19" s="2025"/>
      <c r="Q19" s="2025"/>
      <c r="R19" s="2025"/>
      <c r="S19" s="2025"/>
      <c r="T19" s="2025"/>
      <c r="U19" s="2025"/>
      <c r="V19" s="2025"/>
    </row>
    <row r="20" spans="1:26" ht="15">
      <c r="A20" s="271"/>
      <c r="B20" s="272" t="s">
        <v>324</v>
      </c>
      <c r="C20" s="273">
        <f ca="1">SUMIF(INDIRECT("'"&amp;C4&amp;"'"&amp;"!A:A"),结果表!B20,INDIRECT("'"&amp;C4&amp;"'"&amp;"!B:B"))</f>
        <v>22377</v>
      </c>
      <c r="D20" s="274">
        <f ca="1">SUMIF(INDIRECT("'"&amp;D4&amp;"'"&amp;"!A:A"),结果表!B20,INDIRECT("'"&amp;D4&amp;"'"&amp;"!B:B"))</f>
        <v>21651</v>
      </c>
      <c r="E20" s="271"/>
      <c r="F20" s="272" t="s">
        <v>324</v>
      </c>
      <c r="G20" s="275">
        <f ca="1">ROUND(C20*$C$18+D20*$D$18,0)</f>
        <v>22014</v>
      </c>
      <c r="H20" s="276" t="s">
        <v>325</v>
      </c>
      <c r="I20" s="308"/>
      <c r="J20" s="2025"/>
      <c r="K20" s="2025"/>
      <c r="L20" s="2025"/>
      <c r="M20" s="2025"/>
      <c r="N20" s="2025"/>
      <c r="O20" s="2025"/>
      <c r="P20" s="2025"/>
      <c r="Q20" s="2025"/>
      <c r="R20" s="2025"/>
      <c r="S20" s="2025"/>
      <c r="T20" s="2025"/>
      <c r="U20" s="2025"/>
      <c r="V20" s="2025"/>
    </row>
    <row r="21" spans="1:26" ht="15" customHeight="1">
      <c r="A21" s="271"/>
      <c r="B21" s="277" t="s">
        <v>326</v>
      </c>
      <c r="C21" s="278">
        <f ca="1">SUMIF(INDIRECT("'"&amp;C4&amp;"'"&amp;"!A:A"),结果表!B21,INDIRECT("'"&amp;C4&amp;"'"&amp;"!B:B"))</f>
        <v>48090</v>
      </c>
      <c r="D21" s="150">
        <f ca="1">SUMIF(INDIRECT("'"&amp;D4&amp;"'"&amp;"!A:A"),结果表!B21,INDIRECT("'"&amp;D4&amp;"'"&amp;"!B:B"))</f>
        <v>46530</v>
      </c>
      <c r="E21" s="271"/>
      <c r="F21" s="277" t="s">
        <v>326</v>
      </c>
      <c r="G21" s="279">
        <f ca="1">ROUND(C21*$C$18+D21*$D$18,0)</f>
        <v>47310</v>
      </c>
      <c r="H21" s="1248" t="s">
        <v>325</v>
      </c>
      <c r="I21" s="308"/>
      <c r="J21" s="2025"/>
      <c r="K21" s="2025"/>
      <c r="L21" s="2025"/>
      <c r="M21" s="2025"/>
      <c r="N21" s="2025"/>
      <c r="O21" s="2025"/>
      <c r="P21" s="2025"/>
      <c r="Q21" s="2025"/>
      <c r="R21" s="2025"/>
      <c r="S21" s="2025"/>
      <c r="T21" s="2025"/>
      <c r="U21" s="2025"/>
      <c r="V21" s="2025"/>
    </row>
    <row r="22" spans="1:26" ht="15.75" thickBot="1">
      <c r="A22" s="125" t="s">
        <v>327</v>
      </c>
      <c r="B22" s="1249"/>
      <c r="C22" s="1250"/>
      <c r="D22" s="280">
        <f ca="1">IF(C19&lt;D19,D19/C19-1,C19/D19-1)</f>
        <v>3.3539436993178739E-2</v>
      </c>
      <c r="E22" s="281"/>
      <c r="F22" s="282"/>
      <c r="G22" s="283">
        <f ca="1">ROUND(G19/('数据-汇总表'!D3/666.67),0)</f>
        <v>3154</v>
      </c>
      <c r="H22" s="284" t="s">
        <v>328</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321" t="s">
        <v>329</v>
      </c>
      <c r="B24" s="266" t="s">
        <v>321</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363"/>
      <c r="B25" s="1318" t="s">
        <v>330</v>
      </c>
      <c r="C25" s="287">
        <f>IF(B30=0,0,C30)</f>
        <v>0</v>
      </c>
      <c r="D25" s="288"/>
      <c r="E25" s="308"/>
      <c r="F25" s="308"/>
      <c r="G25" s="308"/>
      <c r="H25" s="308"/>
      <c r="I25" s="308"/>
      <c r="J25" s="2025"/>
      <c r="K25" s="1252" t="str">
        <f ca="1">项目基本情况!B16&amp;"国有建设用地使用权价格："&amp;O38&amp;"万元"</f>
        <v>出让国有建设用地使用权价格：697897万元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大写金额：人民币陆拾玖亿柒仟捌佰玖拾柒万元整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单位面积地价：47310元/平方米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楼面地价：22014元/平方米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抵押价格：660497万元</v>
      </c>
      <c r="L29" s="1249"/>
      <c r="M29" s="1249"/>
      <c r="N29" s="1249"/>
      <c r="O29" s="1248"/>
      <c r="P29" s="2025"/>
      <c r="V29" s="2025"/>
    </row>
    <row r="30" spans="1:26" ht="18.75" thickBot="1">
      <c r="A30" s="3122" t="s">
        <v>335</v>
      </c>
      <c r="B30" s="306"/>
      <c r="C30" s="306"/>
      <c r="D30" s="307"/>
      <c r="E30" s="3123" t="s">
        <v>2968</v>
      </c>
      <c r="F30" s="308"/>
      <c r="G30" s="308"/>
      <c r="H30" s="308"/>
      <c r="I30" s="308"/>
      <c r="J30" s="2025"/>
      <c r="K30" s="1255" t="str">
        <f ca="1">IF(K29="——","——","大写金额：人民币"&amp;NUMBERSTRING(INT(O39*10000),2)&amp;"元整")</f>
        <v>大写金额：人民币陆拾陆亿零肆佰玖拾柒万元整</v>
      </c>
      <c r="L30" s="1249"/>
      <c r="M30" s="1249"/>
      <c r="N30" s="1249"/>
      <c r="O30" s="1248"/>
      <c r="P30" s="2025"/>
      <c r="V30" s="2025"/>
    </row>
    <row r="31" spans="1:26" ht="24" customHeight="1" thickBot="1">
      <c r="A31" s="308"/>
      <c r="B31" s="308"/>
      <c r="C31" s="308"/>
      <c r="D31" s="308"/>
      <c r="E31" s="308"/>
      <c r="F31" s="308"/>
      <c r="G31" s="308"/>
      <c r="H31" s="308"/>
      <c r="I31" s="308"/>
      <c r="J31" s="2025"/>
      <c r="K31" s="2465" t="str">
        <f>IF(项目基本情况!E8="抵押价格","——","抵押担保权已注销时的抵押价格："&amp;O40&amp;"万元")</f>
        <v>——</v>
      </c>
      <c r="L31" s="2461"/>
      <c r="M31" s="2461"/>
      <c r="N31" s="2461"/>
      <c r="O31" s="2462"/>
      <c r="P31" s="2025"/>
      <c r="V31" s="2025"/>
    </row>
    <row r="32" spans="1:26" ht="18.75" thickBot="1">
      <c r="A32" s="265" t="s">
        <v>336</v>
      </c>
      <c r="B32" s="1377" t="s">
        <v>1688</v>
      </c>
      <c r="C32" s="1378">
        <f ca="1">G19-C24</f>
        <v>697897</v>
      </c>
      <c r="D32" s="1379" t="s">
        <v>1689</v>
      </c>
      <c r="E32" s="308"/>
      <c r="F32" s="308"/>
      <c r="G32" s="308"/>
      <c r="H32" s="308"/>
      <c r="I32" s="308"/>
      <c r="J32" s="2025"/>
      <c r="K32" s="2460" t="str">
        <f>IF(K31="——","——","大写金额：人民币"&amp;NUMBERSTRING(INT(O40*10000),2)&amp;"元整")</f>
        <v>——</v>
      </c>
      <c r="L32" s="2463"/>
      <c r="M32" s="2463"/>
      <c r="N32" s="2463"/>
      <c r="O32" s="2464"/>
      <c r="P32" s="2025"/>
      <c r="V32" s="2025"/>
    </row>
    <row r="33" spans="1:26" ht="18.75" thickBot="1">
      <c r="A33" s="295" t="s">
        <v>339</v>
      </c>
      <c r="B33" s="1380" t="s">
        <v>1690</v>
      </c>
      <c r="C33" s="261">
        <f ca="1">ROUND(C32*10000/'数据-汇总表'!E3,0)</f>
        <v>22014</v>
      </c>
      <c r="D33" s="1381" t="s">
        <v>1691</v>
      </c>
      <c r="E33" s="3321" t="s">
        <v>337</v>
      </c>
      <c r="F33" s="293" t="s">
        <v>338</v>
      </c>
      <c r="G33" s="294"/>
      <c r="H33" s="977" t="s">
        <v>3265</v>
      </c>
      <c r="I33" s="1256"/>
      <c r="J33" s="2025"/>
      <c r="K33" s="1255" t="str">
        <f>IF(项目基本情况!E9="——","——","抵押净值："&amp;C46&amp;"万元")</f>
        <v>——</v>
      </c>
      <c r="L33" s="1249"/>
      <c r="M33" s="1249"/>
      <c r="N33" s="1249"/>
      <c r="O33" s="1248"/>
      <c r="P33" s="2025"/>
      <c r="V33" s="2025"/>
    </row>
    <row r="34" spans="1:26" s="1251" customFormat="1" ht="18.75" thickBot="1">
      <c r="A34" s="297"/>
      <c r="B34" s="1382" t="s">
        <v>1692</v>
      </c>
      <c r="C34" s="261">
        <f ca="1">ROUND(C32*10000/'数据-汇总表'!D3,0)</f>
        <v>47310</v>
      </c>
      <c r="D34" s="1383" t="s">
        <v>1691</v>
      </c>
      <c r="E34" s="3322"/>
      <c r="F34" s="126" t="s">
        <v>340</v>
      </c>
      <c r="G34" s="296"/>
      <c r="H34" s="105"/>
      <c r="I34" s="308"/>
      <c r="J34" s="2025"/>
      <c r="K34" s="1258" t="str">
        <f>IF(K33="——","——","大写金额：人民币"&amp;NUMBERSTRING(INT(O41*10000),2)&amp;"元整")</f>
        <v>——</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3154</v>
      </c>
      <c r="D35" s="1386" t="s">
        <v>1693</v>
      </c>
      <c r="E35" s="3323"/>
      <c r="F35" s="298" t="s">
        <v>341</v>
      </c>
      <c r="G35" s="979">
        <f>E37+E38</f>
        <v>37400</v>
      </c>
      <c r="H35" s="978" t="s">
        <v>342</v>
      </c>
      <c r="I35" s="308"/>
      <c r="J35" s="2025"/>
      <c r="K35" s="3327" t="s">
        <v>349</v>
      </c>
      <c r="L35" s="3327" t="s">
        <v>350</v>
      </c>
      <c r="M35" s="1261" t="s">
        <v>351</v>
      </c>
      <c r="N35" s="3327" t="s">
        <v>352</v>
      </c>
      <c r="O35" s="3327" t="s">
        <v>353</v>
      </c>
      <c r="P35" s="2025"/>
      <c r="V35" s="2025"/>
    </row>
    <row r="36" spans="1:26" ht="16.5" customHeight="1">
      <c r="A36" s="300" t="s">
        <v>343</v>
      </c>
      <c r="B36" s="301" t="s">
        <v>332</v>
      </c>
      <c r="C36" s="302" t="s">
        <v>344</v>
      </c>
      <c r="D36" s="302" t="s">
        <v>345</v>
      </c>
      <c r="E36" s="303" t="s">
        <v>346</v>
      </c>
      <c r="F36" s="308"/>
      <c r="G36" s="308"/>
      <c r="H36" s="308"/>
      <c r="I36" s="308"/>
      <c r="J36" s="2027"/>
      <c r="K36" s="3328"/>
      <c r="L36" s="3328"/>
      <c r="M36" s="1263" t="s">
        <v>354</v>
      </c>
      <c r="N36" s="3328"/>
      <c r="O36" s="3328"/>
      <c r="P36" s="2025"/>
      <c r="V36" s="2025"/>
    </row>
    <row r="37" spans="1:26" ht="16.5" customHeight="1" thickBot="1">
      <c r="A37" s="1257" t="s">
        <v>347</v>
      </c>
      <c r="B37" s="304">
        <f>'数据-汇总表'!G20+'数据-基础表'!AJ5</f>
        <v>79919.429999999964</v>
      </c>
      <c r="C37" s="291">
        <f>45865*0.25*0.25</f>
        <v>2866.5625</v>
      </c>
      <c r="D37" s="291">
        <v>1.0305</v>
      </c>
      <c r="E37" s="292">
        <f>ROUND(B37*C37*D37/10000,0)</f>
        <v>23608</v>
      </c>
      <c r="F37" s="308"/>
      <c r="G37" s="308"/>
      <c r="H37" s="308"/>
      <c r="I37" s="308"/>
      <c r="J37" s="2027"/>
      <c r="K37" s="3329"/>
      <c r="L37" s="3329"/>
      <c r="M37" s="1264"/>
      <c r="N37" s="3329"/>
      <c r="O37" s="3329"/>
      <c r="P37" s="2025"/>
      <c r="V37" s="2025"/>
    </row>
    <row r="38" spans="1:26" ht="16.5" customHeight="1" thickBot="1">
      <c r="A38" s="1257" t="s">
        <v>348</v>
      </c>
      <c r="B38" s="304">
        <f>'数据-汇总表'!G21</f>
        <v>58360.560000000005</v>
      </c>
      <c r="C38" s="291">
        <f>45865*0.2*0.25</f>
        <v>2293.25</v>
      </c>
      <c r="D38" s="291">
        <v>1.0305</v>
      </c>
      <c r="E38" s="292">
        <f>ROUND(B38*C38*D38/10000,0)</f>
        <v>13792</v>
      </c>
      <c r="F38" s="308"/>
      <c r="G38" s="308"/>
      <c r="H38" s="308"/>
      <c r="I38" s="308"/>
      <c r="J38" s="2027"/>
      <c r="K38" s="1265">
        <f>'数据-汇总表'!D3</f>
        <v>147515.15</v>
      </c>
      <c r="L38" s="1266">
        <f>'数据-汇总表'!E3</f>
        <v>317024.16000000015</v>
      </c>
      <c r="M38" s="1266">
        <f ca="1">C34</f>
        <v>47310</v>
      </c>
      <c r="N38" s="1266">
        <f ca="1">C33</f>
        <v>22014</v>
      </c>
      <c r="O38" s="1267">
        <f ca="1">C32</f>
        <v>697897</v>
      </c>
      <c r="P38" s="2025"/>
      <c r="V38" s="2025"/>
    </row>
    <row r="39" spans="1:26" ht="16.5" customHeight="1" thickBot="1">
      <c r="A39" s="1262"/>
      <c r="B39" s="305"/>
      <c r="C39" s="306"/>
      <c r="D39" s="306"/>
      <c r="E39" s="307"/>
      <c r="F39" s="308"/>
      <c r="G39" s="308"/>
      <c r="H39" s="308"/>
      <c r="I39" s="308"/>
      <c r="J39" s="2027"/>
      <c r="K39" s="3304" t="str">
        <f>MID(A44,3,LEN(A44)-2)</f>
        <v>抵押价格</v>
      </c>
      <c r="L39" s="3305"/>
      <c r="M39" s="3305"/>
      <c r="N39" s="3306"/>
      <c r="O39" s="1388">
        <f ca="1">C44</f>
        <v>660497</v>
      </c>
      <c r="P39" s="2025"/>
      <c r="V39" s="2025"/>
    </row>
    <row r="40" spans="1:26" ht="19.5" thickBot="1">
      <c r="A40" s="104" t="s">
        <v>872</v>
      </c>
      <c r="B40" s="308"/>
      <c r="C40" s="308"/>
      <c r="D40" s="308"/>
      <c r="E40" s="308"/>
      <c r="F40" s="308"/>
      <c r="G40" s="308"/>
      <c r="H40" s="308"/>
      <c r="I40" s="308"/>
      <c r="J40" s="2027"/>
      <c r="K40" s="3304" t="str">
        <f t="shared" ref="K40:K41" si="0">MID(A45,3,LEN(A45)-2)</f>
        <v/>
      </c>
      <c r="L40" s="3305"/>
      <c r="M40" s="3305"/>
      <c r="N40" s="3306"/>
      <c r="O40" s="1388" t="str">
        <f>C45</f>
        <v>——</v>
      </c>
      <c r="P40" s="2025"/>
      <c r="V40" s="2025"/>
    </row>
    <row r="41" spans="1:26" ht="16.5" thickBot="1">
      <c r="A41" s="309" t="s">
        <v>355</v>
      </c>
      <c r="B41" s="310"/>
      <c r="C41" s="311" t="s">
        <v>356</v>
      </c>
      <c r="D41" s="312" t="s">
        <v>357</v>
      </c>
      <c r="E41" s="312" t="s">
        <v>358</v>
      </c>
      <c r="F41" s="313" t="s">
        <v>359</v>
      </c>
      <c r="G41" s="308"/>
      <c r="H41" s="308"/>
      <c r="I41" s="308"/>
      <c r="J41" s="2027"/>
      <c r="K41" s="3304" t="str">
        <f t="shared" si="0"/>
        <v/>
      </c>
      <c r="L41" s="3305"/>
      <c r="M41" s="3305"/>
      <c r="N41" s="3306"/>
      <c r="O41" s="1388" t="str">
        <f>C46</f>
        <v>——</v>
      </c>
      <c r="P41" s="2025"/>
      <c r="V41" s="2025"/>
    </row>
    <row r="42" spans="1:26" ht="29.25">
      <c r="A42" s="3364" t="s">
        <v>2069</v>
      </c>
      <c r="B42" s="3365"/>
      <c r="C42" s="261">
        <f ca="1">C32</f>
        <v>697897</v>
      </c>
      <c r="D42" s="314">
        <f ca="1">C33</f>
        <v>22014</v>
      </c>
      <c r="E42" s="314">
        <f ca="1">C34</f>
        <v>47310</v>
      </c>
      <c r="F42" s="315">
        <f ca="1">C35</f>
        <v>3154</v>
      </c>
      <c r="G42" s="308"/>
      <c r="H42" s="308"/>
      <c r="I42" s="316"/>
      <c r="J42" s="2027"/>
      <c r="K42" s="1268" t="s">
        <v>360</v>
      </c>
      <c r="L42" s="2044" t="s">
        <v>361</v>
      </c>
      <c r="M42" s="1269" t="s">
        <v>362</v>
      </c>
      <c r="N42" s="2045" t="s">
        <v>363</v>
      </c>
      <c r="O42" s="2046" t="s">
        <v>364</v>
      </c>
      <c r="P42" s="2025"/>
      <c r="V42" s="2025"/>
    </row>
    <row r="43" spans="1:26" ht="30">
      <c r="A43" s="3374" t="s">
        <v>2731</v>
      </c>
      <c r="B43" s="3375"/>
      <c r="C43" s="261">
        <f>IF(H33="正常操作",G33+G34+G35,G34+G35)</f>
        <v>37400</v>
      </c>
      <c r="D43" s="314" t="s">
        <v>43</v>
      </c>
      <c r="E43" s="314" t="s">
        <v>44</v>
      </c>
      <c r="F43" s="315" t="s">
        <v>44</v>
      </c>
      <c r="G43" s="2863" t="s">
        <v>951</v>
      </c>
      <c r="H43" s="308"/>
      <c r="I43" s="316"/>
      <c r="J43" s="2027"/>
      <c r="K43" s="1270" t="str">
        <f>C4</f>
        <v>剩余法-待开发</v>
      </c>
      <c r="L43" s="1271">
        <f ca="1">IF(L42="估价结果/万元",C19,C20)</f>
        <v>709407</v>
      </c>
      <c r="M43" s="1272">
        <f>C18</f>
        <v>0.5</v>
      </c>
      <c r="N43" s="1273">
        <f ca="1">IF(N42="测算结果/万元",G19,G20)</f>
        <v>697897</v>
      </c>
      <c r="O43" s="1274">
        <f ca="1">IF(O42="最终结果/万元",C32,C33)</f>
        <v>697897</v>
      </c>
      <c r="P43" s="2025"/>
      <c r="V43" s="2025"/>
    </row>
    <row r="44" spans="1:26" ht="30.75" thickBot="1">
      <c r="A44" s="3364" t="str">
        <f>IF(OR(项目基本情况!E8="抵押价格",项目基本情况!E8="已注销及未注销"),"3.抵押价格","——")</f>
        <v>3.抵押价格</v>
      </c>
      <c r="B44" s="3365"/>
      <c r="C44" s="261">
        <f ca="1">IF(A44="——","——",C42-C43)</f>
        <v>660497</v>
      </c>
      <c r="D44" s="314">
        <f ca="1">ROUND(C44*10000/'数据-汇总表'!E3,0)</f>
        <v>20834</v>
      </c>
      <c r="E44" s="314">
        <f ca="1">ROUND(C44*10000/'数据-汇总表'!D3,0)</f>
        <v>44775</v>
      </c>
      <c r="F44" s="315">
        <f ca="1">ROUND(C44/('数据-汇总表'!D3/666.67),0)</f>
        <v>2985</v>
      </c>
      <c r="G44" s="308"/>
      <c r="H44" s="308"/>
      <c r="I44" s="316"/>
      <c r="J44" s="2027"/>
      <c r="K44" s="1275" t="str">
        <f>D4</f>
        <v>比较法-住宅、综合</v>
      </c>
      <c r="L44" s="1276">
        <f ca="1">IF(L42="估价结果/万元",D19,D20)</f>
        <v>686386</v>
      </c>
      <c r="M44" s="1277">
        <f>D18</f>
        <v>0.5</v>
      </c>
      <c r="N44" s="1278"/>
      <c r="O44" s="1279"/>
      <c r="P44" s="2025"/>
      <c r="V44" s="2025"/>
    </row>
    <row r="45" spans="1:26" ht="15">
      <c r="A45" s="3369" t="str">
        <f>IF(项目基本情况!E8="已注销及未注销","4.抵押担保权已注销时的抵押价格",IF(项目基本情况!E8="已注销","3.抵押担保权已注销时的抵押价格","——"))</f>
        <v>——</v>
      </c>
      <c r="B45" s="3370"/>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366" t="str">
        <f>IF(项目基本情况!E9="抵押净值",IF(A45="——","4.抵押净值","5.抵押净值"),"——")</f>
        <v>——</v>
      </c>
      <c r="B46" s="3367"/>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本次评估估价师知悉的法定优先受偿款为人民币37400万元整。</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4"/>
      <c r="E61" s="214"/>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32" t="s">
        <v>373</v>
      </c>
      <c r="B63" s="3333"/>
      <c r="C63" s="3334"/>
      <c r="D63" s="338">
        <f ca="1">ROUND(C42*F63,0)</f>
        <v>418738</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371" t="s">
        <v>377</v>
      </c>
      <c r="B64" s="3372"/>
      <c r="C64" s="3372"/>
      <c r="D64" s="3372"/>
      <c r="E64" s="3372"/>
      <c r="F64" s="3372"/>
      <c r="G64" s="3373"/>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368" t="s">
        <v>385</v>
      </c>
      <c r="B66" s="3339"/>
      <c r="C66" s="3339"/>
      <c r="D66" s="258">
        <f ca="1">IF(H66="情况1",0,IF(H66="情况2",D70,IF(H66="情况3",D71,IF(H66="情况4",D72))))</f>
        <v>21934</v>
      </c>
      <c r="E66" s="990" t="str">
        <f>IF(H66="情况4","(销售额-原购置价)×税（费）率","销售额×税（费）率")</f>
        <v>销售额×税（费）率</v>
      </c>
      <c r="F66" s="347">
        <f>IF(H66="情况1","免征",'数据-取费表'!B41)</f>
        <v>5.5000000000000007E-2</v>
      </c>
      <c r="G66" s="348" t="s">
        <v>386</v>
      </c>
      <c r="H66" s="190" t="s">
        <v>387</v>
      </c>
      <c r="I66" s="1285"/>
      <c r="J66" s="2031"/>
      <c r="K66" s="1288">
        <v>1</v>
      </c>
      <c r="L66" s="3308" t="s">
        <v>384</v>
      </c>
      <c r="M66" s="3309"/>
      <c r="N66" s="2455"/>
      <c r="O66" s="2456"/>
      <c r="P66" s="2457"/>
      <c r="Q66" s="2025"/>
      <c r="R66" s="2025"/>
      <c r="S66" s="2025"/>
      <c r="T66" s="2025"/>
      <c r="U66" s="2025"/>
      <c r="V66" s="2025"/>
    </row>
    <row r="67" spans="1:22" ht="25.5" customHeight="1">
      <c r="A67" s="349" t="s">
        <v>389</v>
      </c>
      <c r="B67" s="3351" t="s">
        <v>390</v>
      </c>
      <c r="C67" s="3351"/>
      <c r="D67" s="350">
        <v>0</v>
      </c>
      <c r="E67" s="41" t="s">
        <v>391</v>
      </c>
      <c r="F67" s="62" t="s">
        <v>21</v>
      </c>
      <c r="G67" s="3335"/>
      <c r="H67" s="308"/>
      <c r="I67" s="1289"/>
      <c r="J67" s="2032"/>
      <c r="K67" s="1973">
        <v>2</v>
      </c>
      <c r="L67" s="3307" t="s">
        <v>388</v>
      </c>
      <c r="M67" s="3307"/>
      <c r="N67" s="1322">
        <f>'数据-取费表'!B2</f>
        <v>43403</v>
      </c>
      <c r="O67" s="1322"/>
      <c r="P67" s="1322"/>
      <c r="Q67" s="2025"/>
      <c r="R67" s="2025"/>
      <c r="S67" s="2025"/>
      <c r="T67" s="2025"/>
      <c r="U67" s="2025"/>
      <c r="V67" s="2025"/>
    </row>
    <row r="68" spans="1:22" ht="25.5" customHeight="1">
      <c r="A68" s="351"/>
      <c r="B68" s="3351" t="s">
        <v>393</v>
      </c>
      <c r="C68" s="3351"/>
      <c r="D68" s="352"/>
      <c r="E68" s="77"/>
      <c r="F68" s="353"/>
      <c r="G68" s="3336"/>
      <c r="H68" s="308"/>
      <c r="I68" s="1289"/>
      <c r="J68" s="2032"/>
      <c r="K68" s="1973">
        <v>3</v>
      </c>
      <c r="L68" s="3307" t="s">
        <v>392</v>
      </c>
      <c r="M68" s="3307"/>
      <c r="N68" s="1290">
        <f ca="1">C42</f>
        <v>697897</v>
      </c>
      <c r="O68" s="1290"/>
      <c r="P68" s="1290"/>
      <c r="Q68" s="2025"/>
      <c r="R68" s="2025"/>
      <c r="S68" s="2025"/>
      <c r="T68" s="2025"/>
      <c r="U68" s="2025"/>
      <c r="V68" s="2025"/>
    </row>
    <row r="69" spans="1:22" ht="12" customHeight="1">
      <c r="A69" s="354"/>
      <c r="B69" s="3351" t="s">
        <v>394</v>
      </c>
      <c r="C69" s="3351"/>
      <c r="D69" s="355"/>
      <c r="E69" s="73"/>
      <c r="F69" s="353"/>
      <c r="G69" s="3337"/>
      <c r="H69" s="308"/>
      <c r="I69" s="1289"/>
      <c r="J69" s="2032"/>
      <c r="K69" s="1291">
        <v>4</v>
      </c>
      <c r="L69" s="3313" t="s">
        <v>2884</v>
      </c>
      <c r="M69" s="3314"/>
      <c r="N69" s="1292">
        <f ca="1">C44</f>
        <v>660497</v>
      </c>
      <c r="O69" s="1292"/>
      <c r="P69" s="1292"/>
      <c r="Q69" s="2025"/>
      <c r="R69" s="2025"/>
      <c r="S69" s="2025"/>
      <c r="T69" s="2025"/>
      <c r="U69" s="2025"/>
      <c r="V69" s="2025"/>
    </row>
    <row r="70" spans="1:22" ht="24" customHeight="1">
      <c r="A70" s="356" t="s">
        <v>395</v>
      </c>
      <c r="B70" s="3351" t="s">
        <v>396</v>
      </c>
      <c r="C70" s="3351"/>
      <c r="D70" s="355">
        <f ca="1">ROUND(D63*'数据-取费表'!B41/(1+'数据-取费表'!C42),0)</f>
        <v>21934</v>
      </c>
      <c r="E70" s="17" t="s">
        <v>397</v>
      </c>
      <c r="F70" s="357">
        <f>'数据-取费表'!B41</f>
        <v>5.5000000000000007E-2</v>
      </c>
      <c r="G70" s="358"/>
      <c r="H70" s="308"/>
      <c r="I70" s="1289"/>
      <c r="J70" s="2032"/>
      <c r="K70" s="3055"/>
      <c r="L70" s="3056"/>
      <c r="M70" s="3056"/>
      <c r="N70" s="3057" t="s">
        <v>2889</v>
      </c>
      <c r="O70" s="3056"/>
      <c r="P70" s="3058"/>
      <c r="Q70" s="2025"/>
      <c r="R70" s="2025"/>
      <c r="S70" s="2025"/>
      <c r="T70" s="2025"/>
      <c r="U70" s="2025"/>
      <c r="V70" s="2025"/>
    </row>
    <row r="71" spans="1:22" ht="12" customHeight="1">
      <c r="A71" s="356" t="s">
        <v>403</v>
      </c>
      <c r="B71" s="3350" t="s">
        <v>404</v>
      </c>
      <c r="C71" s="3362"/>
      <c r="D71" s="355">
        <f ca="1">ROUND(D63*'数据-取费表'!B41/(1+'数据-取费表'!C42),0)</f>
        <v>21934</v>
      </c>
      <c r="E71" s="17" t="s">
        <v>397</v>
      </c>
      <c r="F71" s="357">
        <f>'数据-取费表'!B41</f>
        <v>5.5000000000000007E-2</v>
      </c>
      <c r="G71" s="358"/>
      <c r="H71" s="308"/>
      <c r="I71" s="1289"/>
      <c r="J71" s="2032"/>
      <c r="K71" s="3054" t="s">
        <v>398</v>
      </c>
      <c r="L71" s="3315" t="s">
        <v>399</v>
      </c>
      <c r="M71" s="3315"/>
      <c r="N71" s="3054" t="s">
        <v>400</v>
      </c>
      <c r="O71" s="3054" t="s">
        <v>401</v>
      </c>
      <c r="P71" s="3054" t="s">
        <v>402</v>
      </c>
      <c r="Q71" s="2025"/>
      <c r="R71" s="2025"/>
      <c r="S71" s="2025"/>
      <c r="T71" s="2025"/>
      <c r="U71" s="2025"/>
      <c r="V71" s="2025"/>
    </row>
    <row r="72" spans="1:22" ht="12" customHeight="1">
      <c r="A72" s="356" t="s">
        <v>406</v>
      </c>
      <c r="B72" s="3350" t="s">
        <v>407</v>
      </c>
      <c r="C72" s="3362"/>
      <c r="D72" s="355">
        <f ca="1">C86</f>
        <v>21824</v>
      </c>
      <c r="E72" s="73" t="s">
        <v>408</v>
      </c>
      <c r="F72" s="357">
        <f>'数据-取费表'!B41</f>
        <v>5.5000000000000007E-2</v>
      </c>
      <c r="G72" s="358"/>
      <c r="H72" s="1295"/>
      <c r="I72" s="1289"/>
      <c r="J72" s="2032"/>
      <c r="K72" s="1973">
        <v>1</v>
      </c>
      <c r="L72" s="3312" t="s">
        <v>405</v>
      </c>
      <c r="M72" s="3312"/>
      <c r="N72" s="1293">
        <f ca="1">D66</f>
        <v>21934</v>
      </c>
      <c r="O72" s="1856" t="str">
        <f>E66</f>
        <v>销售额×税（费）率</v>
      </c>
      <c r="P72" s="1294">
        <f>F66</f>
        <v>5.5000000000000007E-2</v>
      </c>
      <c r="Q72" s="2025"/>
      <c r="R72" s="2025"/>
      <c r="S72" s="2025"/>
      <c r="T72" s="2025"/>
      <c r="U72" s="2025"/>
      <c r="V72" s="2025"/>
    </row>
    <row r="73" spans="1:22" ht="24" customHeight="1">
      <c r="A73" s="3338" t="s">
        <v>410</v>
      </c>
      <c r="B73" s="3339"/>
      <c r="C73" s="3339"/>
      <c r="D73" s="359">
        <f>IF(H73="个人住宅",0,ROUND(D63*I73,0))</f>
        <v>0</v>
      </c>
      <c r="E73" s="17" t="s">
        <v>411</v>
      </c>
      <c r="F73" s="357" t="str">
        <f>IF(H73="正常",I73,"免征")</f>
        <v>免征</v>
      </c>
      <c r="G73" s="358"/>
      <c r="H73" s="190" t="s">
        <v>2457</v>
      </c>
      <c r="I73" s="357">
        <f>'数据-取费表'!B49</f>
        <v>5.0000000000000001E-4</v>
      </c>
      <c r="J73" s="2032"/>
      <c r="K73" s="1973">
        <v>2</v>
      </c>
      <c r="L73" s="3312" t="s">
        <v>409</v>
      </c>
      <c r="M73" s="3312"/>
      <c r="N73" s="1293">
        <f t="shared" ref="N73:P74" si="1">D73</f>
        <v>0</v>
      </c>
      <c r="O73" s="1856" t="str">
        <f t="shared" si="1"/>
        <v>销售额×税（费）率</v>
      </c>
      <c r="P73" s="1294" t="str">
        <f t="shared" si="1"/>
        <v>免征</v>
      </c>
      <c r="Q73" s="2025"/>
      <c r="R73" s="2025"/>
      <c r="S73" s="2025"/>
      <c r="T73" s="2025"/>
      <c r="U73" s="2025"/>
      <c r="V73" s="2025"/>
    </row>
    <row r="74" spans="1:22" ht="24.75">
      <c r="A74" s="3338" t="s">
        <v>414</v>
      </c>
      <c r="B74" s="3339"/>
      <c r="C74" s="3339"/>
      <c r="D74" s="359">
        <f ca="1">IF(H74="个人住宅",D75,D76)</f>
        <v>236729</v>
      </c>
      <c r="E74" s="17" t="s">
        <v>415</v>
      </c>
      <c r="F74" s="357" t="str">
        <f>IF(H74="正常",F76,"免征")</f>
        <v>——</v>
      </c>
      <c r="G74" s="980" t="s">
        <v>416</v>
      </c>
      <c r="H74" s="360" t="s">
        <v>412</v>
      </c>
      <c r="I74" s="42"/>
      <c r="J74" s="2032"/>
      <c r="K74" s="1973">
        <v>3</v>
      </c>
      <c r="L74" s="3312" t="s">
        <v>413</v>
      </c>
      <c r="M74" s="3312"/>
      <c r="N74" s="1293">
        <f t="shared" ca="1" si="1"/>
        <v>236729</v>
      </c>
      <c r="O74" s="1856" t="str">
        <f t="shared" si="1"/>
        <v>增值额×税（费）率</v>
      </c>
      <c r="P74" s="1296" t="str">
        <f t="shared" si="1"/>
        <v>——</v>
      </c>
      <c r="Q74" s="2025"/>
      <c r="R74" s="2025"/>
      <c r="S74" s="2025"/>
      <c r="T74" s="2025"/>
      <c r="U74" s="2025"/>
      <c r="V74" s="2025"/>
    </row>
    <row r="75" spans="1:22" ht="24">
      <c r="A75" s="356" t="s">
        <v>417</v>
      </c>
      <c r="B75" s="3319" t="s">
        <v>418</v>
      </c>
      <c r="C75" s="3320"/>
      <c r="D75" s="361">
        <v>0</v>
      </c>
      <c r="E75" s="41" t="s">
        <v>419</v>
      </c>
      <c r="F75" s="362"/>
      <c r="G75" s="358"/>
      <c r="H75" s="42"/>
      <c r="I75" s="42"/>
      <c r="J75" s="2032"/>
      <c r="K75" s="3047">
        <f>IF(H77="非个人房产","",4)</f>
        <v>4</v>
      </c>
      <c r="L75" s="3312" t="str">
        <f>IF(H77="非个人房产","——","个人所得税")</f>
        <v>个人所得税</v>
      </c>
      <c r="M75" s="3312"/>
      <c r="N75" s="1297">
        <f ca="1">D77</f>
        <v>4187</v>
      </c>
      <c r="O75" s="1869" t="str">
        <f>E77</f>
        <v>销售额×税（费）率</v>
      </c>
      <c r="P75" s="1298">
        <f>F77</f>
        <v>0.01</v>
      </c>
      <c r="Q75" s="2025"/>
      <c r="R75" s="2025"/>
      <c r="S75" s="2025"/>
      <c r="T75" s="2025"/>
      <c r="U75" s="2025"/>
      <c r="V75" s="2025"/>
    </row>
    <row r="76" spans="1:22" ht="24.75">
      <c r="A76" s="356" t="s">
        <v>395</v>
      </c>
      <c r="B76" s="3319" t="s">
        <v>421</v>
      </c>
      <c r="C76" s="3361"/>
      <c r="D76" s="359">
        <f ca="1">IF(H76="转让取得",C99,C115)</f>
        <v>236729</v>
      </c>
      <c r="E76" s="17" t="s">
        <v>422</v>
      </c>
      <c r="F76" s="53" t="s">
        <v>21</v>
      </c>
      <c r="G76" s="358"/>
      <c r="H76" s="360" t="s">
        <v>423</v>
      </c>
      <c r="I76" s="42"/>
      <c r="J76" s="2032"/>
      <c r="K76" s="3047" t="str">
        <f>IF(项目基本情况!K6="上海银行",IF(K75="",4,K75+1),"")</f>
        <v/>
      </c>
      <c r="L76" s="3300" t="str">
        <f>IF(项目基本情况!K6="上海银行","其他处置费用","")</f>
        <v/>
      </c>
      <c r="M76" s="3301"/>
      <c r="N76" s="1293" t="str">
        <f>IF(项目基本情况!K6="上海银行",N89,"")</f>
        <v/>
      </c>
      <c r="O76" s="3302" t="str">
        <f>IF(项目基本情况!K6="上海银行","包含处置中涉及的律师、诉讼、拍卖、评估等费用","")</f>
        <v/>
      </c>
      <c r="P76" s="3303"/>
      <c r="Q76" s="2025"/>
      <c r="R76" s="2025"/>
      <c r="S76" s="2025"/>
      <c r="T76" s="2025"/>
      <c r="U76" s="2025"/>
      <c r="V76" s="2025"/>
    </row>
    <row r="77" spans="1:22" ht="26.25" thickBot="1">
      <c r="A77" s="3330" t="s">
        <v>425</v>
      </c>
      <c r="B77" s="3331"/>
      <c r="C77" s="3331"/>
      <c r="D77" s="363">
        <f ca="1">IF(H77="非个人房产","——",IF(H77="个人住宅",0,ROUND(D63*I77,0)))</f>
        <v>4187</v>
      </c>
      <c r="E77" s="364" t="str">
        <f>IF(H77="非个人房产","——","销售额×税（费）率")</f>
        <v>销售额×税（费）率</v>
      </c>
      <c r="F77" s="365">
        <f>IF(H77="非个人房产","——",IF(H77="个人住宅","免征",I77))</f>
        <v>0.01</v>
      </c>
      <c r="G77" s="981" t="s">
        <v>416</v>
      </c>
      <c r="H77" s="360" t="s">
        <v>2885</v>
      </c>
      <c r="I77" s="366">
        <v>0.01</v>
      </c>
      <c r="J77" s="2032"/>
      <c r="K77" s="3326">
        <f>IF(AND(K75="",K76=""),4,IF(项目基本情况!K6="上海银行",K76+1,K75+1))</f>
        <v>5</v>
      </c>
      <c r="L77" s="3312" t="s">
        <v>2886</v>
      </c>
      <c r="M77" s="3053" t="s">
        <v>420</v>
      </c>
      <c r="N77" s="1299"/>
      <c r="O77" s="1300">
        <f ca="1">SUMIF(N72:N76,"&lt;9e307")</f>
        <v>262850</v>
      </c>
      <c r="P77" s="1301"/>
      <c r="Q77" s="3051">
        <f ca="1">O77/N69</f>
        <v>0.39795790139849235</v>
      </c>
      <c r="R77" s="2025"/>
      <c r="S77" s="2025"/>
      <c r="T77" s="2025"/>
      <c r="U77" s="2025"/>
      <c r="V77" s="2025"/>
    </row>
    <row r="78" spans="1:22" ht="12" customHeight="1">
      <c r="A78" s="1302"/>
      <c r="B78" s="308"/>
      <c r="C78" s="308"/>
      <c r="D78" s="308"/>
      <c r="E78" s="42"/>
      <c r="F78" s="42"/>
      <c r="G78" s="42"/>
      <c r="H78" s="1000"/>
      <c r="I78" s="308"/>
      <c r="J78" s="2032"/>
      <c r="K78" s="3326"/>
      <c r="L78" s="3312"/>
      <c r="M78" s="3053" t="s">
        <v>424</v>
      </c>
      <c r="N78" s="1299"/>
      <c r="O78" s="1300" t="str">
        <f ca="1">NUMBERSTRING(INT(O77*10000),2)&amp;"元整"</f>
        <v>贰拾陆亿贰仟捌佰伍拾万元整</v>
      </c>
      <c r="P78" s="1301"/>
      <c r="Q78" s="2025"/>
      <c r="R78" s="2025"/>
      <c r="S78" s="2025"/>
      <c r="T78" s="2025"/>
      <c r="U78" s="2025"/>
      <c r="V78" s="2025"/>
    </row>
    <row r="79" spans="1:22" ht="13.5" thickBot="1">
      <c r="A79" s="3316" t="s">
        <v>426</v>
      </c>
      <c r="B79" s="3316"/>
      <c r="C79" s="3316"/>
      <c r="D79" s="3316"/>
      <c r="E79" s="3316"/>
      <c r="F79" s="42"/>
      <c r="G79" s="42"/>
      <c r="H79" s="1000"/>
      <c r="I79" s="308"/>
      <c r="J79" s="2032"/>
      <c r="K79" s="3310">
        <f>K77+1</f>
        <v>6</v>
      </c>
      <c r="L79" s="3312" t="s">
        <v>2887</v>
      </c>
      <c r="M79" s="3053" t="s">
        <v>420</v>
      </c>
      <c r="N79" s="1299"/>
      <c r="O79" s="1300">
        <f ca="1">N69-O77</f>
        <v>397647</v>
      </c>
      <c r="P79" s="1301"/>
      <c r="Q79" s="2025"/>
      <c r="R79" s="2025"/>
      <c r="S79" s="2025"/>
      <c r="T79" s="2025"/>
      <c r="U79" s="2025"/>
      <c r="V79" s="2025"/>
    </row>
    <row r="80" spans="1:22" ht="25.5">
      <c r="A80" s="3317" t="s">
        <v>427</v>
      </c>
      <c r="B80" s="3318"/>
      <c r="C80" s="991"/>
      <c r="D80" s="991" t="s">
        <v>428</v>
      </c>
      <c r="E80" s="367" t="s">
        <v>429</v>
      </c>
      <c r="F80" s="42"/>
      <c r="G80" s="42"/>
      <c r="H80" s="1000"/>
      <c r="I80" s="308"/>
      <c r="J80" s="2025"/>
      <c r="K80" s="3311"/>
      <c r="L80" s="3312"/>
      <c r="M80" s="3053" t="s">
        <v>424</v>
      </c>
      <c r="N80" s="1299"/>
      <c r="O80" s="1300" t="str">
        <f ca="1">NUMBERSTRING(INT(O79*10000),2)&amp;"元整"</f>
        <v>叁拾玖亿柒仟陆佰肆拾柒万元整</v>
      </c>
      <c r="P80" s="1301"/>
      <c r="Q80" s="2025"/>
      <c r="R80" s="2025"/>
      <c r="S80" s="2025"/>
      <c r="T80" s="2025"/>
      <c r="U80" s="2025"/>
      <c r="V80" s="2025"/>
    </row>
    <row r="81" spans="1:26" ht="13.5" thickBot="1">
      <c r="A81" s="378" t="s">
        <v>1823</v>
      </c>
      <c r="B81" s="368" t="s">
        <v>430</v>
      </c>
      <c r="C81" s="369">
        <f ca="1">ROUND((C82+C83)/(1+'数据-取费表'!C42),0)</f>
        <v>398798</v>
      </c>
      <c r="D81" s="370"/>
      <c r="E81" s="371"/>
      <c r="F81" s="42"/>
      <c r="G81" s="42"/>
      <c r="H81" s="1000"/>
      <c r="I81" s="308"/>
      <c r="J81" s="2025"/>
      <c r="K81" s="3047">
        <f>K79+1</f>
        <v>7</v>
      </c>
      <c r="L81" s="3324" t="s">
        <v>2888</v>
      </c>
      <c r="M81" s="3325"/>
      <c r="N81" s="1303"/>
      <c r="O81" s="1304">
        <f ca="1">ROUND(O79*10000/'数据-汇总表'!E3,0)</f>
        <v>12543</v>
      </c>
      <c r="P81" s="1305"/>
      <c r="Q81" s="2025"/>
      <c r="R81" s="2025"/>
      <c r="S81" s="2025"/>
      <c r="T81" s="2025"/>
      <c r="U81" s="2025"/>
      <c r="V81" s="2025"/>
    </row>
    <row r="82" spans="1:26" ht="13.5" thickTop="1">
      <c r="A82" s="372" t="s">
        <v>1824</v>
      </c>
      <c r="B82" s="373" t="s">
        <v>431</v>
      </c>
      <c r="C82" s="374">
        <f ca="1">D63</f>
        <v>418738</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1825</v>
      </c>
      <c r="B83" s="373" t="s">
        <v>432</v>
      </c>
      <c r="C83" s="377">
        <v>0</v>
      </c>
      <c r="D83" s="375"/>
      <c r="E83" s="376"/>
      <c r="F83" s="42"/>
      <c r="G83" s="42"/>
      <c r="H83" s="1000"/>
      <c r="I83" s="308"/>
      <c r="J83" s="2025"/>
      <c r="K83" s="3299" t="s">
        <v>2875</v>
      </c>
      <c r="L83" s="3059" t="s">
        <v>2876</v>
      </c>
      <c r="M83" s="3049">
        <f ca="1">IF(N69&gt;10000,N69*0.5%,IF(AND(N69&gt;1000,N69&lt;=10000),N69*1%,IF(AND(N69&gt;100,N69&lt;=1000),N69*3%,IF(AND(N69&gt;10,N69&lt;=100),N69*5%,N69*8%))))</f>
        <v>3302.4850000000001</v>
      </c>
      <c r="N83" s="53">
        <f ca="1">ROUND(M83,1)</f>
        <v>3302.5</v>
      </c>
      <c r="O83" s="3052"/>
      <c r="P83" s="2025"/>
      <c r="Q83" s="2025"/>
      <c r="R83" s="2025"/>
      <c r="S83" s="2025"/>
      <c r="T83" s="2025"/>
      <c r="U83" s="2025"/>
      <c r="V83" s="2025"/>
    </row>
    <row r="84" spans="1:26" ht="12.75">
      <c r="A84" s="378" t="s">
        <v>1826</v>
      </c>
      <c r="B84" s="379" t="s">
        <v>433</v>
      </c>
      <c r="C84" s="380">
        <v>2000</v>
      </c>
      <c r="D84" s="381" t="s">
        <v>19</v>
      </c>
      <c r="E84" s="3093" t="s">
        <v>2940</v>
      </c>
      <c r="F84" s="42"/>
      <c r="G84" s="42"/>
      <c r="H84" s="1000"/>
      <c r="I84" s="308"/>
      <c r="J84" s="2025"/>
      <c r="K84" s="3299"/>
      <c r="L84" s="3059" t="s">
        <v>2877</v>
      </c>
      <c r="M84" s="3049">
        <f ca="1">IF(N69&gt;2000,N69*0.5%,IF(AND(N69&gt;1000,N69&lt;=2000),N69*0.6%,IF(AND(N69&gt;500,N69&lt;=1000),N69*0.7%,IF(AND(N69&gt;200,N69&lt;=500),N69*0.8%,IF(AND(N69&gt;100,N69&lt;=200),N69*0.9%,IF(AND(N69&gt;50,N69&lt;=100),N69*1%,IF(AND(N69&gt;20,N69&lt;=50),N69*1.5%,IF(AND(N69&gt;10,N69&lt;=20),N69*2%,IF(AND(N69&gt;1,N69&lt;=10),N69*2.5%)))))))))</f>
        <v>3302.4850000000001</v>
      </c>
      <c r="N84" s="53">
        <f t="shared" ref="N84:N85" ca="1" si="2">ROUND(M84,1)</f>
        <v>3302.5</v>
      </c>
      <c r="O84" s="2025" t="s">
        <v>2878</v>
      </c>
      <c r="P84" s="2025"/>
      <c r="Q84" s="2025"/>
      <c r="R84" s="2025"/>
      <c r="S84" s="2025"/>
      <c r="T84" s="2025"/>
      <c r="U84" s="2025"/>
      <c r="V84" s="2025"/>
    </row>
    <row r="85" spans="1:26" ht="12.75">
      <c r="A85" s="378" t="s">
        <v>1827</v>
      </c>
      <c r="B85" s="379" t="s">
        <v>434</v>
      </c>
      <c r="C85" s="382">
        <f ca="1">C81-C84</f>
        <v>396798</v>
      </c>
      <c r="D85" s="375" t="s">
        <v>19</v>
      </c>
      <c r="E85" s="376"/>
      <c r="F85" s="42"/>
      <c r="G85" s="42"/>
      <c r="H85" s="1000"/>
      <c r="I85" s="308"/>
      <c r="J85" s="2025"/>
      <c r="K85" s="3299"/>
      <c r="L85" s="3059" t="s">
        <v>2879</v>
      </c>
      <c r="M85" s="3049">
        <f ca="1">IF(N69&gt;1000,N69*0.1%,IF(AND(N69&gt;500,N69&lt;=1000),N69*0.5%,IF(AND(N69&gt;50,N69&lt;=500),N69*1%,IF(AND(N69&gt;1,N69&lt;=50),N69*1.5%))))</f>
        <v>660.49699999999996</v>
      </c>
      <c r="N85" s="53">
        <f t="shared" ca="1" si="2"/>
        <v>660.5</v>
      </c>
      <c r="O85" s="2025" t="s">
        <v>2878</v>
      </c>
      <c r="P85" s="2025"/>
      <c r="Q85" s="2025"/>
      <c r="R85" s="2025"/>
      <c r="S85" s="2025"/>
      <c r="T85" s="2025"/>
      <c r="U85" s="2025"/>
      <c r="V85" s="2025"/>
    </row>
    <row r="86" spans="1:26" ht="13.5" thickBot="1">
      <c r="A86" s="383" t="s">
        <v>1828</v>
      </c>
      <c r="B86" s="384" t="s">
        <v>435</v>
      </c>
      <c r="C86" s="385">
        <f ca="1">IF(C85&lt;=0,0,ROUND(C85*D86,0))</f>
        <v>21824</v>
      </c>
      <c r="D86" s="386">
        <f>'数据-取费表'!B41</f>
        <v>5.5000000000000007E-2</v>
      </c>
      <c r="E86" s="387"/>
      <c r="F86" s="42"/>
      <c r="G86" s="42"/>
      <c r="H86" s="1000"/>
      <c r="I86" s="308"/>
      <c r="J86" s="2025"/>
      <c r="K86" s="3299"/>
      <c r="L86" s="3059" t="s">
        <v>2880</v>
      </c>
      <c r="M86" s="3049">
        <f ca="1">N69*0.5%</f>
        <v>3302.4850000000001</v>
      </c>
      <c r="N86" s="53">
        <f ca="1">IF(M86&gt;0.5,0.5,ROUND(M86,0))</f>
        <v>0.5</v>
      </c>
      <c r="O86" s="2025" t="s">
        <v>2881</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299"/>
      <c r="L87" s="3059" t="s">
        <v>2882</v>
      </c>
      <c r="M87" s="3049">
        <f ca="1">IF(N69&gt;=10000,(8.25+(N69-10000)*0.01%),IF(AND(N69&gt;=8000,N69&lt;10000),(7.85+(N69-8000)*0.02%),IF(AND(N69&gt;=5000,N69&lt;8000),(6.65+(N69-5000)*0.04%),IF(AND(N69&gt;=2000,N69&lt;5000),(4.25+(PN69-2000)*0.08%),IF(AND(N69&gt;=1000,N69&lt;2000),(2.75+(N69-1000)*0.15%),IF(AND(N69&gt;=100,N69&lt;1000),(0.5+(N69-100)*0.25%),IF(AND(N69&gt;0,N69&lt;100),N69*0.5%)))))))</f>
        <v>73.299700000000001</v>
      </c>
      <c r="N87" s="53">
        <f ca="1">ROUND(M87*0.9,1)</f>
        <v>66</v>
      </c>
      <c r="O87" s="3052"/>
      <c r="P87" s="308"/>
      <c r="Q87" s="2025"/>
      <c r="R87" s="2025"/>
      <c r="S87" s="2025"/>
      <c r="T87" s="2025"/>
      <c r="U87" s="2025"/>
      <c r="V87" s="2025"/>
      <c r="W87" s="289"/>
      <c r="X87" s="289"/>
      <c r="Y87" s="289"/>
      <c r="Z87" s="289"/>
    </row>
    <row r="88" spans="1:26" s="1311" customFormat="1" ht="15" thickBot="1">
      <c r="A88" s="3353" t="s">
        <v>436</v>
      </c>
      <c r="B88" s="3354"/>
      <c r="C88" s="3354"/>
      <c r="D88" s="3354"/>
      <c r="E88" s="3354"/>
      <c r="F88" s="3354"/>
      <c r="G88" s="3354"/>
      <c r="H88" s="3354"/>
      <c r="I88" s="1312"/>
      <c r="J88" s="2033"/>
      <c r="K88" s="3299"/>
      <c r="L88" s="3059" t="s">
        <v>2883</v>
      </c>
      <c r="M88" s="3049">
        <f ca="1">IF(N69&gt;10000,N69*0.5%,IF(AND(N69&gt;5000,N69&lt;=10000),N69*1%,IF(AND(N69&gt;1000,N69&lt;=5000),N69*2%,IF(AND(N69&gt;200,N69&lt;=1000),N69*3%,N69*5%))))</f>
        <v>3302.4850000000001</v>
      </c>
      <c r="N88" s="53">
        <f ca="1">ROUND(M88,1)</f>
        <v>3302.5</v>
      </c>
      <c r="O88" s="3052"/>
      <c r="P88" s="11"/>
      <c r="Q88" s="2030"/>
      <c r="R88" s="2030"/>
      <c r="S88" s="2030"/>
      <c r="T88" s="2030"/>
      <c r="U88" s="2030"/>
      <c r="V88" s="2030"/>
      <c r="W88" s="2034"/>
      <c r="X88" s="2034"/>
      <c r="Y88" s="2034"/>
      <c r="Z88" s="2034"/>
    </row>
    <row r="89" spans="1:26" s="1311" customFormat="1" ht="14.25">
      <c r="A89" s="3317" t="s">
        <v>427</v>
      </c>
      <c r="B89" s="3318"/>
      <c r="C89" s="991"/>
      <c r="D89" s="991" t="s">
        <v>428</v>
      </c>
      <c r="E89" s="388" t="s">
        <v>437</v>
      </c>
      <c r="F89" s="389"/>
      <c r="G89" s="389"/>
      <c r="H89" s="390"/>
      <c r="I89" s="1313"/>
      <c r="J89" s="2035"/>
      <c r="K89" s="3299"/>
      <c r="L89" s="3059" t="s">
        <v>27</v>
      </c>
      <c r="M89" s="3050"/>
      <c r="N89" s="53">
        <f ca="1">ROUND(SUM(N83:N88),0)</f>
        <v>10635</v>
      </c>
      <c r="O89" s="3060">
        <f ca="1">N89/N69</f>
        <v>1.6101511437599261E-2</v>
      </c>
      <c r="P89" s="2030"/>
      <c r="Q89" s="2030"/>
      <c r="R89" s="2030"/>
      <c r="S89" s="2030"/>
      <c r="T89" s="2030"/>
      <c r="U89" s="2030"/>
      <c r="V89" s="2030"/>
      <c r="W89" s="2034"/>
      <c r="X89" s="2034"/>
      <c r="Y89" s="2034"/>
      <c r="Z89" s="2034"/>
    </row>
    <row r="90" spans="1:26" s="1311" customFormat="1" ht="14.25">
      <c r="A90" s="378" t="s">
        <v>1823</v>
      </c>
      <c r="B90" s="379" t="s">
        <v>438</v>
      </c>
      <c r="C90" s="382">
        <f ca="1">ROUND(D63/(1+'数据-取费表'!C42),0)</f>
        <v>398798</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1829</v>
      </c>
      <c r="B91" s="345" t="s">
        <v>439</v>
      </c>
      <c r="C91" s="382">
        <f ca="1">C92+C96</f>
        <v>4555</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1830</v>
      </c>
      <c r="B92" s="373" t="s">
        <v>440</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1831</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1832</v>
      </c>
      <c r="B94" s="397" t="s">
        <v>445</v>
      </c>
      <c r="C94" s="375">
        <f>IF(F93="购房发票",ROUND(C93*H93*5%,0),0)</f>
        <v>500</v>
      </c>
      <c r="D94" s="398">
        <v>0.05</v>
      </c>
      <c r="E94" s="3350" t="s">
        <v>446</v>
      </c>
      <c r="F94" s="3351"/>
      <c r="G94" s="3351"/>
      <c r="H94" s="3352"/>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1833</v>
      </c>
      <c r="B95" s="373" t="s">
        <v>447</v>
      </c>
      <c r="C95" s="375">
        <f>ROUND(IF(G95="个人买卖住房",0,IF(G95="2016年5月1日前购买",C93*D95,C93*D95/(1+'数据-取费表'!C42))),0)</f>
        <v>61</v>
      </c>
      <c r="D95" s="399">
        <f>'数据-取费表'!B48+'数据-取费表'!B49</f>
        <v>3.0499999999999999E-2</v>
      </c>
      <c r="E95" s="26" t="s">
        <v>448</v>
      </c>
      <c r="F95" s="400"/>
      <c r="G95" s="401" t="s">
        <v>2431</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1834</v>
      </c>
      <c r="B96" s="373" t="s">
        <v>449</v>
      </c>
      <c r="C96" s="402">
        <f ca="1">ROUND(D63*D96/(1+'数据-取费表'!C42),0)</f>
        <v>1994</v>
      </c>
      <c r="D96" s="403">
        <f>'数据-取费表'!B43</f>
        <v>5.000000000000001E-3</v>
      </c>
      <c r="E96" s="3340" t="s">
        <v>2430</v>
      </c>
      <c r="F96" s="3341"/>
      <c r="G96" s="3341"/>
      <c r="H96" s="3342"/>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1835</v>
      </c>
      <c r="B97" s="379" t="s">
        <v>450</v>
      </c>
      <c r="C97" s="382">
        <f ca="1">C90-C91</f>
        <v>394243</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1836</v>
      </c>
      <c r="B98" s="379" t="s">
        <v>451</v>
      </c>
      <c r="C98" s="404">
        <f ca="1">IF(C97&lt;=0,0,C97/C91)</f>
        <v>86.551701427003294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1837</v>
      </c>
      <c r="B99" s="384" t="s">
        <v>452</v>
      </c>
      <c r="C99" s="405">
        <f ca="1">ROUND(IF(C97&lt;=0,0,IF(C98&gt;=200%,C97*60%-C91*35%,IF(C98&gt;=100%,C97*50%-C91*15%,IF(C98&gt;=50%,C97*40%-C91*5%,IF(C98&lt;50%,C97*30%,0))))),0)</f>
        <v>234952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53" t="s">
        <v>453</v>
      </c>
      <c r="B101" s="3354"/>
      <c r="C101" s="3354"/>
      <c r="D101" s="3354"/>
      <c r="E101" s="3354"/>
      <c r="F101" s="3354"/>
      <c r="G101" s="3354"/>
      <c r="H101" s="3354"/>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17" t="s">
        <v>427</v>
      </c>
      <c r="B102" s="3318"/>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1823</v>
      </c>
      <c r="B103" s="379" t="s">
        <v>438</v>
      </c>
      <c r="C103" s="382">
        <f ca="1">ROUND(D63/(1+'数据-取费表'!C42),0)</f>
        <v>398798</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1829</v>
      </c>
      <c r="B104" s="345" t="s">
        <v>439</v>
      </c>
      <c r="C104" s="382">
        <f ca="1">IF(H106="仅含出让金",C105+C108+C109+C110+C111+C112,C105+C109+C110+C111+C112)</f>
        <v>2684</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1830</v>
      </c>
      <c r="B105" s="373" t="s">
        <v>454</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1831</v>
      </c>
      <c r="B106" s="373" t="s">
        <v>455</v>
      </c>
      <c r="C106" s="413">
        <v>555</v>
      </c>
      <c r="D106" s="403"/>
      <c r="E106" s="414" t="s">
        <v>456</v>
      </c>
      <c r="F106" s="983"/>
      <c r="G106" s="415" t="s">
        <v>457</v>
      </c>
      <c r="H106" s="416"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1832</v>
      </c>
      <c r="B107" s="373" t="s">
        <v>447</v>
      </c>
      <c r="C107" s="402">
        <f>ROUND(C106*D107,0)</f>
        <v>17</v>
      </c>
      <c r="D107" s="403">
        <f>'数据-取费表'!B48+'数据-取费表'!B49</f>
        <v>3.0499999999999999E-2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1834</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1838</v>
      </c>
      <c r="B109" s="373" t="s">
        <v>460</v>
      </c>
      <c r="C109" s="402">
        <f>IF(H109="——",IF(F1="现房",'剩余法-现房'!C18,'剩余法-待开发'!C18),I109)</f>
        <v>55</v>
      </c>
      <c r="D109" s="403"/>
      <c r="E109" s="3343" t="s">
        <v>461</v>
      </c>
      <c r="F109" s="3341"/>
      <c r="G109" s="3341"/>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1839</v>
      </c>
      <c r="B110" s="373" t="s">
        <v>462</v>
      </c>
      <c r="C110" s="402">
        <f>ROUND((C105+C108+C109)*D110,0)</f>
        <v>63</v>
      </c>
      <c r="D110" s="403">
        <v>0.1</v>
      </c>
      <c r="E110" s="3343" t="s">
        <v>463</v>
      </c>
      <c r="F110" s="3341"/>
      <c r="G110" s="3341"/>
      <c r="H110" s="3342"/>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1840</v>
      </c>
      <c r="B111" s="373" t="s">
        <v>449</v>
      </c>
      <c r="C111" s="402">
        <f ca="1">ROUND(D63*D111/(1+'数据-取费表'!C42),0)</f>
        <v>1994</v>
      </c>
      <c r="D111" s="403">
        <f>'数据-取费表'!B43</f>
        <v>5.000000000000001E-3</v>
      </c>
      <c r="E111" s="3340" t="s">
        <v>2430</v>
      </c>
      <c r="F111" s="3341"/>
      <c r="G111" s="3341"/>
      <c r="H111" s="3342"/>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1841</v>
      </c>
      <c r="B112" s="373" t="s">
        <v>464</v>
      </c>
      <c r="C112" s="402">
        <f>ROUND(C108*D112,0)</f>
        <v>0</v>
      </c>
      <c r="D112" s="403">
        <v>0.2</v>
      </c>
      <c r="E112" s="3343" t="s">
        <v>2455</v>
      </c>
      <c r="F112" s="3341"/>
      <c r="G112" s="3341"/>
      <c r="H112" s="3342"/>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1835</v>
      </c>
      <c r="B113" s="379" t="s">
        <v>450</v>
      </c>
      <c r="C113" s="382">
        <f ca="1">ROUND(C103-C104,0)</f>
        <v>396114</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1836</v>
      </c>
      <c r="B114" s="379" t="s">
        <v>451</v>
      </c>
      <c r="C114" s="404">
        <f ca="1">IF(C113&lt;=0,0,C113/C104)</f>
        <v>147.58345752608048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1837</v>
      </c>
      <c r="B115" s="384" t="s">
        <v>452</v>
      </c>
      <c r="C115" s="405">
        <f ca="1">ROUND(IF(C113&lt;=0,0,IF(C114&gt;=200%,C113*60%-C104*35%,IF(C114&gt;=100%,C113*50%-C104*15%,IF(C114&gt;=50%,C113*40%-C104*5%,IF(C114&lt;50%,C113*30%,0))))),0)</f>
        <v>236729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F10" sqref="F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06"/>
      <c r="C1" s="2101"/>
      <c r="D1" s="2101"/>
      <c r="E1" s="2101"/>
      <c r="F1" s="2101"/>
      <c r="G1" s="2101"/>
      <c r="H1" s="2101"/>
      <c r="I1" s="2101"/>
      <c r="J1" s="2101"/>
      <c r="K1" s="419">
        <f>MATCH(B1,'数据-取费表'!A6:A16,0)+5</f>
        <v>10</v>
      </c>
    </row>
    <row r="2" spans="1:31" s="2038" customFormat="1" ht="18" customHeight="1">
      <c r="A2" s="2098" t="s">
        <v>466</v>
      </c>
      <c r="B2" s="2102">
        <f ca="1">C36</f>
        <v>709407</v>
      </c>
      <c r="C2" s="2101"/>
      <c r="D2" s="2101"/>
      <c r="E2" s="2101"/>
      <c r="F2" s="2101"/>
      <c r="G2" s="2101"/>
      <c r="H2" s="2101"/>
      <c r="I2" s="2101"/>
      <c r="J2" s="2101"/>
      <c r="K2" s="2101"/>
    </row>
    <row r="3" spans="1:31" s="2038" customFormat="1" ht="18" customHeight="1">
      <c r="A3" s="2103" t="s">
        <v>1684</v>
      </c>
      <c r="B3" s="2104">
        <f ca="1">ROUND(B2*10000/IF(B1="",'数据-汇总表'!E3,INDIRECT("'数据-取费表'!K"&amp;$K$1)),0)</f>
        <v>22377</v>
      </c>
      <c r="C3" s="2101"/>
      <c r="D3" s="2101"/>
      <c r="E3" s="2101"/>
      <c r="F3" s="2101"/>
      <c r="G3" s="2101"/>
      <c r="H3" s="2101"/>
      <c r="I3" s="2101"/>
      <c r="J3" s="2101"/>
      <c r="K3" s="2101"/>
    </row>
    <row r="4" spans="1:31" s="2038" customFormat="1" ht="18" customHeight="1">
      <c r="A4" s="423" t="s">
        <v>467</v>
      </c>
      <c r="B4" s="424">
        <f ca="1">ROUND(B2*10000/IF(B1="",'数据-汇总表'!D3,INDIRECT("'数据-取费表'!R"&amp;$K$1)),0)</f>
        <v>48090</v>
      </c>
      <c r="C4" s="425"/>
      <c r="D4" s="419"/>
      <c r="E4" s="419"/>
      <c r="F4" s="419"/>
      <c r="G4" s="419"/>
      <c r="H4" s="419"/>
      <c r="I4" s="419"/>
      <c r="J4" s="419"/>
      <c r="K4" s="419"/>
    </row>
    <row r="5" spans="1:31" s="2038" customFormat="1" ht="18" customHeight="1" thickBot="1">
      <c r="A5" s="426"/>
      <c r="B5" s="427">
        <f ca="1">ROUND(B2/(IF(B1="",'数据-汇总表'!D3,INDIRECT("'数据-取费表'!R"&amp;$K$1))/666.67),0)</f>
        <v>3206</v>
      </c>
      <c r="C5" s="428" t="s">
        <v>468</v>
      </c>
      <c r="D5" s="419"/>
      <c r="E5" s="419"/>
      <c r="F5" s="419"/>
      <c r="G5" s="419"/>
      <c r="H5" s="419"/>
      <c r="I5" s="419"/>
      <c r="J5" s="419"/>
      <c r="K5" s="419"/>
    </row>
    <row r="6" spans="1:31" s="2108" customFormat="1" ht="16.5" customHeight="1">
      <c r="A6" s="2825" t="s">
        <v>1842</v>
      </c>
      <c r="B6" s="2826"/>
      <c r="C6" s="2827">
        <f ca="1">SUM(C10:K10)</f>
        <v>1074035</v>
      </c>
      <c r="D6" s="2826"/>
      <c r="E6" s="2826"/>
      <c r="F6" s="2826"/>
      <c r="G6" s="2826"/>
      <c r="H6" s="2826"/>
      <c r="I6" s="2826"/>
      <c r="J6" s="2826"/>
      <c r="K6" s="2828"/>
    </row>
    <row r="7" spans="1:31" s="2110" customFormat="1" ht="15">
      <c r="A7" s="2829" t="s">
        <v>469</v>
      </c>
      <c r="B7" s="2830" t="s">
        <v>470</v>
      </c>
      <c r="C7" s="433" t="s">
        <v>3261</v>
      </c>
      <c r="D7" s="433" t="s">
        <v>3192</v>
      </c>
      <c r="E7" s="433" t="s">
        <v>35</v>
      </c>
      <c r="F7" s="433" t="s">
        <v>3263</v>
      </c>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1845</v>
      </c>
      <c r="B8" s="258" t="s">
        <v>471</v>
      </c>
      <c r="C8" s="2831">
        <v>62102</v>
      </c>
      <c r="D8" s="2831">
        <f>ROUND(C8/3,0)</f>
        <v>20701</v>
      </c>
      <c r="E8" s="2831">
        <f ca="1">'不动产收益法-车库'!B3</f>
        <v>4394</v>
      </c>
      <c r="F8" s="2831">
        <f ca="1">'不动产收益法-自持住宅'!B3</f>
        <v>47592</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1846</v>
      </c>
      <c r="B9" s="258" t="s">
        <v>472</v>
      </c>
      <c r="C9" s="438">
        <f>SUMIF('数据-汇总表'!$C19:$C33,'剩余法-待开发'!C7,'数据-汇总表'!$E19:$E33)</f>
        <v>124055.99000000002</v>
      </c>
      <c r="D9" s="438">
        <f>SUMIF('数据-汇总表'!$C19:$C33,'剩余法-待开发'!D7,'数据-汇总表'!$E19:$E33)</f>
        <v>79869.01999999996</v>
      </c>
      <c r="E9" s="438">
        <f>SUMIF('数据-汇总表'!$C19:$C33,'剩余法-待开发'!E7,'数据-汇总表'!$E19:$E33)</f>
        <v>58360.560000000005</v>
      </c>
      <c r="F9" s="438">
        <f>SUMIF('数据-汇总表'!$C19:$C33,'剩余法-待开发'!F7,'数据-汇总表'!$E19:$E33)</f>
        <v>23668.010000000002</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1847</v>
      </c>
      <c r="B10" s="2819" t="s">
        <v>473</v>
      </c>
      <c r="C10" s="3022">
        <f>ROUND(C8*C9/10000,0)</f>
        <v>770413</v>
      </c>
      <c r="D10" s="3022">
        <f>ROUND(D8*D9/10000,0)</f>
        <v>165337</v>
      </c>
      <c r="E10" s="3022">
        <f ca="1">'不动产收益法-车库'!B2</f>
        <v>25645</v>
      </c>
      <c r="F10" s="2834">
        <f ca="1">'不动产收益法-自持住宅'!B2</f>
        <v>112640</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1843</v>
      </c>
      <c r="B11" s="2826"/>
      <c r="C11" s="2826"/>
      <c r="D11" s="2826"/>
      <c r="E11" s="2826"/>
      <c r="F11" s="2826"/>
      <c r="G11" s="2826"/>
      <c r="H11" s="2826"/>
      <c r="I11" s="2826"/>
      <c r="J11" s="2826"/>
      <c r="K11" s="2828"/>
    </row>
    <row r="12" spans="1:31" s="2082" customFormat="1" ht="13.5" customHeight="1">
      <c r="A12" s="2837" t="s">
        <v>469</v>
      </c>
      <c r="B12" s="2809" t="s">
        <v>470</v>
      </c>
      <c r="C12" s="2838" t="s">
        <v>474</v>
      </c>
      <c r="D12" s="2805" t="s">
        <v>475</v>
      </c>
      <c r="E12" s="2805" t="s">
        <v>476</v>
      </c>
      <c r="F12" s="2805" t="s">
        <v>477</v>
      </c>
      <c r="G12" s="2809"/>
      <c r="H12" s="2810"/>
      <c r="I12" s="2810"/>
      <c r="J12" s="2810"/>
      <c r="K12" s="2811"/>
    </row>
    <row r="13" spans="1:31" s="2113" customFormat="1" ht="13.5" customHeight="1">
      <c r="A13" s="2839" t="s">
        <v>1848</v>
      </c>
      <c r="B13" s="2840" t="s">
        <v>478</v>
      </c>
      <c r="C13" s="447">
        <f ca="1">IF(B1="",'数据-取费表'!P16,INDIRECT("'数据-取费表'!p"&amp;$K$1)+INDIRECT("'数据-取费表'!t"&amp;$K$1))</f>
        <v>82804</v>
      </c>
      <c r="D13" s="2841"/>
      <c r="E13" s="2842"/>
      <c r="F13" s="2843"/>
      <c r="G13" s="2809"/>
      <c r="H13" s="2810"/>
      <c r="I13" s="2810"/>
      <c r="J13" s="2810"/>
      <c r="K13" s="2811"/>
    </row>
    <row r="14" spans="1:31" s="2113" customFormat="1" ht="13.5" customHeight="1">
      <c r="A14" s="2839" t="s">
        <v>1849</v>
      </c>
      <c r="B14" s="2840" t="s">
        <v>479</v>
      </c>
      <c r="C14" s="53">
        <f ca="1">ROUND(C13*F14,0)</f>
        <v>2484</v>
      </c>
      <c r="D14" s="2841"/>
      <c r="E14" s="2842"/>
      <c r="F14" s="2844">
        <f>'数据-取费表'!B33</f>
        <v>0.03</v>
      </c>
      <c r="G14" s="2809" t="s">
        <v>480</v>
      </c>
      <c r="H14" s="2810"/>
      <c r="I14" s="2810"/>
      <c r="J14" s="2810"/>
      <c r="K14" s="2811"/>
    </row>
    <row r="15" spans="1:31" s="2113" customFormat="1" ht="13.5" customHeight="1">
      <c r="A15" s="2839" t="s">
        <v>1850</v>
      </c>
      <c r="B15" s="2840" t="s">
        <v>481</v>
      </c>
      <c r="C15" s="53">
        <f ca="1">ROUND(IF(B1="",SUMIF('数据-取费表'!C:C,"住宅",'数据-取费表'!P:P)*F15,IF(INDIRECT("'数据-取费表'!c"&amp;$K$1)="住宅",INDIRECT("'数据-取费表'!P"&amp;$K$1)*F15,0)),0)</f>
        <v>2216</v>
      </c>
      <c r="D15" s="2841"/>
      <c r="E15" s="2842"/>
      <c r="F15" s="2844">
        <f>'数据-取费表'!B34</f>
        <v>0.05</v>
      </c>
      <c r="G15" s="2809" t="s">
        <v>482</v>
      </c>
      <c r="H15" s="2810"/>
      <c r="I15" s="2810"/>
      <c r="J15" s="2810"/>
      <c r="K15" s="2811"/>
    </row>
    <row r="16" spans="1:31" s="2114" customFormat="1" ht="13.5" customHeight="1">
      <c r="A16" s="2839" t="s">
        <v>1851</v>
      </c>
      <c r="B16" s="2840" t="s">
        <v>483</v>
      </c>
      <c r="C16" s="53">
        <f ca="1">ROUND(D16*E16/10000,0)</f>
        <v>6340</v>
      </c>
      <c r="D16" s="2841">
        <f ca="1">IF(B1="",'数据-汇总表'!E3,INDIRECT("'数据-取费表'!K"&amp;$K$1)+INDIRECT("'数据-取费表'!S"&amp;$K$1))</f>
        <v>317024.16000000015</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1852</v>
      </c>
      <c r="B17" s="2840" t="s">
        <v>484</v>
      </c>
      <c r="C17" s="2845">
        <f ca="1">ROUND(C13*F17,0)</f>
        <v>1242</v>
      </c>
      <c r="D17" s="472"/>
      <c r="E17" s="2845"/>
      <c r="F17" s="2846">
        <f>'数据-取费表'!B36</f>
        <v>1.4999999999999999E-2</v>
      </c>
      <c r="G17" s="258" t="s">
        <v>485</v>
      </c>
      <c r="H17" s="2812"/>
      <c r="I17" s="2812"/>
      <c r="J17" s="2812"/>
      <c r="K17" s="276"/>
    </row>
    <row r="18" spans="1:14" s="2113" customFormat="1" ht="13.5" customHeight="1">
      <c r="A18" s="2847" t="s">
        <v>1853</v>
      </c>
      <c r="B18" s="2848" t="s">
        <v>486</v>
      </c>
      <c r="C18" s="2849">
        <f ca="1">SUM(C13:C17)</f>
        <v>95086</v>
      </c>
      <c r="D18" s="2850"/>
      <c r="E18" s="465"/>
      <c r="F18" s="465"/>
      <c r="G18" s="2813" t="s">
        <v>2432</v>
      </c>
      <c r="H18" s="2814"/>
      <c r="I18" s="2814"/>
      <c r="J18" s="2814"/>
      <c r="K18" s="2815"/>
    </row>
    <row r="19" spans="1:14" s="2113" customFormat="1" ht="13.5" customHeight="1">
      <c r="A19" s="2847" t="s">
        <v>1854</v>
      </c>
      <c r="B19" s="2848" t="s">
        <v>487</v>
      </c>
      <c r="C19" s="2805">
        <f ca="1">ROUND(D19*E19/10000,0)</f>
        <v>951</v>
      </c>
      <c r="D19" s="2851">
        <f ca="1">D16</f>
        <v>317024.16000000015</v>
      </c>
      <c r="E19" s="2805">
        <f>'数据-取费表'!B32</f>
        <v>30</v>
      </c>
      <c r="F19" s="465"/>
      <c r="G19" s="2809" t="s">
        <v>488</v>
      </c>
      <c r="H19" s="2810"/>
      <c r="I19" s="2814"/>
      <c r="J19" s="2814"/>
      <c r="K19" s="2815"/>
    </row>
    <row r="20" spans="1:14" s="2113" customFormat="1" ht="13.5" customHeight="1">
      <c r="A20" s="2847" t="s">
        <v>1855</v>
      </c>
      <c r="B20" s="2848" t="s">
        <v>489</v>
      </c>
      <c r="C20" s="2805">
        <f ca="1">C21+C22-IF(B1="",'数据-取费表'!B29,IF(G20="已全部缴纳",C21+C22,H20))</f>
        <v>5750</v>
      </c>
      <c r="D20" s="2851"/>
      <c r="E20" s="2805"/>
      <c r="F20" s="2852"/>
      <c r="G20" s="3081" t="s">
        <v>3260</v>
      </c>
      <c r="H20" s="2807"/>
      <c r="I20" s="2808" t="s">
        <v>2652</v>
      </c>
      <c r="J20" s="2814"/>
      <c r="K20" s="2815"/>
    </row>
    <row r="21" spans="1:14" s="2113" customFormat="1" ht="13.5" customHeight="1">
      <c r="A21" s="2839" t="s">
        <v>1856</v>
      </c>
      <c r="B21" s="2840" t="s">
        <v>490</v>
      </c>
      <c r="C21" s="53">
        <f ca="1">ROUND(D21*E21/10000,0)</f>
        <v>2364</v>
      </c>
      <c r="D21" s="2841">
        <f ca="1">IF(B1="",'数据-汇总表'!E5,IF(INDIRECT("'数据-取费表'!c"&amp;$K$1)="住宅",INDIRECT("'数据-取费表'!k"&amp;$K$1),0))</f>
        <v>147724.00000000003</v>
      </c>
      <c r="E21" s="53">
        <f>'数据-取费表'!B27</f>
        <v>160</v>
      </c>
      <c r="F21" s="2844"/>
      <c r="G21" s="26"/>
      <c r="H21" s="51"/>
      <c r="I21" s="51"/>
      <c r="J21" s="51"/>
      <c r="K21" s="2816"/>
    </row>
    <row r="22" spans="1:14" s="2113" customFormat="1" ht="13.5" customHeight="1">
      <c r="A22" s="2839" t="s">
        <v>1857</v>
      </c>
      <c r="B22" s="2840" t="s">
        <v>491</v>
      </c>
      <c r="C22" s="53">
        <f ca="1">ROUND(D22*E22/10000,0)</f>
        <v>3386</v>
      </c>
      <c r="D22" s="2841">
        <f ca="1">IF(B1="",'数据-汇总表'!E6,IF(INDIRECT("'数据-取费表'!c"&amp;$K$1)="住宅",INDIRECT("'数据-取费表'!s"&amp;$K$1),INDIRECT("'数据-取费表'!k"&amp;$K$1)+INDIRECT("'数据-取费表'!s"&amp;$K$1)))</f>
        <v>169300.16000000012</v>
      </c>
      <c r="E22" s="53">
        <f>'数据-取费表'!B28</f>
        <v>200</v>
      </c>
      <c r="F22" s="2844"/>
      <c r="G22" s="26"/>
      <c r="H22" s="51"/>
      <c r="I22" s="51"/>
      <c r="J22" s="51"/>
      <c r="K22" s="2816"/>
    </row>
    <row r="23" spans="1:14" s="2113" customFormat="1" ht="13.5" customHeight="1">
      <c r="A23" s="2847" t="s">
        <v>1858</v>
      </c>
      <c r="B23" s="3028" t="s">
        <v>2835</v>
      </c>
      <c r="C23" s="2849">
        <f ca="1">ROUND((C18+C19+C20)*F23,0)</f>
        <v>2036</v>
      </c>
      <c r="D23" s="465"/>
      <c r="E23" s="465"/>
      <c r="F23" s="2853">
        <f>'数据-取费表'!B37</f>
        <v>0.02</v>
      </c>
      <c r="G23" s="2809" t="s">
        <v>2433</v>
      </c>
      <c r="H23" s="2810"/>
      <c r="I23" s="2810"/>
      <c r="J23" s="2810"/>
      <c r="K23" s="2811"/>
      <c r="L23" s="2115"/>
      <c r="M23" s="2115"/>
      <c r="N23" s="2115"/>
    </row>
    <row r="24" spans="1:14" s="2113" customFormat="1" ht="13.5" customHeight="1">
      <c r="A24" s="2847" t="s">
        <v>1859</v>
      </c>
      <c r="B24" s="3028" t="s">
        <v>2838</v>
      </c>
      <c r="C24" s="2849">
        <f ca="1">ROUND(C6*F24,0)</f>
        <v>21481</v>
      </c>
      <c r="D24" s="472"/>
      <c r="E24" s="470"/>
      <c r="F24" s="2853">
        <f>'数据-取费表'!B38</f>
        <v>0.02</v>
      </c>
      <c r="G24" s="2818" t="s">
        <v>498</v>
      </c>
      <c r="H24" s="2812"/>
      <c r="I24" s="2812"/>
      <c r="J24" s="2812"/>
      <c r="K24" s="276"/>
      <c r="L24" s="2115"/>
      <c r="M24" s="2115"/>
      <c r="N24" s="2115"/>
    </row>
    <row r="25" spans="1:14" s="2116" customFormat="1" ht="13.5" customHeight="1">
      <c r="A25" s="2847" t="s">
        <v>1860</v>
      </c>
      <c r="B25" s="3028" t="s">
        <v>2836</v>
      </c>
      <c r="C25" s="464">
        <f>ROUND(F25/(1+'数据-取费表'!C42),4)</f>
        <v>2.9000000000000001E-2</v>
      </c>
      <c r="D25" s="459" t="s">
        <v>2830</v>
      </c>
      <c r="E25" s="466"/>
      <c r="F25" s="2853">
        <f>'数据-取费表'!B48+'数据-取费表'!B49</f>
        <v>3.0499999999999999E-2</v>
      </c>
      <c r="G25" s="2817" t="s">
        <v>2291</v>
      </c>
      <c r="H25" s="2810"/>
      <c r="I25" s="2810"/>
      <c r="J25" s="2810"/>
      <c r="K25" s="2811"/>
    </row>
    <row r="26" spans="1:14" s="2115" customFormat="1" ht="13.5" customHeight="1">
      <c r="A26" s="2847" t="s">
        <v>1861</v>
      </c>
      <c r="B26" s="3029" t="s">
        <v>2837</v>
      </c>
      <c r="C26" s="2854">
        <f ca="1">C28</f>
        <v>5952</v>
      </c>
      <c r="D26" s="464">
        <f ca="1">C27</f>
        <v>0.10009999999999999</v>
      </c>
      <c r="E26" s="466" t="s">
        <v>494</v>
      </c>
      <c r="F26" s="468">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0" t="s">
        <v>1856</v>
      </c>
      <c r="B27" s="2855" t="s">
        <v>495</v>
      </c>
      <c r="C27" s="2856">
        <f ca="1">ROUND(IF('数据-取费表'!B22&lt;=1,(1+C25)*F26*'数据-取费表'!B24,(1+C25)*(POWER((1+F26),'数据-取费表'!B24)-1)),4)</f>
        <v>0.10009999999999999</v>
      </c>
      <c r="D27" s="469"/>
      <c r="E27" s="470"/>
      <c r="F27" s="471"/>
      <c r="G27" s="2569" t="str">
        <f>IF('数据-取费表'!B22&lt;=1,"（1+取得税费率/(1+5%)）×年利率×建设期","（1+取得税费率）/(1+5%)×((1+年利率)^建设期-1)")</f>
        <v>（1+取得税费率）/(1+5%)×((1+年利率)^建设期-1)</v>
      </c>
      <c r="H27" s="2812"/>
      <c r="I27" s="2812"/>
      <c r="J27" s="2812"/>
      <c r="K27" s="276"/>
    </row>
    <row r="28" spans="1:14" s="2117" customFormat="1" ht="13.5" customHeight="1">
      <c r="A28" s="800" t="s">
        <v>1857</v>
      </c>
      <c r="B28" s="2855" t="s">
        <v>2839</v>
      </c>
      <c r="C28" s="2857">
        <f ca="1">ROUND(IF('数据-取费表'!B22&lt;=1,(C18+C19+C20+C23+C24)*F26*'数据-取费表'!B24/2,(C18+C19+C20+C23+C24)*(POWER((1+F26),'数据-取费表'!B24/2)-1)),0)</f>
        <v>5952</v>
      </c>
      <c r="D28" s="469"/>
      <c r="E28" s="470"/>
      <c r="F28" s="471"/>
      <c r="G28" s="2569" t="str">
        <f>IF('数据-取费表'!B22&lt;=1,"（1）-（4）项×年利率×建设期÷2","（1）-（4）项×((1+年利率)^(建设期÷2)-1)")</f>
        <v>（1）-（4）项×((1+年利率)^(建设期÷2)-1)</v>
      </c>
      <c r="H28" s="2812"/>
      <c r="I28" s="2812"/>
      <c r="J28" s="2812"/>
      <c r="K28" s="276"/>
    </row>
    <row r="29" spans="1:14" s="2117" customFormat="1" ht="13.5" customHeight="1">
      <c r="A29" s="2858" t="s">
        <v>1862</v>
      </c>
      <c r="B29" s="2848" t="s">
        <v>496</v>
      </c>
      <c r="C29" s="2849">
        <f ca="1">ROUND(C6*F29/(1+'数据-取费表'!C42),0)</f>
        <v>56259</v>
      </c>
      <c r="D29" s="465"/>
      <c r="E29" s="465"/>
      <c r="F29" s="3030">
        <f>'数据-取费表'!B41</f>
        <v>5.5000000000000007E-2</v>
      </c>
      <c r="G29" s="2818" t="s">
        <v>497</v>
      </c>
      <c r="H29" s="2810"/>
      <c r="I29" s="2810"/>
      <c r="J29" s="2810"/>
      <c r="K29" s="2811"/>
    </row>
    <row r="30" spans="1:14" s="2118" customFormat="1" ht="13.5" customHeight="1">
      <c r="A30" s="1631" t="s">
        <v>1863</v>
      </c>
      <c r="B30" s="2859" t="s">
        <v>499</v>
      </c>
      <c r="C30" s="2854">
        <f ca="1">C31</f>
        <v>187515</v>
      </c>
      <c r="D30" s="474">
        <f ca="1">C32</f>
        <v>0.12909999999999999</v>
      </c>
      <c r="E30" s="466" t="s">
        <v>494</v>
      </c>
      <c r="F30" s="468"/>
      <c r="G30" s="2817" t="s">
        <v>2972</v>
      </c>
      <c r="H30" s="2810"/>
      <c r="I30" s="2810"/>
      <c r="J30" s="2810"/>
      <c r="K30" s="2811"/>
    </row>
    <row r="31" spans="1:14" s="2117" customFormat="1" ht="13.5" customHeight="1">
      <c r="A31" s="800" t="s">
        <v>1856</v>
      </c>
      <c r="B31" s="2855"/>
      <c r="C31" s="447">
        <f ca="1">C18+C19+C20+C23+C24+C26+C29</f>
        <v>187515</v>
      </c>
      <c r="D31" s="469"/>
      <c r="E31" s="470"/>
      <c r="F31" s="471"/>
      <c r="G31" s="258"/>
      <c r="H31" s="2812"/>
      <c r="I31" s="2812"/>
      <c r="J31" s="2812"/>
      <c r="K31" s="276"/>
    </row>
    <row r="32" spans="1:14" s="2117" customFormat="1" ht="13.5" customHeight="1">
      <c r="A32" s="800" t="s">
        <v>1857</v>
      </c>
      <c r="B32" s="2855"/>
      <c r="C32" s="53">
        <f ca="1">ROUND(C25+D26,4)</f>
        <v>0.12909999999999999</v>
      </c>
      <c r="D32" s="469"/>
      <c r="E32" s="470"/>
      <c r="F32" s="471"/>
      <c r="G32" s="258"/>
      <c r="H32" s="2812"/>
      <c r="I32" s="2812"/>
      <c r="J32" s="2812"/>
      <c r="K32" s="276"/>
    </row>
    <row r="33" spans="1:11" s="2119" customFormat="1" ht="13.5" customHeight="1">
      <c r="A33" s="3027" t="s">
        <v>2834</v>
      </c>
      <c r="B33" s="3025" t="s">
        <v>2832</v>
      </c>
      <c r="C33" s="475">
        <f ca="1">C35</f>
        <v>12530</v>
      </c>
      <c r="D33" s="464">
        <f ca="1">C34</f>
        <v>0.10290000000000001</v>
      </c>
      <c r="E33" s="466" t="s">
        <v>494</v>
      </c>
      <c r="F33" s="476">
        <f ca="1">IF(B1="",'数据-取费表'!Q16,INDIRECT("'数据-取费表'!q"&amp;$K$1))</f>
        <v>0.1</v>
      </c>
      <c r="G33" s="2813"/>
      <c r="H33" s="2814"/>
      <c r="I33" s="2814"/>
      <c r="J33" s="2814"/>
      <c r="K33" s="2815"/>
    </row>
    <row r="34" spans="1:11" s="2120" customFormat="1" ht="13.5" customHeight="1">
      <c r="A34" s="372" t="s">
        <v>1856</v>
      </c>
      <c r="B34" s="2860" t="s">
        <v>500</v>
      </c>
      <c r="C34" s="469">
        <f ca="1">ROUND((1+C25)*F33,4)</f>
        <v>0.10290000000000001</v>
      </c>
      <c r="D34" s="469"/>
      <c r="E34" s="470"/>
      <c r="F34" s="477"/>
      <c r="G34" s="258" t="s">
        <v>2292</v>
      </c>
      <c r="H34" s="2812"/>
      <c r="I34" s="2812"/>
      <c r="J34" s="2812"/>
      <c r="K34" s="276"/>
    </row>
    <row r="35" spans="1:11" s="2120" customFormat="1" ht="13.5" customHeight="1" thickBot="1">
      <c r="A35" s="1632" t="s">
        <v>1857</v>
      </c>
      <c r="B35" s="3026" t="s">
        <v>2840</v>
      </c>
      <c r="C35" s="1624">
        <f ca="1">ROUND((C18+C19+C20+C23+C24)*F33,0)</f>
        <v>12530</v>
      </c>
      <c r="D35" s="1625"/>
      <c r="E35" s="2861"/>
      <c r="F35" s="1626"/>
      <c r="G35" s="2819"/>
      <c r="H35" s="2820"/>
      <c r="I35" s="2820"/>
      <c r="J35" s="2820"/>
      <c r="K35" s="2821"/>
    </row>
    <row r="36" spans="1:11" s="2082" customFormat="1" ht="13.5" customHeight="1" thickBot="1">
      <c r="A36" s="281" t="s">
        <v>1844</v>
      </c>
      <c r="B36" s="2823"/>
      <c r="C36" s="2862">
        <f ca="1">ROUND((C6-C30-C33)/(1+D30+D33),0)</f>
        <v>709407</v>
      </c>
      <c r="D36" s="2823"/>
      <c r="E36" s="2823"/>
      <c r="F36" s="2823"/>
      <c r="G36" s="2822" t="s">
        <v>2841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11" t="str">
        <f>项目基本情况!B1</f>
        <v>北京市顺义区后沙峪镇31-18-001e地块R2二类居住用地出让国有建设用地使用权抵押价格预评估</v>
      </c>
      <c r="C37" s="3211"/>
      <c r="D37" s="3211"/>
      <c r="E37" s="3211"/>
      <c r="F37" s="3211"/>
      <c r="G37" s="3211"/>
      <c r="H37" s="3211"/>
      <c r="I37" s="3211"/>
    </row>
    <row r="38" spans="1:9">
      <c r="A38" s="1652"/>
      <c r="B38" s="1652"/>
    </row>
    <row r="39" spans="1:9">
      <c r="A39" s="1650" t="s">
        <v>1901</v>
      </c>
      <c r="B39" s="1650" t="s">
        <v>2048</v>
      </c>
    </row>
    <row r="40" spans="1:9">
      <c r="A40" s="1650"/>
      <c r="B40" s="1650" t="str">
        <f>项目基本情况!B5</f>
        <v>北京中铁诺德隆兴置业有限公司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崔锴、赵雯</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06"/>
      <c r="C1" s="2101"/>
      <c r="D1" s="2101"/>
      <c r="E1" s="2101"/>
      <c r="F1" s="2101"/>
      <c r="G1" s="2101"/>
      <c r="H1" s="2101"/>
      <c r="I1" s="2101"/>
      <c r="J1" s="2101"/>
      <c r="K1" s="419">
        <f>MATCH(B1,'数据-取费表'!A6:A16,0)+5</f>
        <v>10</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1684</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2653</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1848</v>
      </c>
      <c r="B13" s="446" t="s">
        <v>478</v>
      </c>
      <c r="C13" s="447">
        <f ca="1">IF(B1="",'数据-取费表'!M16,INDIRECT("'数据-取费表'!M"&amp;$K$1)+INDIRECT("'数据-取费表'!t"&amp;$K$1))</f>
        <v>82804</v>
      </c>
      <c r="D13" s="448"/>
      <c r="E13" s="362"/>
      <c r="F13" s="449"/>
      <c r="G13" s="441"/>
      <c r="H13" s="444"/>
      <c r="I13" s="444"/>
      <c r="J13" s="444"/>
      <c r="K13" s="445"/>
    </row>
    <row r="14" spans="1:41" s="2113" customFormat="1" ht="13.5" customHeight="1">
      <c r="A14" s="1629" t="s">
        <v>1849</v>
      </c>
      <c r="B14" s="446" t="s">
        <v>479</v>
      </c>
      <c r="C14" s="53">
        <f ca="1">ROUND(C13*F14,0)</f>
        <v>2484</v>
      </c>
      <c r="D14" s="448"/>
      <c r="E14" s="362"/>
      <c r="F14" s="450">
        <f>'数据-取费表'!B33</f>
        <v>0.03</v>
      </c>
      <c r="G14" s="441" t="s">
        <v>501</v>
      </c>
      <c r="H14" s="444"/>
      <c r="I14" s="444"/>
      <c r="J14" s="444"/>
      <c r="K14" s="445"/>
    </row>
    <row r="15" spans="1:41" s="2113" customFormat="1" ht="13.5" customHeight="1">
      <c r="A15" s="1629" t="s">
        <v>1850</v>
      </c>
      <c r="B15" s="446" t="s">
        <v>481</v>
      </c>
      <c r="C15" s="53">
        <f ca="1">ROUND(IF(B1="",SUMIF('数据-取费表'!C:C,"住宅",'数据-取费表'!M:M)*F15,IF(INDIRECT("'数据-取费表'!c"&amp;$K$1)="住宅",INDIRECT("'数据-取费表'!M"&amp;$K$1)*F15,0)),0)</f>
        <v>2216</v>
      </c>
      <c r="D15" s="448"/>
      <c r="E15" s="362"/>
      <c r="F15" s="450">
        <f>'数据-取费表'!B34</f>
        <v>0.05</v>
      </c>
      <c r="G15" s="441" t="s">
        <v>501</v>
      </c>
      <c r="H15" s="444"/>
      <c r="I15" s="444"/>
      <c r="J15" s="444"/>
      <c r="K15" s="445"/>
    </row>
    <row r="16" spans="1:41" s="2114" customFormat="1" ht="13.5" customHeight="1">
      <c r="A16" s="1629" t="s">
        <v>1851</v>
      </c>
      <c r="B16" s="446" t="s">
        <v>483</v>
      </c>
      <c r="C16" s="53">
        <f ca="1">ROUND(D16*E16/10000,0)</f>
        <v>6340</v>
      </c>
      <c r="D16" s="448">
        <f ca="1">IF(B1="",'数据-汇总表'!E3,INDIRECT("'数据-取费表'!K"&amp;$K$1)+INDIRECT("'数据-取费表'!S"&amp;$K$1))</f>
        <v>317024.16000000015</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6" t="s">
        <v>484</v>
      </c>
      <c r="C17" s="451">
        <f ca="1">ROUND(C13*F17,0)</f>
        <v>1242</v>
      </c>
      <c r="D17" s="452"/>
      <c r="E17" s="451"/>
      <c r="F17" s="453">
        <f>'数据-取费表'!B36</f>
        <v>1.4999999999999999E-2</v>
      </c>
      <c r="G17" s="441" t="s">
        <v>501</v>
      </c>
      <c r="H17" s="454"/>
      <c r="I17" s="454"/>
      <c r="J17" s="454"/>
      <c r="K17" s="455"/>
    </row>
    <row r="18" spans="1:14" s="2116" customFormat="1" ht="13.5" customHeight="1">
      <c r="A18" s="1630" t="s">
        <v>1853</v>
      </c>
      <c r="B18" s="456" t="s">
        <v>486</v>
      </c>
      <c r="C18" s="457">
        <f ca="1">SUM(C13:C17)</f>
        <v>95086</v>
      </c>
      <c r="D18" s="458"/>
      <c r="E18" s="459"/>
      <c r="F18" s="459"/>
      <c r="G18" s="1324" t="s">
        <v>2434</v>
      </c>
      <c r="H18" s="444"/>
      <c r="I18" s="444"/>
      <c r="J18" s="444"/>
      <c r="K18" s="445"/>
    </row>
    <row r="19" spans="1:14" s="2116" customFormat="1" ht="13.5" customHeight="1">
      <c r="A19" s="1630" t="s">
        <v>1854</v>
      </c>
      <c r="B19" s="456" t="s">
        <v>492</v>
      </c>
      <c r="C19" s="457">
        <f ca="1">ROUND(C18*F19,0)</f>
        <v>1902</v>
      </c>
      <c r="D19" s="459"/>
      <c r="E19" s="459"/>
      <c r="F19" s="463">
        <f>'数据-取费表'!B37</f>
        <v>0.02</v>
      </c>
      <c r="G19" s="441" t="s">
        <v>502</v>
      </c>
      <c r="H19" s="444"/>
      <c r="I19" s="444"/>
      <c r="J19" s="444"/>
      <c r="K19" s="445"/>
      <c r="L19" s="2118"/>
      <c r="M19" s="2118"/>
      <c r="N19" s="2118"/>
    </row>
    <row r="20" spans="1:14" s="2116" customFormat="1" ht="13.5" customHeight="1">
      <c r="A20" s="1630" t="s">
        <v>1855</v>
      </c>
      <c r="B20" s="456" t="s">
        <v>503</v>
      </c>
      <c r="C20" s="3023">
        <f>F20</f>
        <v>0.02</v>
      </c>
      <c r="D20" s="466" t="s">
        <v>504</v>
      </c>
      <c r="E20" s="466"/>
      <c r="F20" s="483">
        <f>'数据-取费表'!B38</f>
        <v>0.02</v>
      </c>
      <c r="G20" s="1324" t="s">
        <v>505</v>
      </c>
      <c r="H20" s="444"/>
      <c r="I20" s="444"/>
      <c r="J20" s="444"/>
      <c r="K20" s="445"/>
      <c r="L20" s="2118"/>
      <c r="M20" s="2118"/>
      <c r="N20" s="2118"/>
    </row>
    <row r="21" spans="1:14" s="2118" customFormat="1" ht="13.5" customHeight="1">
      <c r="A21" s="1630" t="s">
        <v>1858</v>
      </c>
      <c r="B21" s="458" t="s">
        <v>493</v>
      </c>
      <c r="C21" s="467">
        <f ca="1">C22</f>
        <v>4607</v>
      </c>
      <c r="D21" s="464">
        <f ca="1">C23</f>
        <v>1E-3</v>
      </c>
      <c r="E21" s="466" t="s">
        <v>506</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2456</v>
      </c>
    </row>
    <row r="22" spans="1:14" s="2117" customFormat="1" ht="13.5" customHeight="1">
      <c r="A22" s="1629" t="s">
        <v>1848</v>
      </c>
      <c r="B22" s="1325" t="s">
        <v>2437</v>
      </c>
      <c r="C22" s="484">
        <f ca="1">ROUND(IF('数据-取费表'!B22&lt;=1,(C18+C19)*F21*'数据-取费表'!B20/2,(C18+C19)*(POWER((1+F21),'数据-取费表'!B20/2)-1)),0)</f>
        <v>4607</v>
      </c>
      <c r="D22" s="469"/>
      <c r="E22" s="470"/>
      <c r="F22" s="471"/>
      <c r="G22" s="2564" t="str">
        <f>IF('数据-取费表'!B22&lt;=1,"((1)+(2))×年利率×建设期÷2","((1)+(2))×((1+年利率)^(建设期÷2)-1)")</f>
        <v>((1)+(2))×((1+年利率)^(建设期÷2)-1)</v>
      </c>
      <c r="H22" s="454"/>
      <c r="I22" s="454"/>
      <c r="J22" s="454"/>
      <c r="K22" s="455"/>
    </row>
    <row r="23" spans="1:14" s="2117" customFormat="1" ht="13.5" customHeight="1">
      <c r="A23" s="1629" t="s">
        <v>1849</v>
      </c>
      <c r="B23" s="1325" t="s">
        <v>507</v>
      </c>
      <c r="C23" s="485">
        <f ca="1">ROUND(IF('数据-取费表'!B22&lt;=1,F20*F21*'数据-取费表'!B20/2,F20*(POWER((1+F21),'数据-取费表'!B20/2)-1)),4)</f>
        <v>1E-3</v>
      </c>
      <c r="D23" s="469"/>
      <c r="E23" s="470"/>
      <c r="F23" s="471"/>
      <c r="G23" s="2564" t="str">
        <f>IF('数据-取费表'!B22&lt;=1,"销售费用率×年利率×建设期÷2","销售费用率×((1+年利率)^(建设期÷2)-1)")</f>
        <v>销售费用率×((1+年利率)^(建设期÷2)-1)</v>
      </c>
      <c r="H23" s="454"/>
      <c r="I23" s="454"/>
      <c r="J23" s="454"/>
      <c r="K23" s="455"/>
    </row>
    <row r="24" spans="1:14" s="2117" customFormat="1" ht="13.5" customHeight="1">
      <c r="A24" s="1630" t="s">
        <v>1859</v>
      </c>
      <c r="B24" s="3025" t="s">
        <v>2833</v>
      </c>
      <c r="C24" s="475">
        <f ca="1">C25</f>
        <v>9699</v>
      </c>
      <c r="D24" s="486">
        <f ca="1">C26</f>
        <v>2E-3</v>
      </c>
      <c r="E24" s="466" t="s">
        <v>506</v>
      </c>
      <c r="F24" s="476">
        <f ca="1">IF(B1="",'数据-取费表'!Q16,INDIRECT("'数据-取费表'!q"&amp;$K$1))</f>
        <v>0.1</v>
      </c>
      <c r="G24" s="441"/>
      <c r="H24" s="444"/>
      <c r="I24" s="444"/>
      <c r="J24" s="444"/>
      <c r="K24" s="445"/>
    </row>
    <row r="25" spans="1:14" s="2117" customFormat="1" ht="13.5" customHeight="1">
      <c r="A25" s="1629" t="s">
        <v>1848</v>
      </c>
      <c r="B25" s="1325" t="s">
        <v>2438</v>
      </c>
      <c r="C25" s="487">
        <f ca="1">ROUND((C18+C19)*F24,0)</f>
        <v>9699</v>
      </c>
      <c r="D25" s="469"/>
      <c r="E25" s="470"/>
      <c r="F25" s="477"/>
      <c r="G25" s="1323" t="s">
        <v>2435</v>
      </c>
      <c r="H25" s="454"/>
      <c r="I25" s="454"/>
      <c r="J25" s="454"/>
      <c r="K25" s="455"/>
    </row>
    <row r="26" spans="1:14" s="2117" customFormat="1" ht="13.5" customHeight="1">
      <c r="A26" s="1629" t="s">
        <v>1849</v>
      </c>
      <c r="B26" s="1325" t="s">
        <v>508</v>
      </c>
      <c r="C26" s="488">
        <f ca="1">ROUND(F20*F24,4)</f>
        <v>2E-3</v>
      </c>
      <c r="D26" s="469"/>
      <c r="E26" s="478"/>
      <c r="F26" s="477"/>
      <c r="G26" s="1323" t="s">
        <v>509</v>
      </c>
      <c r="H26" s="454"/>
      <c r="I26" s="454"/>
      <c r="J26" s="454"/>
      <c r="K26" s="455"/>
    </row>
    <row r="27" spans="1:14" s="2117" customFormat="1" ht="13.5" customHeight="1">
      <c r="A27" s="1633" t="s">
        <v>1867</v>
      </c>
      <c r="B27" s="456" t="s">
        <v>510</v>
      </c>
      <c r="C27" s="3024">
        <f>ROUND(F27/(1+'数据-取费表'!C42),4)</f>
        <v>5.2400000000000002E-2</v>
      </c>
      <c r="D27" s="459" t="s">
        <v>2831</v>
      </c>
      <c r="E27" s="459"/>
      <c r="F27" s="463">
        <f>'数据-取费表'!B41</f>
        <v>5.5000000000000007E-2</v>
      </c>
      <c r="G27" s="1957" t="s">
        <v>2293</v>
      </c>
      <c r="H27" s="444"/>
      <c r="I27" s="444"/>
      <c r="J27" s="444"/>
      <c r="K27" s="445"/>
    </row>
    <row r="28" spans="1:14" s="2118" customFormat="1" ht="13.5" customHeight="1">
      <c r="A28" s="1633" t="s">
        <v>1868</v>
      </c>
      <c r="B28" s="473" t="s">
        <v>511</v>
      </c>
      <c r="C28" s="467">
        <f ca="1">ROUND((C18+C19+C21+C24)/(1-C20-D21-D24-C27),0)</f>
        <v>120370</v>
      </c>
      <c r="D28" s="474"/>
      <c r="E28" s="466"/>
      <c r="F28" s="468"/>
      <c r="G28" s="1324" t="s">
        <v>2436</v>
      </c>
      <c r="H28" s="444"/>
      <c r="I28" s="444"/>
      <c r="J28" s="444"/>
      <c r="K28" s="445"/>
    </row>
    <row r="29" spans="1:14" s="2118" customFormat="1" ht="13.5" customHeight="1">
      <c r="A29" s="1633" t="s">
        <v>1869</v>
      </c>
      <c r="B29" s="473" t="s">
        <v>512</v>
      </c>
      <c r="C29" s="489">
        <f ca="1">IF(B1="",'数据-取费表'!N16,INDIRECT("'数据-取费表'!N"&amp;$K$1))</f>
        <v>0</v>
      </c>
      <c r="D29" s="490"/>
      <c r="E29" s="491"/>
      <c r="F29" s="492"/>
      <c r="G29" s="441"/>
      <c r="H29" s="444"/>
      <c r="I29" s="444"/>
      <c r="J29" s="444"/>
      <c r="K29" s="445"/>
    </row>
    <row r="30" spans="1:14" s="2118" customFormat="1" ht="13.5" customHeight="1">
      <c r="A30" s="440">
        <v>2</v>
      </c>
      <c r="B30" s="473" t="s">
        <v>513</v>
      </c>
      <c r="C30" s="494">
        <f ca="1">ROUND(C28*C29,0)</f>
        <v>0</v>
      </c>
      <c r="D30" s="490"/>
      <c r="E30" s="495"/>
      <c r="F30" s="496"/>
      <c r="G30" s="1326" t="s">
        <v>514</v>
      </c>
      <c r="H30" s="493"/>
      <c r="I30" s="493"/>
      <c r="J30" s="444"/>
      <c r="K30" s="445"/>
    </row>
    <row r="31" spans="1:14" s="2123" customFormat="1" ht="13.5" customHeight="1">
      <c r="A31" s="2479" t="s">
        <v>1865</v>
      </c>
      <c r="B31" s="1327"/>
      <c r="C31" s="497">
        <f>ROUND(C6*F31/(1+'数据-取费表'!C42),0)</f>
        <v>0</v>
      </c>
      <c r="D31" s="1328"/>
      <c r="E31" s="1328"/>
      <c r="F31" s="498">
        <f>'数据-取费表'!B41</f>
        <v>5.5000000000000007E-2</v>
      </c>
      <c r="G31" s="1329"/>
      <c r="H31" s="1329"/>
      <c r="I31" s="1329"/>
      <c r="J31" s="1330"/>
      <c r="K31" s="1331"/>
    </row>
    <row r="32" spans="1:14" s="2082"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80" t="s">
        <v>2973</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63" sqref="F63"/>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515</v>
      </c>
      <c r="B1" s="500"/>
      <c r="C1" s="501" t="s">
        <v>516</v>
      </c>
      <c r="D1" s="502" t="s">
        <v>517</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686386</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1684</v>
      </c>
      <c r="B3" s="507">
        <f>ROUND(B2*10000/'数据-汇总表'!E3,0)</f>
        <v>21651</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519</v>
      </c>
      <c r="B4" s="424">
        <f>IF(B48="单位面积地价",C50,ROUND(B2*10000/'数据-汇总表'!D3,0))</f>
        <v>46530</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3102</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520</v>
      </c>
      <c r="B6" s="510"/>
      <c r="C6" s="3398" t="s">
        <v>521</v>
      </c>
      <c r="D6" s="3399"/>
      <c r="E6" s="3398" t="s">
        <v>522</v>
      </c>
      <c r="F6" s="3399"/>
      <c r="G6" s="3398" t="s">
        <v>523</v>
      </c>
      <c r="H6" s="3399"/>
      <c r="I6" s="3398" t="s">
        <v>524</v>
      </c>
      <c r="J6" s="3399"/>
      <c r="K6" s="511" t="s">
        <v>525</v>
      </c>
      <c r="L6" s="2130"/>
      <c r="M6" s="2129"/>
      <c r="N6" s="2129"/>
      <c r="O6" s="2131"/>
      <c r="P6" s="3400" t="s">
        <v>526</v>
      </c>
      <c r="Q6" s="3401"/>
      <c r="R6" s="3386" t="s">
        <v>522</v>
      </c>
      <c r="S6" s="3387"/>
      <c r="T6" s="3386" t="s">
        <v>523</v>
      </c>
      <c r="U6" s="3387"/>
      <c r="V6" s="3406" t="s">
        <v>524</v>
      </c>
      <c r="W6" s="3406"/>
      <c r="X6" s="1563"/>
      <c r="Y6" s="3386" t="s">
        <v>526</v>
      </c>
      <c r="Z6" s="3387"/>
      <c r="AA6" s="3381" t="s">
        <v>522</v>
      </c>
      <c r="AB6" s="3382" t="s">
        <v>523</v>
      </c>
      <c r="AC6" s="3381" t="s">
        <v>524</v>
      </c>
    </row>
    <row r="7" spans="1:30" ht="49.5" customHeight="1">
      <c r="A7" s="512"/>
      <c r="B7" s="513"/>
      <c r="C7" s="3411" t="str">
        <f>项目基本情况!F10</f>
        <v>顺义区后沙峪镇31-18-001e地块R2二类居住用地</v>
      </c>
      <c r="D7" s="3410"/>
      <c r="E7" s="3409" t="str">
        <f>Sheet1!A7</f>
        <v>顺义区高丽营镇于庄03-21、03-31地块R2二类居住用地</v>
      </c>
      <c r="F7" s="3410"/>
      <c r="G7" s="3409" t="str">
        <f>Sheet1!A5</f>
        <v>北京市顺义区后沙峪镇马头庄村SY00-0019-6005地块B1商业用地、SY00-0019-6006地块R2二类居住用地</v>
      </c>
      <c r="H7" s="3410"/>
      <c r="I7" s="3409" t="str">
        <f>Sheet1!A2</f>
        <v>北京市顺义区后沙峪镇马头庄村SY00-0019-6007地块R2二类居住用地</v>
      </c>
      <c r="J7" s="3410"/>
      <c r="K7" s="511"/>
      <c r="L7" s="2130"/>
      <c r="M7" s="2129"/>
      <c r="N7" s="2129"/>
      <c r="O7" s="2131"/>
      <c r="P7" s="3402"/>
      <c r="Q7" s="3403"/>
      <c r="R7" s="3388"/>
      <c r="S7" s="3389"/>
      <c r="T7" s="3388"/>
      <c r="U7" s="3389"/>
      <c r="V7" s="3406"/>
      <c r="W7" s="3406"/>
      <c r="X7" s="1563"/>
      <c r="Y7" s="3388"/>
      <c r="Z7" s="3389"/>
      <c r="AA7" s="3382"/>
      <c r="AB7" s="3382"/>
      <c r="AC7" s="3382"/>
    </row>
    <row r="8" spans="1:30" ht="21" thickBot="1">
      <c r="A8" s="512"/>
      <c r="B8" s="513"/>
      <c r="C8" s="3412" t="s">
        <v>3287</v>
      </c>
      <c r="D8" s="3413"/>
      <c r="E8" s="3412" t="s">
        <v>3282</v>
      </c>
      <c r="F8" s="3413"/>
      <c r="G8" s="3414" t="s">
        <v>3284</v>
      </c>
      <c r="H8" s="3408"/>
      <c r="I8" s="3407" t="s">
        <v>3285</v>
      </c>
      <c r="J8" s="3408"/>
      <c r="K8" s="511" t="s">
        <v>527</v>
      </c>
      <c r="L8" s="2130"/>
      <c r="M8" s="2129"/>
      <c r="N8" s="2129"/>
      <c r="O8" s="2131"/>
      <c r="P8" s="3404"/>
      <c r="Q8" s="3405"/>
      <c r="R8" s="3388"/>
      <c r="S8" s="3389"/>
      <c r="T8" s="3390"/>
      <c r="U8" s="3391"/>
      <c r="V8" s="3406"/>
      <c r="W8" s="3406"/>
      <c r="X8" s="1563"/>
      <c r="Y8" s="3390"/>
      <c r="Z8" s="3391"/>
      <c r="AA8" s="3383"/>
      <c r="AB8" s="3383"/>
      <c r="AC8" s="3383"/>
    </row>
    <row r="9" spans="1:30" s="1217" customFormat="1" ht="21" thickBot="1">
      <c r="A9" s="2908"/>
      <c r="B9" s="2915" t="s">
        <v>528</v>
      </c>
      <c r="C9" s="2907">
        <f>'数据-取费表'!B2</f>
        <v>43403</v>
      </c>
      <c r="D9" s="517">
        <v>100</v>
      </c>
      <c r="E9" s="518" t="str">
        <f>Sheet1!H7</f>
        <v>2017-06-22</v>
      </c>
      <c r="F9" s="519">
        <f>SUMIF(72:72,YEAR(E9)&amp;"-"&amp;INT((MONTH(E9)+2)/3),73:73)</f>
        <v>97</v>
      </c>
      <c r="G9" s="520" t="str">
        <f>Sheet1!H5</f>
        <v>2017-10-30</v>
      </c>
      <c r="H9" s="517">
        <f>SUMIF(72:72,YEAR(G9)&amp;"-"&amp;INT((MONTH(G9)+2)/3),73:73)</f>
        <v>98</v>
      </c>
      <c r="I9" s="520" t="str">
        <f>Sheet1!H2</f>
        <v>2018-07-04</v>
      </c>
      <c r="J9" s="517">
        <f>SUMIF(72:72,YEAR(I9)&amp;"-"&amp;INT((MONTH(I9)+2)/3),73:73)</f>
        <v>99.5</v>
      </c>
      <c r="K9" s="521"/>
      <c r="L9" s="2132"/>
      <c r="M9" s="2129"/>
      <c r="N9" s="2129"/>
      <c r="O9" s="2133"/>
      <c r="P9" s="3384" t="s">
        <v>529</v>
      </c>
      <c r="Q9" s="3393"/>
      <c r="R9" s="1564" t="s">
        <v>8</v>
      </c>
      <c r="S9" s="1565">
        <f t="shared" ref="S9:S17" si="0">F9</f>
        <v>97</v>
      </c>
      <c r="T9" s="1564" t="s">
        <v>8</v>
      </c>
      <c r="U9" s="1565">
        <f t="shared" ref="U9:U17" si="1">H9</f>
        <v>98</v>
      </c>
      <c r="V9" s="1564" t="s">
        <v>8</v>
      </c>
      <c r="W9" s="1565">
        <f t="shared" ref="W9:W17" si="2">J9</f>
        <v>99.5</v>
      </c>
      <c r="X9" s="1566"/>
      <c r="Y9" s="3384" t="s">
        <v>529</v>
      </c>
      <c r="Z9" s="3385"/>
      <c r="AA9" s="1567">
        <f>D9/F9</f>
        <v>1.0309278350515463</v>
      </c>
      <c r="AB9" s="1567">
        <f>D9/H9</f>
        <v>1.0204081632653061</v>
      </c>
      <c r="AC9" s="1567">
        <f>D9/J9</f>
        <v>1.0050251256281406</v>
      </c>
    </row>
    <row r="10" spans="1:30" s="1217" customFormat="1" ht="21" thickBot="1">
      <c r="A10" s="2909"/>
      <c r="B10" s="2916" t="s">
        <v>530</v>
      </c>
      <c r="C10" s="853" t="s">
        <v>531</v>
      </c>
      <c r="D10" s="517">
        <v>100</v>
      </c>
      <c r="E10" s="522" t="s">
        <v>3180</v>
      </c>
      <c r="F10" s="519">
        <f>SUMIF(75:75,E10,76:76)-SUMIF(75:75,C10,76:76)+100</f>
        <v>100</v>
      </c>
      <c r="G10" s="522" t="s">
        <v>3180</v>
      </c>
      <c r="H10" s="517">
        <f>SUMIF(75:75,G10,76:76)-SUMIF(75:75,C10,76:76)+100</f>
        <v>100</v>
      </c>
      <c r="I10" s="522" t="s">
        <v>3180</v>
      </c>
      <c r="J10" s="517">
        <f>SUMIF(75:75,I10,76:76)-SUMIF(75:75,C10,76:76)+100</f>
        <v>100</v>
      </c>
      <c r="K10" s="521"/>
      <c r="L10" s="2132"/>
      <c r="M10" s="2129"/>
      <c r="N10" s="2129"/>
      <c r="O10" s="2133"/>
      <c r="P10" s="3384" t="s">
        <v>532</v>
      </c>
      <c r="Q10" s="3385"/>
      <c r="R10" s="1564" t="s">
        <v>8</v>
      </c>
      <c r="S10" s="1565">
        <f t="shared" si="0"/>
        <v>100</v>
      </c>
      <c r="T10" s="1564" t="s">
        <v>8</v>
      </c>
      <c r="U10" s="1565">
        <f t="shared" si="1"/>
        <v>100</v>
      </c>
      <c r="V10" s="1564" t="s">
        <v>8</v>
      </c>
      <c r="W10" s="1565">
        <f t="shared" si="2"/>
        <v>100</v>
      </c>
      <c r="X10" s="1566"/>
      <c r="Y10" s="3384" t="s">
        <v>532</v>
      </c>
      <c r="Z10" s="3385"/>
      <c r="AA10" s="1567">
        <f t="shared" ref="AA10:AA47" si="3">D10/F10</f>
        <v>1</v>
      </c>
      <c r="AB10" s="1567">
        <f t="shared" ref="AB10:AB47" si="4">D10/H10</f>
        <v>1</v>
      </c>
      <c r="AC10" s="1567">
        <f t="shared" ref="AC10:AC47" si="5">D10/J10</f>
        <v>1</v>
      </c>
    </row>
    <row r="11" spans="1:30" s="1217" customFormat="1" ht="20.25">
      <c r="A11" s="2910"/>
      <c r="B11" s="2917" t="s">
        <v>2757</v>
      </c>
      <c r="C11" s="523" t="s">
        <v>922</v>
      </c>
      <c r="D11" s="251">
        <v>100</v>
      </c>
      <c r="E11" s="523" t="s">
        <v>922</v>
      </c>
      <c r="F11" s="251">
        <f>SUMIF(77:77,E11,78:78)-SUMIF(77:77,C11,78:78)+100</f>
        <v>100</v>
      </c>
      <c r="G11" s="523" t="s">
        <v>922</v>
      </c>
      <c r="H11" s="251">
        <f>SUMIF(77:77,G11,78:78)-SUMIF(77:77,C11,78:78)+100</f>
        <v>100</v>
      </c>
      <c r="I11" s="523" t="s">
        <v>922</v>
      </c>
      <c r="J11" s="251">
        <f>SUMIF(77:77,I11,78:78)-SUMIF(77:77,C11,78:78)+100</f>
        <v>100</v>
      </c>
      <c r="K11" s="521"/>
      <c r="L11" s="2132"/>
      <c r="M11" s="2129"/>
      <c r="N11" s="2129"/>
      <c r="O11" s="2134"/>
      <c r="P11" s="3392" t="s">
        <v>534</v>
      </c>
      <c r="Q11" s="1148" t="str">
        <f t="shared" ref="Q11:Q17" si="6">B11</f>
        <v>用途</v>
      </c>
      <c r="R11" s="1564" t="s">
        <v>8</v>
      </c>
      <c r="S11" s="1565">
        <f t="shared" si="0"/>
        <v>100</v>
      </c>
      <c r="T11" s="1564" t="s">
        <v>8</v>
      </c>
      <c r="U11" s="1565">
        <f t="shared" si="1"/>
        <v>100</v>
      </c>
      <c r="V11" s="1564" t="s">
        <v>8</v>
      </c>
      <c r="W11" s="1565">
        <f t="shared" si="2"/>
        <v>100</v>
      </c>
      <c r="X11" s="1566"/>
      <c r="Y11" s="3349" t="s">
        <v>535</v>
      </c>
      <c r="Z11" s="1147" t="str">
        <f t="shared" ref="Z11:Z17" si="7">Q11</f>
        <v>用途</v>
      </c>
      <c r="AA11" s="1567">
        <f t="shared" si="3"/>
        <v>1</v>
      </c>
      <c r="AB11" s="1567">
        <f t="shared" si="4"/>
        <v>1</v>
      </c>
      <c r="AC11" s="1567">
        <f t="shared" si="5"/>
        <v>1</v>
      </c>
    </row>
    <row r="12" spans="1:30" s="1335" customFormat="1" ht="27">
      <c r="A12" s="2911"/>
      <c r="B12" s="2916" t="s">
        <v>2758</v>
      </c>
      <c r="C12" s="907">
        <f>项目基本情况!D19</f>
        <v>69.75</v>
      </c>
      <c r="D12" s="252">
        <v>100</v>
      </c>
      <c r="E12" s="526" t="s">
        <v>3258</v>
      </c>
      <c r="F12" s="252">
        <f>ROUND(100/'数据-取费表'!G16,0)</f>
        <v>100</v>
      </c>
      <c r="G12" s="527" t="s">
        <v>3259</v>
      </c>
      <c r="H12" s="252">
        <f>ROUND(100/'数据-取费表'!G16,0)</f>
        <v>100</v>
      </c>
      <c r="I12" s="527" t="s">
        <v>3259</v>
      </c>
      <c r="J12" s="252">
        <f>ROUND(100/'数据-取费表'!G16,0)</f>
        <v>100</v>
      </c>
      <c r="K12" s="528"/>
      <c r="L12" s="2135"/>
      <c r="M12" s="2129"/>
      <c r="N12" s="2129"/>
      <c r="O12" s="2136"/>
      <c r="P12" s="3392"/>
      <c r="Q12" s="1148" t="str">
        <f t="shared" si="6"/>
        <v>土地使用年限（年）</v>
      </c>
      <c r="R12" s="1564" t="s">
        <v>8</v>
      </c>
      <c r="S12" s="1565">
        <f t="shared" si="0"/>
        <v>100</v>
      </c>
      <c r="T12" s="1564" t="s">
        <v>8</v>
      </c>
      <c r="U12" s="1565">
        <f t="shared" si="1"/>
        <v>100</v>
      </c>
      <c r="V12" s="1564" t="s">
        <v>8</v>
      </c>
      <c r="W12" s="1565">
        <f t="shared" si="2"/>
        <v>100</v>
      </c>
      <c r="X12" s="1566"/>
      <c r="Y12" s="3349"/>
      <c r="Z12" s="1147" t="str">
        <f t="shared" si="7"/>
        <v>土地使用年限（年）</v>
      </c>
      <c r="AA12" s="1567">
        <f t="shared" si="3"/>
        <v>1</v>
      </c>
      <c r="AB12" s="1567">
        <f t="shared" si="4"/>
        <v>1</v>
      </c>
      <c r="AC12" s="1567">
        <f t="shared" si="5"/>
        <v>1</v>
      </c>
    </row>
    <row r="13" spans="1:30" ht="21" thickBot="1">
      <c r="A13" s="2912"/>
      <c r="B13" s="2916" t="s">
        <v>2759</v>
      </c>
      <c r="C13" s="531">
        <f>'数据-汇总表'!I6</f>
        <v>1.01</v>
      </c>
      <c r="D13" s="252">
        <v>100</v>
      </c>
      <c r="E13" s="530">
        <f>ROUND(Sheet1!F7,2)</f>
        <v>1.01</v>
      </c>
      <c r="F13" s="252">
        <f>LOOKUP(E13,82:82,83:83)-LOOKUP(C13,82:82,83:83)+100</f>
        <v>100</v>
      </c>
      <c r="G13" s="531">
        <f>Sheet1!F5</f>
        <v>1.83</v>
      </c>
      <c r="H13" s="252">
        <f>LOOKUP(G13,82:82,83:83)-LOOKUP(C13,82:82,83:83)+100</f>
        <v>99</v>
      </c>
      <c r="I13" s="530">
        <f>Sheet1!F2</f>
        <v>1.8</v>
      </c>
      <c r="J13" s="252">
        <f>LOOKUP(I13,82:82,83:83)-LOOKUP(C13,82:82,83:83)+100</f>
        <v>99</v>
      </c>
      <c r="K13" s="532">
        <v>1</v>
      </c>
      <c r="L13" s="2137"/>
      <c r="M13" s="2129"/>
      <c r="N13" s="2129"/>
      <c r="O13" s="2138"/>
      <c r="P13" s="3392"/>
      <c r="Q13" s="1148" t="str">
        <f t="shared" si="6"/>
        <v>容积率</v>
      </c>
      <c r="R13" s="1564" t="s">
        <v>8</v>
      </c>
      <c r="S13" s="1565">
        <f t="shared" si="0"/>
        <v>100</v>
      </c>
      <c r="T13" s="1564" t="s">
        <v>8</v>
      </c>
      <c r="U13" s="1565">
        <f t="shared" si="1"/>
        <v>99</v>
      </c>
      <c r="V13" s="1564" t="s">
        <v>8</v>
      </c>
      <c r="W13" s="1565">
        <f t="shared" si="2"/>
        <v>99</v>
      </c>
      <c r="X13" s="1566"/>
      <c r="Y13" s="3349"/>
      <c r="Z13" s="1147" t="str">
        <f t="shared" si="7"/>
        <v>容积率</v>
      </c>
      <c r="AA13" s="1567">
        <f t="shared" si="3"/>
        <v>1</v>
      </c>
      <c r="AB13" s="1567">
        <f t="shared" si="4"/>
        <v>1.0101010101010102</v>
      </c>
      <c r="AC13" s="1567">
        <f t="shared" si="5"/>
        <v>1.0101010101010102</v>
      </c>
    </row>
    <row r="14" spans="1:30" s="1217" customFormat="1" ht="21" hidden="1" thickBot="1">
      <c r="A14" s="2909"/>
      <c r="B14" s="2918" t="s">
        <v>2760</v>
      </c>
      <c r="C14" s="2905"/>
      <c r="D14" s="535">
        <v>100</v>
      </c>
      <c r="E14" s="1371"/>
      <c r="F14" s="252">
        <f>SUMIF(84:84,E14,85:85)-SUMIF(84:84,C14,85:85)+100</f>
        <v>100</v>
      </c>
      <c r="G14" s="527"/>
      <c r="H14" s="252">
        <f>SUMIF(84:84,G14,85:85)-SUMIF(84:84,C14,85:85)+100</f>
        <v>100</v>
      </c>
      <c r="I14" s="526"/>
      <c r="J14" s="252">
        <f>SUMIF(84:84,I14,85:85)-SUMIF(84:84,C14,85:85)+100</f>
        <v>100</v>
      </c>
      <c r="K14" s="528"/>
      <c r="L14" s="2132"/>
      <c r="M14" s="2129"/>
      <c r="N14" s="2129"/>
      <c r="O14" s="2134"/>
      <c r="P14" s="3392"/>
      <c r="Q14" s="1148" t="str">
        <f t="shared" si="6"/>
        <v>配建</v>
      </c>
      <c r="R14" s="1564" t="s">
        <v>8</v>
      </c>
      <c r="S14" s="1565">
        <f t="shared" si="0"/>
        <v>100</v>
      </c>
      <c r="T14" s="1564" t="s">
        <v>8</v>
      </c>
      <c r="U14" s="1565">
        <f t="shared" si="1"/>
        <v>100</v>
      </c>
      <c r="V14" s="1564" t="s">
        <v>8</v>
      </c>
      <c r="W14" s="1565">
        <f t="shared" si="2"/>
        <v>100</v>
      </c>
      <c r="X14" s="1566"/>
      <c r="Y14" s="3349"/>
      <c r="Z14" s="1147" t="str">
        <f t="shared" si="7"/>
        <v>配建</v>
      </c>
      <c r="AA14" s="1567">
        <f>D14/F14</f>
        <v>1</v>
      </c>
      <c r="AB14" s="1567">
        <f>D14/H14</f>
        <v>1</v>
      </c>
      <c r="AC14" s="1567">
        <f>D14/J14</f>
        <v>1</v>
      </c>
    </row>
    <row r="15" spans="1:30" ht="20.25" hidden="1">
      <c r="A15" s="2913"/>
      <c r="B15" s="2919">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392"/>
      <c r="Q15" s="1148">
        <f t="shared" si="6"/>
        <v>111</v>
      </c>
      <c r="R15" s="1564" t="s">
        <v>8</v>
      </c>
      <c r="S15" s="1565">
        <f t="shared" si="0"/>
        <v>100</v>
      </c>
      <c r="T15" s="1564" t="s">
        <v>8</v>
      </c>
      <c r="U15" s="1565">
        <f t="shared" si="1"/>
        <v>100</v>
      </c>
      <c r="V15" s="1564" t="s">
        <v>8</v>
      </c>
      <c r="W15" s="1565">
        <f t="shared" si="2"/>
        <v>100</v>
      </c>
      <c r="X15" s="1566"/>
      <c r="Y15" s="3349"/>
      <c r="Z15" s="1147">
        <f t="shared" si="7"/>
        <v>111</v>
      </c>
      <c r="AA15" s="1567">
        <f>D15/F15</f>
        <v>1</v>
      </c>
      <c r="AB15" s="1567">
        <f>D15/H15</f>
        <v>1</v>
      </c>
      <c r="AC15" s="1567">
        <f>D15/J15</f>
        <v>1</v>
      </c>
    </row>
    <row r="16" spans="1:30" ht="21" hidden="1" thickBot="1">
      <c r="A16" s="2914"/>
      <c r="B16" s="2920">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392"/>
      <c r="Q16" s="1148">
        <f t="shared" si="6"/>
        <v>111</v>
      </c>
      <c r="R16" s="1564" t="s">
        <v>8</v>
      </c>
      <c r="S16" s="1565">
        <f t="shared" si="0"/>
        <v>100</v>
      </c>
      <c r="T16" s="1564" t="s">
        <v>8</v>
      </c>
      <c r="U16" s="1565">
        <f t="shared" si="1"/>
        <v>100</v>
      </c>
      <c r="V16" s="1564" t="s">
        <v>8</v>
      </c>
      <c r="W16" s="1565">
        <f t="shared" si="2"/>
        <v>100</v>
      </c>
      <c r="X16" s="1566"/>
      <c r="Y16" s="3349"/>
      <c r="Z16" s="1147">
        <f t="shared" si="7"/>
        <v>111</v>
      </c>
      <c r="AA16" s="1567">
        <f>D16/F16</f>
        <v>1</v>
      </c>
      <c r="AB16" s="1567">
        <f>D16/H16</f>
        <v>1</v>
      </c>
      <c r="AC16" s="1567">
        <f>D16/J16</f>
        <v>1</v>
      </c>
    </row>
    <row r="17" spans="1:29" ht="85.5">
      <c r="A17" s="2906" t="s">
        <v>2755</v>
      </c>
      <c r="B17" s="575" t="s">
        <v>294</v>
      </c>
      <c r="C17" s="545" t="str">
        <f>估价对象房地状况!C15</f>
        <v>估价对象周边1公里内仅有龙湖滟澜山、优山美地D区等，综合评价居住社区成熟度较好</v>
      </c>
      <c r="D17" s="548">
        <v>100</v>
      </c>
      <c r="E17" s="549" t="s">
        <v>3214</v>
      </c>
      <c r="F17" s="546">
        <f>SUMIF(90:90,E18,91:91)-SUMIF(90:90,C18,91:91)+100</f>
        <v>98</v>
      </c>
      <c r="G17" s="547" t="s">
        <v>3173</v>
      </c>
      <c r="H17" s="546">
        <f>SUMIF(90:90,G18,91:91)-SUMIF(90:90,C18,91:91)+100</f>
        <v>98</v>
      </c>
      <c r="I17" s="547" t="s">
        <v>3173</v>
      </c>
      <c r="J17" s="546">
        <f>SUMIF(90:90,I18,91:91)-SUMIF(90:90,C18,91:91)+100</f>
        <v>98</v>
      </c>
      <c r="K17" s="532">
        <v>2</v>
      </c>
      <c r="L17" s="2139"/>
      <c r="M17" s="2129"/>
      <c r="N17" s="2129"/>
      <c r="O17" s="2138"/>
      <c r="P17" s="3394" t="s">
        <v>539</v>
      </c>
      <c r="Q17" s="1568" t="str">
        <f t="shared" si="6"/>
        <v>居住社区成熟度</v>
      </c>
      <c r="R17" s="1569" t="s">
        <v>8</v>
      </c>
      <c r="S17" s="1570">
        <f t="shared" si="0"/>
        <v>98</v>
      </c>
      <c r="T17" s="1569" t="s">
        <v>8</v>
      </c>
      <c r="U17" s="1570">
        <f t="shared" si="1"/>
        <v>98</v>
      </c>
      <c r="V17" s="1569" t="s">
        <v>8</v>
      </c>
      <c r="W17" s="1570">
        <f t="shared" si="2"/>
        <v>98</v>
      </c>
      <c r="X17" s="1563"/>
      <c r="Y17" s="3394" t="s">
        <v>539</v>
      </c>
      <c r="Z17" s="1571" t="str">
        <f t="shared" si="7"/>
        <v>居住社区成熟度</v>
      </c>
      <c r="AA17" s="1572">
        <f t="shared" si="3"/>
        <v>1.0204081632653061</v>
      </c>
      <c r="AB17" s="1572">
        <f t="shared" si="4"/>
        <v>1.0204081632653061</v>
      </c>
      <c r="AC17" s="1572">
        <f t="shared" si="5"/>
        <v>1.0204081632653061</v>
      </c>
    </row>
    <row r="18" spans="1:29" ht="20.25">
      <c r="A18" s="529"/>
      <c r="B18" s="550"/>
      <c r="C18" s="551" t="s">
        <v>3176</v>
      </c>
      <c r="D18" s="554"/>
      <c r="E18" s="555" t="s">
        <v>3174</v>
      </c>
      <c r="F18" s="552"/>
      <c r="G18" s="553" t="s">
        <v>3174</v>
      </c>
      <c r="H18" s="556"/>
      <c r="I18" s="553" t="s">
        <v>3174</v>
      </c>
      <c r="J18" s="552"/>
      <c r="K18" s="528"/>
      <c r="L18" s="2139"/>
      <c r="M18" s="2129"/>
      <c r="N18" s="2129"/>
      <c r="O18" s="2138"/>
      <c r="P18" s="3395"/>
      <c r="Q18" s="1568"/>
      <c r="R18" s="1569"/>
      <c r="S18" s="1570"/>
      <c r="T18" s="1569"/>
      <c r="U18" s="1570"/>
      <c r="V18" s="1569"/>
      <c r="W18" s="1570"/>
      <c r="X18" s="1563"/>
      <c r="Y18" s="3395"/>
      <c r="Z18" s="1571"/>
      <c r="AA18" s="1572">
        <v>1</v>
      </c>
      <c r="AB18" s="1572">
        <v>1</v>
      </c>
      <c r="AC18" s="1572">
        <v>1</v>
      </c>
    </row>
    <row r="19" spans="1:29" ht="20.25" hidden="1">
      <c r="A19" s="529"/>
      <c r="B19" s="557" t="s">
        <v>540</v>
      </c>
      <c r="C19" s="558" t="str">
        <f>估价对象房地状况!C16</f>
        <v>——</v>
      </c>
      <c r="D19" s="560">
        <v>100</v>
      </c>
      <c r="E19" s="561"/>
      <c r="F19" s="556">
        <f>SUMIF(92:92,E20,93:93)-SUMIF(92:92,C20,93:93)+100</f>
        <v>100</v>
      </c>
      <c r="G19" s="559"/>
      <c r="H19" s="562">
        <f>SUMIF(92:92,G20,93:93)-SUMIF(92:92,C20,93:93)+100</f>
        <v>100</v>
      </c>
      <c r="I19" s="559"/>
      <c r="J19" s="562">
        <f>SUMIF(92:92,I20,93:93)-SUMIF(92:92,C20,93:93)+100</f>
        <v>100</v>
      </c>
      <c r="K19" s="532"/>
      <c r="L19" s="2139"/>
      <c r="M19" s="2129"/>
      <c r="N19" s="2129"/>
      <c r="O19" s="2138"/>
      <c r="P19" s="3395"/>
      <c r="Q19" s="1568" t="str">
        <f>B19</f>
        <v>商业繁华度</v>
      </c>
      <c r="R19" s="1569" t="s">
        <v>8</v>
      </c>
      <c r="S19" s="1570">
        <f>F19</f>
        <v>100</v>
      </c>
      <c r="T19" s="1569" t="s">
        <v>8</v>
      </c>
      <c r="U19" s="1570">
        <f>H19</f>
        <v>100</v>
      </c>
      <c r="V19" s="1569" t="s">
        <v>8</v>
      </c>
      <c r="W19" s="1570">
        <f>J19</f>
        <v>100</v>
      </c>
      <c r="X19" s="1563"/>
      <c r="Y19" s="3395"/>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5"/>
      <c r="J20" s="552"/>
      <c r="K20" s="528"/>
      <c r="L20" s="2139"/>
      <c r="M20" s="2129"/>
      <c r="N20" s="2129"/>
      <c r="O20" s="2138"/>
      <c r="P20" s="3395"/>
      <c r="Q20" s="1568"/>
      <c r="R20" s="1569"/>
      <c r="S20" s="1570"/>
      <c r="T20" s="1569"/>
      <c r="U20" s="1570"/>
      <c r="V20" s="1569"/>
      <c r="W20" s="1570"/>
      <c r="X20" s="1563"/>
      <c r="Y20" s="3395"/>
      <c r="Z20" s="1571"/>
      <c r="AA20" s="1572">
        <v>1</v>
      </c>
      <c r="AB20" s="1572">
        <v>1</v>
      </c>
      <c r="AC20" s="1572">
        <v>1</v>
      </c>
    </row>
    <row r="21" spans="1:29" ht="20.25" hidden="1">
      <c r="A21" s="529"/>
      <c r="B21" s="557" t="s">
        <v>541</v>
      </c>
      <c r="C21" s="558" t="str">
        <f>估价对象房地状况!C17</f>
        <v>——</v>
      </c>
      <c r="D21" s="568">
        <v>100</v>
      </c>
      <c r="E21" s="569"/>
      <c r="F21" s="562">
        <f>SUMIF(94:94,E22,95:95)-SUMIF(94:94,C22,95:95)+100</f>
        <v>100</v>
      </c>
      <c r="G21" s="567"/>
      <c r="H21" s="556">
        <f>SUMIF(94:94,G22,95:95)-SUMIF(94:94,C22,95:95)+100</f>
        <v>100</v>
      </c>
      <c r="I21" s="567"/>
      <c r="J21" s="556">
        <f>SUMIF(94:94,I22,95:95)-SUMIF(94:94,C22,95:95)+100</f>
        <v>100</v>
      </c>
      <c r="K21" s="532"/>
      <c r="L21" s="2139"/>
      <c r="M21" s="2129"/>
      <c r="N21" s="2129"/>
      <c r="O21" s="2138"/>
      <c r="P21" s="3395"/>
      <c r="Q21" s="1568" t="str">
        <f>B21</f>
        <v>办公集聚程度</v>
      </c>
      <c r="R21" s="1569" t="s">
        <v>8</v>
      </c>
      <c r="S21" s="1570">
        <f>F21</f>
        <v>100</v>
      </c>
      <c r="T21" s="1569" t="s">
        <v>8</v>
      </c>
      <c r="U21" s="1570">
        <f>H21</f>
        <v>100</v>
      </c>
      <c r="V21" s="1569" t="s">
        <v>8</v>
      </c>
      <c r="W21" s="1570">
        <f>J21</f>
        <v>100</v>
      </c>
      <c r="X21" s="1563"/>
      <c r="Y21" s="3395"/>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3"/>
      <c r="J22" s="552"/>
      <c r="K22" s="528"/>
      <c r="L22" s="2139"/>
      <c r="M22" s="2129"/>
      <c r="N22" s="2129"/>
      <c r="O22" s="2138"/>
      <c r="P22" s="3395"/>
      <c r="Q22" s="1568"/>
      <c r="R22" s="1569"/>
      <c r="S22" s="1570"/>
      <c r="T22" s="1569"/>
      <c r="U22" s="1570"/>
      <c r="V22" s="1569"/>
      <c r="W22" s="1570"/>
      <c r="X22" s="1563"/>
      <c r="Y22" s="3395"/>
      <c r="Z22" s="1571"/>
      <c r="AA22" s="1572">
        <v>1</v>
      </c>
      <c r="AB22" s="1572">
        <v>1</v>
      </c>
      <c r="AC22" s="1572">
        <v>1</v>
      </c>
    </row>
    <row r="23" spans="1:29" ht="128.25">
      <c r="A23" s="529"/>
      <c r="B23" s="557" t="s">
        <v>542</v>
      </c>
      <c r="C23" s="570" t="str">
        <f>估价对象房地状况!C18</f>
        <v>估价对象周边1公里内公共交通通达情况较好，有942、855路公交线路、距京承高速公路1.3公里、停车较便捷，综合评价交通便捷度较好</v>
      </c>
      <c r="D23" s="560">
        <v>100</v>
      </c>
      <c r="E23" s="561" t="s">
        <v>3216</v>
      </c>
      <c r="F23" s="562">
        <f>SUMIF(96:96,E24,97:97)-SUMIF(96:96,C24,97:97)+100</f>
        <v>100</v>
      </c>
      <c r="G23" s="559" t="s">
        <v>3215</v>
      </c>
      <c r="H23" s="556">
        <f>SUMIF(96:96,G24,97:97)-SUMIF(96:96,C24,97:97)+100</f>
        <v>98</v>
      </c>
      <c r="I23" s="559" t="s">
        <v>3175</v>
      </c>
      <c r="J23" s="556">
        <f>SUMIF(96:96,I24,97:97)-SUMIF(96:96,C24,97:97)+100</f>
        <v>98</v>
      </c>
      <c r="K23" s="532">
        <v>2</v>
      </c>
      <c r="L23" s="2139"/>
      <c r="M23" s="2129"/>
      <c r="N23" s="2129"/>
      <c r="O23" s="2138"/>
      <c r="P23" s="3395"/>
      <c r="Q23" s="1568" t="str">
        <f>B23</f>
        <v>交通便捷度</v>
      </c>
      <c r="R23" s="1569" t="s">
        <v>8</v>
      </c>
      <c r="S23" s="1570">
        <f>F23</f>
        <v>100</v>
      </c>
      <c r="T23" s="1569" t="s">
        <v>8</v>
      </c>
      <c r="U23" s="1570">
        <f>H23</f>
        <v>98</v>
      </c>
      <c r="V23" s="1569" t="s">
        <v>8</v>
      </c>
      <c r="W23" s="1570">
        <f>J23</f>
        <v>98</v>
      </c>
      <c r="X23" s="1563"/>
      <c r="Y23" s="3395"/>
      <c r="Z23" s="1571" t="str">
        <f>Q23</f>
        <v>交通便捷度</v>
      </c>
      <c r="AA23" s="1572">
        <f t="shared" si="3"/>
        <v>1</v>
      </c>
      <c r="AB23" s="1572">
        <f t="shared" si="4"/>
        <v>1.0204081632653061</v>
      </c>
      <c r="AC23" s="1572">
        <f t="shared" si="5"/>
        <v>1.0204081632653061</v>
      </c>
    </row>
    <row r="24" spans="1:29" ht="20.25">
      <c r="A24" s="529"/>
      <c r="B24" s="575"/>
      <c r="C24" s="551" t="s">
        <v>3176</v>
      </c>
      <c r="D24" s="554"/>
      <c r="E24" s="555" t="s">
        <v>3176</v>
      </c>
      <c r="F24" s="552"/>
      <c r="G24" s="553" t="s">
        <v>3174</v>
      </c>
      <c r="H24" s="552"/>
      <c r="I24" s="553" t="s">
        <v>3174</v>
      </c>
      <c r="J24" s="552"/>
      <c r="K24" s="528"/>
      <c r="L24" s="2139"/>
      <c r="M24" s="2129"/>
      <c r="N24" s="2129"/>
      <c r="O24" s="2138"/>
      <c r="P24" s="3395"/>
      <c r="Q24" s="1568"/>
      <c r="R24" s="1569"/>
      <c r="S24" s="1570"/>
      <c r="T24" s="1569"/>
      <c r="U24" s="1570"/>
      <c r="V24" s="1569"/>
      <c r="W24" s="1570"/>
      <c r="X24" s="1563"/>
      <c r="Y24" s="3395"/>
      <c r="Z24" s="1571"/>
      <c r="AA24" s="1572">
        <v>1</v>
      </c>
      <c r="AB24" s="1572">
        <v>1</v>
      </c>
      <c r="AC24" s="1572">
        <v>1</v>
      </c>
    </row>
    <row r="25" spans="1:29" ht="27">
      <c r="A25" s="512"/>
      <c r="B25" s="256" t="s">
        <v>543</v>
      </c>
      <c r="C25" s="570" t="str">
        <f>估价对象房地状况!C19</f>
        <v>较一致</v>
      </c>
      <c r="D25" s="560">
        <v>100</v>
      </c>
      <c r="E25" s="3188" t="s">
        <v>3218</v>
      </c>
      <c r="F25" s="562">
        <f>SUMIF(98:98,E26,99:99)-SUMIF(98:98,C26,99:99)+100</f>
        <v>100</v>
      </c>
      <c r="G25" s="3183" t="s">
        <v>3219</v>
      </c>
      <c r="H25" s="556">
        <f>SUMIF(98:98,G26,99:99)-SUMIF(98:98,C26,99:99)+100</f>
        <v>100</v>
      </c>
      <c r="I25" s="3183" t="s">
        <v>3219</v>
      </c>
      <c r="J25" s="556">
        <f>SUMIF(98:98,I26,99:99)-SUMIF(98:98,C26,99:99)+100</f>
        <v>100</v>
      </c>
      <c r="K25" s="532">
        <v>2</v>
      </c>
      <c r="L25" s="2139"/>
      <c r="M25" s="2129"/>
      <c r="N25" s="2129"/>
      <c r="O25" s="2138"/>
      <c r="P25" s="3395"/>
      <c r="Q25" s="1568" t="str">
        <f t="shared" ref="Q25:Q39" si="8">B25</f>
        <v>区域土地利用方向</v>
      </c>
      <c r="R25" s="1569" t="s">
        <v>8</v>
      </c>
      <c r="S25" s="1570">
        <f>F25</f>
        <v>100</v>
      </c>
      <c r="T25" s="1569" t="s">
        <v>8</v>
      </c>
      <c r="U25" s="1570">
        <f>H25</f>
        <v>100</v>
      </c>
      <c r="V25" s="1569" t="s">
        <v>8</v>
      </c>
      <c r="W25" s="1570">
        <f>J25</f>
        <v>100</v>
      </c>
      <c r="X25" s="1563"/>
      <c r="Y25" s="3395"/>
      <c r="Z25" s="1571" t="str">
        <f>Q25</f>
        <v>区域土地利用方向</v>
      </c>
      <c r="AA25" s="1572">
        <f t="shared" si="3"/>
        <v>1</v>
      </c>
      <c r="AB25" s="1572">
        <f t="shared" si="4"/>
        <v>1</v>
      </c>
      <c r="AC25" s="1572">
        <f t="shared" si="5"/>
        <v>1</v>
      </c>
    </row>
    <row r="26" spans="1:29" ht="20.25">
      <c r="A26" s="512"/>
      <c r="B26" s="1004"/>
      <c r="C26" s="551" t="s">
        <v>3176</v>
      </c>
      <c r="D26" s="554"/>
      <c r="E26" s="555" t="s">
        <v>3176</v>
      </c>
      <c r="F26" s="552"/>
      <c r="G26" s="553" t="s">
        <v>3176</v>
      </c>
      <c r="H26" s="552"/>
      <c r="I26" s="553" t="s">
        <v>3176</v>
      </c>
      <c r="J26" s="552"/>
      <c r="K26" s="528"/>
      <c r="L26" s="2139"/>
      <c r="M26" s="2129"/>
      <c r="N26" s="2129"/>
      <c r="O26" s="2138"/>
      <c r="P26" s="3395"/>
      <c r="Q26" s="1568"/>
      <c r="R26" s="1569"/>
      <c r="S26" s="1570"/>
      <c r="T26" s="1569"/>
      <c r="U26" s="1570"/>
      <c r="V26" s="1569"/>
      <c r="W26" s="1570"/>
      <c r="X26" s="1563"/>
      <c r="Y26" s="3395"/>
      <c r="Z26" s="1571"/>
      <c r="AA26" s="1572"/>
      <c r="AB26" s="1572"/>
      <c r="AC26" s="1572"/>
    </row>
    <row r="27" spans="1:29" ht="93.75" customHeight="1">
      <c r="A27" s="512"/>
      <c r="B27" s="575" t="s">
        <v>544</v>
      </c>
      <c r="C27" s="558" t="str">
        <f>估价对象房地状况!C20</f>
        <v>区域自然环境：温榆河；人文环境：北京国际标准舞学院；综合评价环境状况较好</v>
      </c>
      <c r="D27" s="560">
        <v>100</v>
      </c>
      <c r="E27" s="3188" t="s">
        <v>3221</v>
      </c>
      <c r="F27" s="556">
        <f>SUMIF(100:100,E28,101:101)-SUMIF(100:100,C28,101:101)+100</f>
        <v>100</v>
      </c>
      <c r="G27" s="3183" t="s">
        <v>3220</v>
      </c>
      <c r="H27" s="556">
        <f>SUMIF(100:100,G28,101:101)-SUMIF(100:100,C28,101:101)+100</f>
        <v>100</v>
      </c>
      <c r="I27" s="3183" t="s">
        <v>3177</v>
      </c>
      <c r="J27" s="556">
        <f>SUMIF(100:100,I28,101:101)-SUMIF(100:100,C28,101:101)+100</f>
        <v>100</v>
      </c>
      <c r="K27" s="532">
        <v>3</v>
      </c>
      <c r="L27" s="2139"/>
      <c r="M27" s="2129"/>
      <c r="N27" s="2129"/>
      <c r="O27" s="2138"/>
      <c r="P27" s="3395"/>
      <c r="Q27" s="1568" t="str">
        <f t="shared" si="8"/>
        <v>自然及人文环境状况</v>
      </c>
      <c r="R27" s="1569" t="s">
        <v>8</v>
      </c>
      <c r="S27" s="1570">
        <f>F27</f>
        <v>100</v>
      </c>
      <c r="T27" s="1569" t="s">
        <v>8</v>
      </c>
      <c r="U27" s="1570">
        <f>H27</f>
        <v>100</v>
      </c>
      <c r="V27" s="1569" t="s">
        <v>8</v>
      </c>
      <c r="W27" s="1570">
        <f>J27</f>
        <v>100</v>
      </c>
      <c r="X27" s="1563"/>
      <c r="Y27" s="3395"/>
      <c r="Z27" s="1571" t="str">
        <f>Q27</f>
        <v>自然及人文环境状况</v>
      </c>
      <c r="AA27" s="1572">
        <f t="shared" si="3"/>
        <v>1</v>
      </c>
      <c r="AB27" s="1572">
        <f t="shared" si="4"/>
        <v>1</v>
      </c>
      <c r="AC27" s="1572">
        <f t="shared" si="5"/>
        <v>1</v>
      </c>
    </row>
    <row r="28" spans="1:29" ht="20.25">
      <c r="A28" s="512"/>
      <c r="B28" s="563"/>
      <c r="C28" s="551" t="s">
        <v>3176</v>
      </c>
      <c r="D28" s="554"/>
      <c r="E28" s="573" t="s">
        <v>3176</v>
      </c>
      <c r="F28" s="552"/>
      <c r="G28" s="551" t="s">
        <v>3176</v>
      </c>
      <c r="H28" s="552"/>
      <c r="I28" s="551" t="s">
        <v>3176</v>
      </c>
      <c r="J28" s="552"/>
      <c r="K28" s="528"/>
      <c r="L28" s="2139"/>
      <c r="M28" s="2129"/>
      <c r="N28" s="2129"/>
      <c r="O28" s="2138"/>
      <c r="P28" s="3395"/>
      <c r="Q28" s="1568"/>
      <c r="R28" s="1569"/>
      <c r="S28" s="1570"/>
      <c r="T28" s="1569"/>
      <c r="U28" s="1570"/>
      <c r="V28" s="1569"/>
      <c r="W28" s="1570"/>
      <c r="X28" s="1563"/>
      <c r="Y28" s="3395"/>
      <c r="Z28" s="1571"/>
      <c r="AA28" s="1572">
        <v>1</v>
      </c>
      <c r="AB28" s="1572">
        <v>1</v>
      </c>
      <c r="AC28" s="1572">
        <v>1</v>
      </c>
    </row>
    <row r="29" spans="1:29" s="1217" customFormat="1" ht="95.25">
      <c r="A29" s="574"/>
      <c r="B29" s="2588" t="s">
        <v>2550</v>
      </c>
      <c r="C29" s="570" t="str">
        <f>估价对象房地状况!C21</f>
        <v>估价对象所在区域公共配套设施齐备情况较差，2公里内有银行、社区医院等</v>
      </c>
      <c r="D29" s="560">
        <v>100</v>
      </c>
      <c r="E29" s="561" t="s">
        <v>3223</v>
      </c>
      <c r="F29" s="556">
        <f>SUMIF(102:102,E30,103:103)-SUMIF(102:102,C30,103:103)+100</f>
        <v>101.5</v>
      </c>
      <c r="G29" s="559" t="s">
        <v>3222</v>
      </c>
      <c r="H29" s="556">
        <f>SUMIF(102:102,G30,103:103)-SUMIF(102:102,C30,103:103)+100</f>
        <v>101.5</v>
      </c>
      <c r="I29" s="559" t="s">
        <v>3178</v>
      </c>
      <c r="J29" s="556">
        <f>SUMIF(102:102,I30,103:103)-SUMIF(102:102,C30,103:103)+100</f>
        <v>101.5</v>
      </c>
      <c r="K29" s="532">
        <v>1.5</v>
      </c>
      <c r="L29" s="2132"/>
      <c r="M29" s="2129"/>
      <c r="N29" s="2129"/>
      <c r="O29" s="2134"/>
      <c r="P29" s="3395"/>
      <c r="Q29" s="1148" t="str">
        <f t="shared" si="8"/>
        <v>公共配套设施</v>
      </c>
      <c r="R29" s="1564" t="s">
        <v>8</v>
      </c>
      <c r="S29" s="1565">
        <f>F29</f>
        <v>101.5</v>
      </c>
      <c r="T29" s="1564" t="s">
        <v>8</v>
      </c>
      <c r="U29" s="1565">
        <f>H29</f>
        <v>101.5</v>
      </c>
      <c r="V29" s="1564" t="s">
        <v>8</v>
      </c>
      <c r="W29" s="1565">
        <f>J29</f>
        <v>101.5</v>
      </c>
      <c r="X29" s="1566"/>
      <c r="Y29" s="3395"/>
      <c r="Z29" s="1147" t="str">
        <f>Q29</f>
        <v>公共配套设施</v>
      </c>
      <c r="AA29" s="1572">
        <f>D29/F29</f>
        <v>0.98522167487684731</v>
      </c>
      <c r="AB29" s="1572">
        <f>D29/H29</f>
        <v>0.98522167487684731</v>
      </c>
      <c r="AC29" s="1572">
        <f>D29/J29</f>
        <v>0.98522167487684731</v>
      </c>
    </row>
    <row r="30" spans="1:29" s="1217" customFormat="1" ht="20.25">
      <c r="A30" s="574"/>
      <c r="B30" s="563"/>
      <c r="C30" s="576" t="s">
        <v>3211</v>
      </c>
      <c r="D30" s="554"/>
      <c r="E30" s="573" t="s">
        <v>3174</v>
      </c>
      <c r="F30" s="552"/>
      <c r="G30" s="551" t="s">
        <v>3174</v>
      </c>
      <c r="H30" s="552"/>
      <c r="I30" s="551" t="s">
        <v>3174</v>
      </c>
      <c r="J30" s="552"/>
      <c r="K30" s="528"/>
      <c r="L30" s="2132"/>
      <c r="M30" s="2129"/>
      <c r="N30" s="2129"/>
      <c r="O30" s="2134"/>
      <c r="P30" s="3395"/>
      <c r="Q30" s="1148"/>
      <c r="R30" s="1564"/>
      <c r="S30" s="1565"/>
      <c r="T30" s="1564"/>
      <c r="U30" s="1565"/>
      <c r="V30" s="1564"/>
      <c r="W30" s="1565"/>
      <c r="X30" s="1566"/>
      <c r="Y30" s="3395"/>
      <c r="Z30" s="1147"/>
      <c r="AA30" s="1572">
        <v>1</v>
      </c>
      <c r="AB30" s="1572">
        <v>1</v>
      </c>
      <c r="AC30" s="1572">
        <v>1</v>
      </c>
    </row>
    <row r="31" spans="1:29" s="1217" customFormat="1" ht="51" customHeight="1">
      <c r="A31" s="574"/>
      <c r="B31" s="2588" t="s">
        <v>2551</v>
      </c>
      <c r="C31" s="570" t="str">
        <f>估价对象房地状况!C22</f>
        <v>估价对象所在区域基础设施水平七通一平</v>
      </c>
      <c r="D31" s="560">
        <v>100</v>
      </c>
      <c r="E31" s="3188" t="s">
        <v>3224</v>
      </c>
      <c r="F31" s="556">
        <f>SUMIF(104:104,E32,105:105)-SUMIF(104:104,C32,105:105)+100</f>
        <v>100</v>
      </c>
      <c r="G31" s="3188" t="s">
        <v>3224</v>
      </c>
      <c r="H31" s="556">
        <f>SUMIF(104:104,G32,105:105)-SUMIF(104:104,C32,105:105)+100</f>
        <v>100</v>
      </c>
      <c r="I31" s="3188" t="s">
        <v>3224</v>
      </c>
      <c r="J31" s="556">
        <f>SUMIF(104:104,I32,105:105)-SUMIF(104:104,C32,105:105)+100</f>
        <v>100</v>
      </c>
      <c r="K31" s="532">
        <v>2</v>
      </c>
      <c r="L31" s="2132"/>
      <c r="M31" s="2129"/>
      <c r="N31" s="2129"/>
      <c r="O31" s="2134"/>
      <c r="P31" s="3395"/>
      <c r="Q31" s="2575" t="str">
        <f t="shared" ref="Q31" si="9">B31</f>
        <v>基础设施水平</v>
      </c>
      <c r="R31" s="1564" t="s">
        <v>8</v>
      </c>
      <c r="S31" s="1565">
        <f>F31</f>
        <v>100</v>
      </c>
      <c r="T31" s="1564" t="s">
        <v>8</v>
      </c>
      <c r="U31" s="1565">
        <f>H31</f>
        <v>100</v>
      </c>
      <c r="V31" s="1564" t="s">
        <v>8</v>
      </c>
      <c r="W31" s="1565">
        <f>J31</f>
        <v>100</v>
      </c>
      <c r="X31" s="1566"/>
      <c r="Y31" s="3395"/>
      <c r="Z31" s="2572" t="str">
        <f>Q31</f>
        <v>基础设施水平</v>
      </c>
      <c r="AA31" s="1572">
        <f>D31/F31</f>
        <v>1</v>
      </c>
      <c r="AB31" s="1572">
        <f>D31/H31</f>
        <v>1</v>
      </c>
      <c r="AC31" s="1572">
        <f>D31/J31</f>
        <v>1</v>
      </c>
    </row>
    <row r="32" spans="1:29" s="1217" customFormat="1" ht="21.75" customHeight="1">
      <c r="A32" s="574"/>
      <c r="B32" s="563"/>
      <c r="C32" s="576" t="s">
        <v>3179</v>
      </c>
      <c r="D32" s="554"/>
      <c r="E32" s="2589" t="s">
        <v>3179</v>
      </c>
      <c r="F32" s="552"/>
      <c r="G32" s="576" t="s">
        <v>3179</v>
      </c>
      <c r="H32" s="552"/>
      <c r="I32" s="576" t="s">
        <v>3179</v>
      </c>
      <c r="J32" s="552"/>
      <c r="K32" s="528"/>
      <c r="L32" s="2132"/>
      <c r="M32" s="2129"/>
      <c r="N32" s="2129"/>
      <c r="O32" s="2134"/>
      <c r="P32" s="3395"/>
      <c r="Q32" s="2575"/>
      <c r="R32" s="1564"/>
      <c r="S32" s="1565"/>
      <c r="T32" s="1564"/>
      <c r="U32" s="1565"/>
      <c r="V32" s="1564"/>
      <c r="W32" s="1565"/>
      <c r="X32" s="1566"/>
      <c r="Y32" s="3395"/>
      <c r="Z32" s="2572"/>
      <c r="AA32" s="1572">
        <v>1</v>
      </c>
      <c r="AB32" s="1572">
        <v>1</v>
      </c>
      <c r="AC32" s="1572">
        <v>1</v>
      </c>
    </row>
    <row r="33" spans="1:29" ht="20.25">
      <c r="A33" s="529"/>
      <c r="B33" s="563" t="s">
        <v>546</v>
      </c>
      <c r="C33" s="577" t="s">
        <v>3207</v>
      </c>
      <c r="D33" s="572">
        <v>100</v>
      </c>
      <c r="E33" s="580" t="s">
        <v>3207</v>
      </c>
      <c r="F33" s="537">
        <f>SUMIF(106:106,E33,107:107)-SUMIF(106:106,C33,107:107)+100</f>
        <v>100</v>
      </c>
      <c r="G33" s="580" t="s">
        <v>3207</v>
      </c>
      <c r="H33" s="537">
        <f>SUMIF(106:106,G33,107:107)-SUMIF(106:106,C33,107:107)+100</f>
        <v>100</v>
      </c>
      <c r="I33" s="580" t="s">
        <v>3207</v>
      </c>
      <c r="J33" s="537">
        <f>SUMIF(106:106,I33,107:107)-SUMIF(106:106,C33,107:107)+100</f>
        <v>100</v>
      </c>
      <c r="K33" s="532">
        <v>1</v>
      </c>
      <c r="L33" s="2139"/>
      <c r="M33" s="2129"/>
      <c r="N33" s="2129"/>
      <c r="O33" s="2138"/>
      <c r="P33" s="339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395"/>
      <c r="Z33" s="1571" t="str">
        <f t="shared" ref="Z33:Z47" si="13">Q33</f>
        <v>临街状况</v>
      </c>
      <c r="AA33" s="1572">
        <f t="shared" si="3"/>
        <v>1</v>
      </c>
      <c r="AB33" s="1572">
        <f t="shared" si="4"/>
        <v>1</v>
      </c>
      <c r="AC33" s="1572">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9"/>
      <c r="M34" s="2129"/>
      <c r="N34" s="2129"/>
      <c r="O34" s="2138"/>
      <c r="P34" s="3395"/>
      <c r="Q34" s="1568" t="str">
        <f t="shared" si="8"/>
        <v>毗邻道路的类型与等级</v>
      </c>
      <c r="R34" s="1569" t="s">
        <v>8</v>
      </c>
      <c r="S34" s="1570">
        <f t="shared" si="10"/>
        <v>100</v>
      </c>
      <c r="T34" s="1569" t="s">
        <v>8</v>
      </c>
      <c r="U34" s="1570">
        <f t="shared" si="11"/>
        <v>100</v>
      </c>
      <c r="V34" s="1569" t="s">
        <v>8</v>
      </c>
      <c r="W34" s="1570">
        <f t="shared" si="12"/>
        <v>100</v>
      </c>
      <c r="X34" s="1563"/>
      <c r="Y34" s="3395"/>
      <c r="Z34" s="1571" t="str">
        <f t="shared" si="13"/>
        <v>毗邻道路的类型与等级</v>
      </c>
      <c r="AA34" s="1572">
        <f t="shared" si="3"/>
        <v>1</v>
      </c>
      <c r="AB34" s="1572">
        <f t="shared" si="4"/>
        <v>1</v>
      </c>
      <c r="AC34" s="1572">
        <f t="shared" si="5"/>
        <v>1</v>
      </c>
    </row>
    <row r="35" spans="1:29" ht="21" thickBot="1">
      <c r="A35" s="529"/>
      <c r="B35" s="563"/>
      <c r="C35" s="551" t="s">
        <v>3230</v>
      </c>
      <c r="D35" s="554"/>
      <c r="E35" s="573" t="s">
        <v>3230</v>
      </c>
      <c r="F35" s="552"/>
      <c r="G35" s="551" t="s">
        <v>3230</v>
      </c>
      <c r="H35" s="552"/>
      <c r="I35" s="573" t="s">
        <v>3230</v>
      </c>
      <c r="J35" s="552"/>
      <c r="K35" s="578"/>
      <c r="L35" s="2139"/>
      <c r="M35" s="2129"/>
      <c r="N35" s="2129"/>
      <c r="O35" s="2138"/>
      <c r="P35" s="3395"/>
      <c r="Q35" s="1568"/>
      <c r="R35" s="1569"/>
      <c r="S35" s="1570"/>
      <c r="T35" s="1569"/>
      <c r="U35" s="1570"/>
      <c r="V35" s="1569"/>
      <c r="W35" s="1570"/>
      <c r="X35" s="1563"/>
      <c r="Y35" s="3395"/>
      <c r="Z35" s="1571"/>
      <c r="AA35" s="1572">
        <v>1</v>
      </c>
      <c r="AB35" s="1572">
        <v>1</v>
      </c>
      <c r="AC35" s="1572">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395"/>
      <c r="Q36" s="1568" t="str">
        <f t="shared" si="8"/>
        <v>土地级别</v>
      </c>
      <c r="R36" s="1569" t="s">
        <v>8</v>
      </c>
      <c r="S36" s="1570">
        <f t="shared" si="10"/>
        <v>100</v>
      </c>
      <c r="T36" s="1569" t="s">
        <v>8</v>
      </c>
      <c r="U36" s="1570">
        <f t="shared" si="11"/>
        <v>100</v>
      </c>
      <c r="V36" s="1569" t="s">
        <v>8</v>
      </c>
      <c r="W36" s="1570">
        <f t="shared" si="12"/>
        <v>100</v>
      </c>
      <c r="X36" s="1563"/>
      <c r="Y36" s="3395"/>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395"/>
      <c r="Q37" s="1568">
        <f t="shared" si="8"/>
        <v>111</v>
      </c>
      <c r="R37" s="1569" t="s">
        <v>8</v>
      </c>
      <c r="S37" s="1570">
        <f t="shared" si="10"/>
        <v>100</v>
      </c>
      <c r="T37" s="1569" t="s">
        <v>8</v>
      </c>
      <c r="U37" s="1570">
        <f t="shared" si="11"/>
        <v>100</v>
      </c>
      <c r="V37" s="1569" t="s">
        <v>8</v>
      </c>
      <c r="W37" s="1570">
        <f t="shared" si="12"/>
        <v>100</v>
      </c>
      <c r="X37" s="1563"/>
      <c r="Y37" s="3395"/>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396" t="s">
        <v>549</v>
      </c>
      <c r="Q38" s="1568">
        <f t="shared" si="8"/>
        <v>111</v>
      </c>
      <c r="R38" s="1569" t="s">
        <v>8</v>
      </c>
      <c r="S38" s="1570">
        <f t="shared" si="10"/>
        <v>100</v>
      </c>
      <c r="T38" s="1569" t="s">
        <v>8</v>
      </c>
      <c r="U38" s="1570">
        <f t="shared" si="11"/>
        <v>100</v>
      </c>
      <c r="V38" s="1569" t="s">
        <v>8</v>
      </c>
      <c r="W38" s="1570">
        <f t="shared" si="12"/>
        <v>100</v>
      </c>
      <c r="X38" s="1563"/>
      <c r="Y38" s="3397" t="s">
        <v>549</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397"/>
      <c r="Q39" s="1568">
        <f t="shared" si="8"/>
        <v>111</v>
      </c>
      <c r="R39" s="1573" t="s">
        <v>8</v>
      </c>
      <c r="S39" s="1574">
        <f t="shared" si="10"/>
        <v>100</v>
      </c>
      <c r="T39" s="1573" t="s">
        <v>8</v>
      </c>
      <c r="U39" s="1574">
        <f t="shared" si="11"/>
        <v>100</v>
      </c>
      <c r="V39" s="1573" t="s">
        <v>8</v>
      </c>
      <c r="W39" s="1574">
        <f t="shared" si="12"/>
        <v>100</v>
      </c>
      <c r="X39" s="1575"/>
      <c r="Y39" s="3397"/>
      <c r="Z39" s="1576">
        <f t="shared" si="13"/>
        <v>111</v>
      </c>
      <c r="AA39" s="1572">
        <f t="shared" si="3"/>
        <v>1</v>
      </c>
      <c r="AB39" s="1572">
        <f t="shared" si="4"/>
        <v>1</v>
      </c>
      <c r="AC39" s="1572">
        <f t="shared" si="5"/>
        <v>1</v>
      </c>
    </row>
    <row r="40" spans="1:29" ht="20.25">
      <c r="A40" s="2904" t="s">
        <v>2756</v>
      </c>
      <c r="B40" s="592" t="s">
        <v>551</v>
      </c>
      <c r="C40" s="3198">
        <f>'数据-基础表'!A3</f>
        <v>147538.60999999999</v>
      </c>
      <c r="D40" s="3199">
        <v>100</v>
      </c>
      <c r="E40" s="3198">
        <f>Sheet1!D7</f>
        <v>155132.79999999999</v>
      </c>
      <c r="F40" s="3199">
        <f>LOOKUP(E40,119:119,120:120)-LOOKUP(C40,119:119,120:120)+100</f>
        <v>100</v>
      </c>
      <c r="G40" s="593">
        <f>Sheet1!D5</f>
        <v>65602.95</v>
      </c>
      <c r="H40" s="594">
        <f>LOOKUP(G40,119:119,120:120)-LOOKUP(C40,119:119,120:120)+100</f>
        <v>99</v>
      </c>
      <c r="I40" s="595">
        <f>Sheet1!D2</f>
        <v>36365.370000000003</v>
      </c>
      <c r="J40" s="594">
        <f>LOOKUP(I40,119:119,120:120)-LOOKUP(C40,119:119,120:120)+100</f>
        <v>98</v>
      </c>
      <c r="K40" s="578"/>
      <c r="L40" s="2139"/>
      <c r="M40" s="2129"/>
      <c r="N40" s="2129"/>
      <c r="O40" s="2138"/>
      <c r="P40" s="3397"/>
      <c r="Q40" s="1568" t="str">
        <f>B40</f>
        <v>宗地面积</v>
      </c>
      <c r="R40" s="1569" t="s">
        <v>8</v>
      </c>
      <c r="S40" s="1570">
        <f t="shared" si="10"/>
        <v>100</v>
      </c>
      <c r="T40" s="1569" t="s">
        <v>8</v>
      </c>
      <c r="U40" s="1570">
        <f t="shared" si="11"/>
        <v>99</v>
      </c>
      <c r="V40" s="1569" t="s">
        <v>8</v>
      </c>
      <c r="W40" s="1570">
        <f t="shared" si="12"/>
        <v>98</v>
      </c>
      <c r="X40" s="1563"/>
      <c r="Y40" s="3397"/>
      <c r="Z40" s="1571" t="str">
        <f t="shared" si="13"/>
        <v>宗地面积</v>
      </c>
      <c r="AA40" s="1572">
        <f t="shared" si="3"/>
        <v>1</v>
      </c>
      <c r="AB40" s="1572">
        <f t="shared" si="4"/>
        <v>1.0101010101010102</v>
      </c>
      <c r="AC40" s="1572">
        <f t="shared" si="5"/>
        <v>1.0204081632653061</v>
      </c>
    </row>
    <row r="41" spans="1:29" ht="20.25">
      <c r="A41" s="591"/>
      <c r="B41" s="524" t="s">
        <v>552</v>
      </c>
      <c r="C41" s="596" t="s">
        <v>3235</v>
      </c>
      <c r="D41" s="537">
        <v>100</v>
      </c>
      <c r="E41" s="596" t="s">
        <v>3233</v>
      </c>
      <c r="F41" s="537">
        <f>SUMIF(121:121,E41,122:122)-SUMIF(121:121,C41,122:122)+100</f>
        <v>102</v>
      </c>
      <c r="G41" s="596" t="s">
        <v>3233</v>
      </c>
      <c r="H41" s="537">
        <f>SUMIF(121:121,G41,122:122)-SUMIF(121:121,C41,122:122)+100</f>
        <v>102</v>
      </c>
      <c r="I41" s="596" t="s">
        <v>3233</v>
      </c>
      <c r="J41" s="537">
        <f>SUMIF(121:121,I41,122:122)-SUMIF(121:121,C41,122:122)+100</f>
        <v>102</v>
      </c>
      <c r="K41" s="581">
        <v>2</v>
      </c>
      <c r="L41" s="2139"/>
      <c r="M41" s="2129"/>
      <c r="N41" s="2129"/>
      <c r="O41" s="2138"/>
      <c r="P41" s="3397"/>
      <c r="Q41" s="1568" t="str">
        <f t="shared" ref="Q41:Q47" si="14">B41</f>
        <v>宗地形状</v>
      </c>
      <c r="R41" s="1569" t="s">
        <v>8</v>
      </c>
      <c r="S41" s="1570">
        <f t="shared" si="10"/>
        <v>102</v>
      </c>
      <c r="T41" s="1569" t="s">
        <v>8</v>
      </c>
      <c r="U41" s="1570">
        <f t="shared" si="11"/>
        <v>102</v>
      </c>
      <c r="V41" s="1569" t="s">
        <v>8</v>
      </c>
      <c r="W41" s="1570">
        <f t="shared" si="12"/>
        <v>102</v>
      </c>
      <c r="X41" s="1563"/>
      <c r="Y41" s="3397"/>
      <c r="Z41" s="1571" t="str">
        <f t="shared" si="13"/>
        <v>宗地形状</v>
      </c>
      <c r="AA41" s="1572">
        <f t="shared" si="3"/>
        <v>0.98039215686274506</v>
      </c>
      <c r="AB41" s="1572">
        <f t="shared" si="4"/>
        <v>0.98039215686274506</v>
      </c>
      <c r="AC41" s="1572">
        <f t="shared" si="5"/>
        <v>0.98039215686274506</v>
      </c>
    </row>
    <row r="42" spans="1:29" ht="20.25">
      <c r="A42" s="591"/>
      <c r="B42" s="524" t="s">
        <v>553</v>
      </c>
      <c r="C42" s="596" t="s">
        <v>3239</v>
      </c>
      <c r="D42" s="537">
        <v>100</v>
      </c>
      <c r="E42" s="596" t="s">
        <v>3239</v>
      </c>
      <c r="F42" s="537">
        <f>SUMIF(123:123,E42,124:124)-SUMIF(123:123,C42,124:124)+100</f>
        <v>100</v>
      </c>
      <c r="G42" s="596" t="s">
        <v>3239</v>
      </c>
      <c r="H42" s="537">
        <f>SUMIF(123:123,G42,124:124)-SUMIF(123:123,C42,124:124)+100</f>
        <v>100</v>
      </c>
      <c r="I42" s="596" t="s">
        <v>3239</v>
      </c>
      <c r="J42" s="537">
        <f>SUMIF(123:123,I42,124:124)-SUMIF(123:123,C42,124:124)+100</f>
        <v>100</v>
      </c>
      <c r="K42" s="581">
        <v>2</v>
      </c>
      <c r="L42" s="2139"/>
      <c r="M42" s="2129"/>
      <c r="N42" s="2129"/>
      <c r="O42" s="2138"/>
      <c r="P42" s="3397"/>
      <c r="Q42" s="1568" t="str">
        <f t="shared" si="14"/>
        <v>临街宽度及深度</v>
      </c>
      <c r="R42" s="1569" t="s">
        <v>8</v>
      </c>
      <c r="S42" s="1570">
        <f t="shared" si="10"/>
        <v>100</v>
      </c>
      <c r="T42" s="1569" t="s">
        <v>8</v>
      </c>
      <c r="U42" s="1570">
        <f t="shared" si="11"/>
        <v>100</v>
      </c>
      <c r="V42" s="1569" t="s">
        <v>8</v>
      </c>
      <c r="W42" s="1570">
        <f t="shared" si="12"/>
        <v>100</v>
      </c>
      <c r="X42" s="1563"/>
      <c r="Y42" s="3397"/>
      <c r="Z42" s="1571" t="str">
        <f t="shared" si="13"/>
        <v>临街宽度及深度</v>
      </c>
      <c r="AA42" s="1572">
        <f t="shared" si="3"/>
        <v>1</v>
      </c>
      <c r="AB42" s="1572">
        <f t="shared" si="4"/>
        <v>1</v>
      </c>
      <c r="AC42" s="1572">
        <f t="shared" si="5"/>
        <v>1</v>
      </c>
    </row>
    <row r="43" spans="1:29" s="1217" customFormat="1" ht="20.25">
      <c r="A43" s="597"/>
      <c r="B43" s="1892" t="s">
        <v>2426</v>
      </c>
      <c r="C43" s="598" t="s">
        <v>3213</v>
      </c>
      <c r="D43" s="252">
        <v>100</v>
      </c>
      <c r="E43" s="598" t="s">
        <v>3248</v>
      </c>
      <c r="F43" s="537">
        <f>SUMIF(125:125,E43,126:126)-SUMIF(125:125,C43,126:126)+100</f>
        <v>98.5</v>
      </c>
      <c r="G43" s="598" t="s">
        <v>3248</v>
      </c>
      <c r="H43" s="537">
        <f>SUMIF(125:125,G43,126:126)-SUMIF(125:125,C43,126:126)+100</f>
        <v>98.5</v>
      </c>
      <c r="I43" s="598" t="s">
        <v>3248</v>
      </c>
      <c r="J43" s="537">
        <f>SUMIF(125:125,I43,126:126)-SUMIF(125:125,C43,126:126)+100</f>
        <v>98.5</v>
      </c>
      <c r="K43" s="581">
        <v>0.5</v>
      </c>
      <c r="L43" s="2132"/>
      <c r="M43" s="2129"/>
      <c r="N43" s="2129"/>
      <c r="O43" s="2134"/>
      <c r="P43" s="3397"/>
      <c r="Q43" s="1568" t="str">
        <f t="shared" si="14"/>
        <v>宗地开发程度</v>
      </c>
      <c r="R43" s="1564" t="s">
        <v>8</v>
      </c>
      <c r="S43" s="1565">
        <f t="shared" si="10"/>
        <v>98.5</v>
      </c>
      <c r="T43" s="1564" t="s">
        <v>8</v>
      </c>
      <c r="U43" s="1565">
        <f t="shared" si="11"/>
        <v>98.5</v>
      </c>
      <c r="V43" s="1564" t="s">
        <v>8</v>
      </c>
      <c r="W43" s="1565">
        <f t="shared" si="12"/>
        <v>98.5</v>
      </c>
      <c r="X43" s="1566"/>
      <c r="Y43" s="3397"/>
      <c r="Z43" s="1147" t="str">
        <f t="shared" si="13"/>
        <v>宗地开发程度</v>
      </c>
      <c r="AA43" s="1567">
        <f t="shared" si="3"/>
        <v>1.015228426395939</v>
      </c>
      <c r="AB43" s="1567">
        <f t="shared" si="4"/>
        <v>1.015228426395939</v>
      </c>
      <c r="AC43" s="1567">
        <f t="shared" si="5"/>
        <v>1.015228426395939</v>
      </c>
    </row>
    <row r="44" spans="1:29" ht="21" thickBot="1">
      <c r="A44" s="591"/>
      <c r="B44" s="524" t="s">
        <v>554</v>
      </c>
      <c r="C44" s="596" t="s">
        <v>3176</v>
      </c>
      <c r="D44" s="537">
        <v>100</v>
      </c>
      <c r="E44" s="596" t="s">
        <v>3176</v>
      </c>
      <c r="F44" s="537">
        <f>SUMIF(127:127,E44,128:128)-SUMIF(127:127,C44,128:128)+100</f>
        <v>100</v>
      </c>
      <c r="G44" s="596" t="s">
        <v>3176</v>
      </c>
      <c r="H44" s="537">
        <f>SUMIF(127:127,G44,128:128)-SUMIF(127:127,C44,128:128)+100</f>
        <v>100</v>
      </c>
      <c r="I44" s="596" t="s">
        <v>3176</v>
      </c>
      <c r="J44" s="537">
        <f>SUMIF(127:127,I44,128:128)-SUMIF(127:127,C44,128:128)+100</f>
        <v>100</v>
      </c>
      <c r="K44" s="581">
        <v>2</v>
      </c>
      <c r="L44" s="2139"/>
      <c r="M44" s="2129"/>
      <c r="N44" s="2129"/>
      <c r="O44" s="2138"/>
      <c r="P44" s="3397" t="s">
        <v>549</v>
      </c>
      <c r="Q44" s="1568" t="str">
        <f t="shared" si="14"/>
        <v>工程地质条件</v>
      </c>
      <c r="R44" s="1569" t="s">
        <v>8</v>
      </c>
      <c r="S44" s="1570">
        <f t="shared" si="10"/>
        <v>100</v>
      </c>
      <c r="T44" s="1569" t="s">
        <v>8</v>
      </c>
      <c r="U44" s="1570">
        <f t="shared" si="11"/>
        <v>100</v>
      </c>
      <c r="V44" s="1569" t="s">
        <v>8</v>
      </c>
      <c r="W44" s="1570">
        <f t="shared" si="12"/>
        <v>100</v>
      </c>
      <c r="X44" s="1563"/>
      <c r="Y44" s="3397" t="s">
        <v>549</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397"/>
      <c r="Q45" s="1568">
        <f t="shared" si="14"/>
        <v>111</v>
      </c>
      <c r="R45" s="1569" t="s">
        <v>8</v>
      </c>
      <c r="S45" s="1570">
        <f t="shared" si="10"/>
        <v>100</v>
      </c>
      <c r="T45" s="1569" t="s">
        <v>8</v>
      </c>
      <c r="U45" s="1570">
        <f t="shared" si="11"/>
        <v>100</v>
      </c>
      <c r="V45" s="1569" t="s">
        <v>8</v>
      </c>
      <c r="W45" s="1570">
        <f t="shared" si="12"/>
        <v>100</v>
      </c>
      <c r="X45" s="1563"/>
      <c r="Y45" s="3397"/>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397"/>
      <c r="Q46" s="1568">
        <f t="shared" si="14"/>
        <v>111</v>
      </c>
      <c r="R46" s="1569" t="s">
        <v>8</v>
      </c>
      <c r="S46" s="1570">
        <f t="shared" si="10"/>
        <v>100</v>
      </c>
      <c r="T46" s="1569" t="s">
        <v>8</v>
      </c>
      <c r="U46" s="1570">
        <f t="shared" si="11"/>
        <v>100</v>
      </c>
      <c r="V46" s="1569" t="s">
        <v>8</v>
      </c>
      <c r="W46" s="1570">
        <f t="shared" si="12"/>
        <v>100</v>
      </c>
      <c r="X46" s="1563"/>
      <c r="Y46" s="3397"/>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397"/>
      <c r="Q47" s="1568">
        <f t="shared" si="14"/>
        <v>111</v>
      </c>
      <c r="R47" s="1573" t="s">
        <v>8</v>
      </c>
      <c r="S47" s="1574">
        <f t="shared" si="10"/>
        <v>100</v>
      </c>
      <c r="T47" s="1573" t="s">
        <v>8</v>
      </c>
      <c r="U47" s="1574">
        <f t="shared" si="11"/>
        <v>100</v>
      </c>
      <c r="V47" s="1573" t="s">
        <v>8</v>
      </c>
      <c r="W47" s="1574">
        <f t="shared" si="12"/>
        <v>100</v>
      </c>
      <c r="X47" s="1575"/>
      <c r="Y47" s="3397"/>
      <c r="Z47" s="1576">
        <f t="shared" si="13"/>
        <v>111</v>
      </c>
      <c r="AA47" s="1572">
        <f t="shared" si="3"/>
        <v>1</v>
      </c>
      <c r="AB47" s="1572">
        <f t="shared" si="4"/>
        <v>1</v>
      </c>
      <c r="AC47" s="1572">
        <f t="shared" si="5"/>
        <v>1</v>
      </c>
    </row>
    <row r="48" spans="1:29" ht="20.25">
      <c r="A48" s="604" t="s">
        <v>555</v>
      </c>
      <c r="B48" s="605" t="s">
        <v>3255</v>
      </c>
      <c r="C48" s="606" t="s">
        <v>1</v>
      </c>
      <c r="D48" s="607"/>
      <c r="E48" s="608">
        <f>ROUND(Sheet1!K7,0)</f>
        <v>44995</v>
      </c>
      <c r="F48" s="609"/>
      <c r="G48" s="610">
        <f>ROUND(Sheet1!K5,0)</f>
        <v>41193</v>
      </c>
      <c r="H48" s="611"/>
      <c r="I48" s="608">
        <f>ROUND(Sheet1!K2,0)</f>
        <v>39720</v>
      </c>
      <c r="J48" s="611"/>
      <c r="K48" s="1337"/>
      <c r="L48" s="2141"/>
      <c r="M48" s="2129"/>
      <c r="N48" s="2129"/>
      <c r="O48" s="2142"/>
      <c r="P48" s="3392" t="str">
        <f>A48</f>
        <v>成交单价</v>
      </c>
      <c r="Q48" s="3392"/>
      <c r="R48" s="3406">
        <f>E48</f>
        <v>44995</v>
      </c>
      <c r="S48" s="3406"/>
      <c r="T48" s="3406">
        <f>G48</f>
        <v>41193</v>
      </c>
      <c r="U48" s="3406"/>
      <c r="V48" s="3406">
        <f>I48</f>
        <v>39720</v>
      </c>
      <c r="W48" s="3406"/>
      <c r="X48" s="1555"/>
      <c r="Y48" s="1577"/>
      <c r="Z48" s="1555"/>
      <c r="AA48" s="1555"/>
      <c r="AB48" s="1555"/>
      <c r="AC48" s="1555"/>
    </row>
    <row r="49" spans="1:29" ht="21" thickBot="1">
      <c r="A49" s="612" t="s">
        <v>2694</v>
      </c>
      <c r="B49" s="613"/>
      <c r="C49" s="614">
        <f>R50</f>
        <v>44073</v>
      </c>
      <c r="D49" s="615"/>
      <c r="E49" s="614">
        <f>R49</f>
        <v>46416</v>
      </c>
      <c r="F49" s="616"/>
      <c r="G49" s="617">
        <f>T49</f>
        <v>43790</v>
      </c>
      <c r="H49" s="615"/>
      <c r="I49" s="614">
        <f>V49</f>
        <v>42012</v>
      </c>
      <c r="J49" s="615"/>
      <c r="K49" s="1338"/>
      <c r="L49" s="2141"/>
      <c r="M49" s="2129"/>
      <c r="N49" s="2129"/>
      <c r="O49" s="2142"/>
      <c r="P49" s="3392" t="str">
        <f>A49</f>
        <v>比较价格（元/平方米）</v>
      </c>
      <c r="Q49" s="3392"/>
      <c r="R49" s="3418">
        <f>ROUND(PRODUCT(R48,AA9:AA47),0)</f>
        <v>46416</v>
      </c>
      <c r="S49" s="3418"/>
      <c r="T49" s="3418">
        <f>ROUND(PRODUCT(T48,AB9:AB47),0)</f>
        <v>43790</v>
      </c>
      <c r="U49" s="3418"/>
      <c r="V49" s="3418">
        <f>ROUND(PRODUCT(V48,AC9:AC47),0)</f>
        <v>42012</v>
      </c>
      <c r="W49" s="3418"/>
      <c r="X49" s="1555"/>
      <c r="Y49" s="1555"/>
      <c r="Z49" s="1555"/>
      <c r="AA49" s="1555"/>
      <c r="AB49" s="1555"/>
      <c r="AC49" s="1555"/>
    </row>
    <row r="50" spans="1:29" ht="21" thickBot="1">
      <c r="A50" s="618" t="s">
        <v>2933</v>
      </c>
      <c r="B50" s="619"/>
      <c r="C50" s="620">
        <f>R50</f>
        <v>44073</v>
      </c>
      <c r="D50" s="620"/>
      <c r="E50" s="620"/>
      <c r="F50" s="620"/>
      <c r="G50" s="620"/>
      <c r="H50" s="620"/>
      <c r="I50" s="620"/>
      <c r="J50" s="620"/>
      <c r="K50" s="1339"/>
      <c r="L50" s="2141"/>
      <c r="M50" s="2129"/>
      <c r="N50" s="2129"/>
      <c r="O50" s="2142"/>
      <c r="P50" s="3415" t="str">
        <f>A50</f>
        <v>估价对象XX用房的比较价格（楼面单价，元/平方米）</v>
      </c>
      <c r="Q50" s="3416"/>
      <c r="R50" s="3417">
        <f>ROUND(AVERAGE(R49:V49),0)</f>
        <v>44073</v>
      </c>
      <c r="S50" s="3417"/>
      <c r="T50" s="3417"/>
      <c r="U50" s="3417"/>
      <c r="V50" s="3417"/>
      <c r="W50" s="3417"/>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f>IF(E48&lt;E49,E49/E48-1,E48/E49-1)</f>
        <v>3.1581286809645448E-2</v>
      </c>
      <c r="F53" s="624" t="str">
        <f>IF(OR(E53&gt;=0.3,E53&lt;=-0.3),"超过30%","")</f>
        <v/>
      </c>
      <c r="G53" s="623">
        <f>IF(G48&lt;G49,G49/G48-1,G48/G49-1)</f>
        <v>6.3044692059330387E-2</v>
      </c>
      <c r="H53" s="624" t="str">
        <f>IF(OR(G53&gt;=0.3,G53&lt;=-0.3),"超过30%","")</f>
        <v/>
      </c>
      <c r="I53" s="623">
        <f>IF(I48&lt;I49,I49/I48-1,I48/I49-1)</f>
        <v>5.7703927492447127E-2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f>IF(E49&lt;G49,G49/E49-1,E49/G49-1)</f>
        <v>5.9968029230417885E-2</v>
      </c>
      <c r="F54" s="624" t="str">
        <f>IF(OR(E54&gt;=0.2,E54&lt;=-0.2),"超过20%","")</f>
        <v/>
      </c>
      <c r="G54" s="623">
        <f>IF(G49&lt;I49,I49/G49-1,G49/I49-1)</f>
        <v>4.2321241550033362E-2</v>
      </c>
      <c r="H54" s="624" t="str">
        <f>IF(OR(G54&gt;=0.2,G54&lt;=-0.2),"超过20%","")</f>
        <v/>
      </c>
      <c r="I54" s="623">
        <f>IF(I49&lt;E49,E49/I49-1,I49/E49-1)</f>
        <v>0.10482719223079129</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f>IF(E48&lt;G48,G48/E48-1,E48/G48-1)</f>
        <v>9.2297234967106068E-2</v>
      </c>
      <c r="F55" s="624" t="str">
        <f>IF(OR(E55&gt;=0.3,E55&lt;=-0.3),"超过30%","")</f>
        <v/>
      </c>
      <c r="G55" s="623">
        <f>IF(G48&lt;I48,I48/G48-1,G48/I48-1)</f>
        <v>3.7084592145015138E-2</v>
      </c>
      <c r="H55" s="624" t="str">
        <f>IF(OR(G55&gt;=0.3,G55&lt;=-0.3),"超过30%","")</f>
        <v/>
      </c>
      <c r="I55" s="623">
        <f>IF(I48&lt;E48,E48/I48-1,I48/E48-1)</f>
        <v>0.13280463242698892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559</v>
      </c>
      <c r="B57" s="627" t="s">
        <v>560</v>
      </c>
      <c r="C57" s="1556" t="s">
        <v>1724</v>
      </c>
      <c r="D57" s="2224" t="s">
        <v>2295</v>
      </c>
      <c r="E57" s="628" t="s">
        <v>561</v>
      </c>
      <c r="F57" s="629" t="s">
        <v>562</v>
      </c>
      <c r="G57" s="3376" t="s">
        <v>2283</v>
      </c>
      <c r="H57" s="3377"/>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563</v>
      </c>
      <c r="B58" s="631">
        <f>C50</f>
        <v>44073</v>
      </c>
      <c r="C58" s="632">
        <v>1</v>
      </c>
      <c r="D58" s="2225">
        <v>1</v>
      </c>
      <c r="E58" s="632">
        <f>'数据-汇总表'!E8+'数据-汇总表'!E9</f>
        <v>147824.00000000003</v>
      </c>
      <c r="F58" s="633">
        <f t="shared" ref="F58:F67" si="15">ROUND(B58*E58/10000,0)</f>
        <v>651505</v>
      </c>
      <c r="G58" s="3378"/>
      <c r="H58" s="3379"/>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564</v>
      </c>
      <c r="B59" s="635">
        <f>ROUND($C$50*C59*D59,0)</f>
        <v>7713</v>
      </c>
      <c r="C59" s="375">
        <f t="shared" ref="C59:C67" si="16">IF($C$57="北京市系数",I59,J59)</f>
        <v>0.7</v>
      </c>
      <c r="D59" s="2226">
        <v>0.25</v>
      </c>
      <c r="E59" s="636">
        <v>0</v>
      </c>
      <c r="F59" s="633">
        <f t="shared" si="15"/>
        <v>0</v>
      </c>
      <c r="G59" s="3380" t="s">
        <v>2284</v>
      </c>
      <c r="H59" s="1945" t="str">
        <f>项目基本情况!B43</f>
        <v>六级</v>
      </c>
      <c r="I59" s="1552">
        <f>SUMIF(修正!$A$45:$A$56,H59,修正!B45:B56)</f>
        <v>0.7</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565</v>
      </c>
      <c r="B60" s="635">
        <f t="shared" ref="B60:B67" si="17">ROUND($C$50*C60*D60,0)</f>
        <v>4407</v>
      </c>
      <c r="C60" s="375">
        <f t="shared" si="16"/>
        <v>0.4</v>
      </c>
      <c r="D60" s="2226">
        <v>0.25</v>
      </c>
      <c r="E60" s="636">
        <v>0</v>
      </c>
      <c r="F60" s="633">
        <f t="shared" si="15"/>
        <v>0</v>
      </c>
      <c r="G60" s="3380"/>
      <c r="H60" s="1945" t="str">
        <f>项目基本情况!B43</f>
        <v>六级</v>
      </c>
      <c r="I60" s="1552">
        <f>SUMIF(修正!$A$45:$A$56,H60,修正!C45:C56)</f>
        <v>0.4</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566</v>
      </c>
      <c r="B61" s="635">
        <f t="shared" si="17"/>
        <v>3085</v>
      </c>
      <c r="C61" s="375">
        <f t="shared" si="16"/>
        <v>0.28000000000000003</v>
      </c>
      <c r="D61" s="2226">
        <v>0.25</v>
      </c>
      <c r="E61" s="636">
        <v>0</v>
      </c>
      <c r="F61" s="633">
        <f t="shared" si="15"/>
        <v>0</v>
      </c>
      <c r="G61" s="3380"/>
      <c r="H61" s="1945" t="str">
        <f>项目基本情况!B43</f>
        <v>六级</v>
      </c>
      <c r="I61" s="1552">
        <f>SUMIF(修正!$A$45:$A$56,H61,修正!D45:D56)</f>
        <v>0.28000000000000003</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567</v>
      </c>
      <c r="B62" s="635">
        <f t="shared" si="17"/>
        <v>2755</v>
      </c>
      <c r="C62" s="375">
        <f t="shared" si="16"/>
        <v>0.25</v>
      </c>
      <c r="D62" s="2226">
        <v>0.25</v>
      </c>
      <c r="E62" s="636">
        <v>0</v>
      </c>
      <c r="F62" s="633">
        <f t="shared" si="15"/>
        <v>0</v>
      </c>
      <c r="G62" s="3380"/>
      <c r="H62" s="1945" t="str">
        <f>项目基本情况!B43</f>
        <v>六级</v>
      </c>
      <c r="I62" s="1552">
        <f>SUMIF(修正!$A$45:$A$56,H62,修正!E45:E56)</f>
        <v>0.25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2330</v>
      </c>
      <c r="B63" s="635">
        <f t="shared" si="17"/>
        <v>2755</v>
      </c>
      <c r="C63" s="375">
        <f t="shared" si="16"/>
        <v>0.25</v>
      </c>
      <c r="D63" s="2226">
        <v>0.25</v>
      </c>
      <c r="E63" s="638">
        <f>'数据-汇总表'!E11</f>
        <v>50.41</v>
      </c>
      <c r="F63" s="3200">
        <f t="shared" si="15"/>
        <v>14</v>
      </c>
      <c r="G63" s="1942" t="s">
        <v>2285</v>
      </c>
      <c r="H63" s="1945" t="str">
        <f>项目基本情况!C43</f>
        <v>六级</v>
      </c>
      <c r="I63" s="1552">
        <f>SUMIF(修正!$A$45:$A$56,H63,修正!F45:F56)</f>
        <v>0.25</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568</v>
      </c>
      <c r="B64" s="635">
        <f t="shared" si="17"/>
        <v>2755</v>
      </c>
      <c r="C64" s="375">
        <f t="shared" si="16"/>
        <v>0.25</v>
      </c>
      <c r="D64" s="2226">
        <v>0.25</v>
      </c>
      <c r="E64" s="638">
        <f>'数据-汇总表'!E12</f>
        <v>79869.01999999996</v>
      </c>
      <c r="F64" s="633">
        <f t="shared" si="15"/>
        <v>22004</v>
      </c>
      <c r="G64" s="1943" t="s">
        <v>922</v>
      </c>
      <c r="H64" s="1941" t="str">
        <f>IF(G64="商业",项目基本情况!B43,IF(G64="办公",项目基本情况!C43,IF(G64="住宅",项目基本情况!D43,项目基本情况!E43)))</f>
        <v>六级</v>
      </c>
      <c r="I64" s="1552">
        <f>SUMIF(修正!$A$45:$A$56,H64,修正!G45:G56)</f>
        <v>0.25</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569</v>
      </c>
      <c r="B65" s="635">
        <f t="shared" si="17"/>
        <v>2204</v>
      </c>
      <c r="C65" s="375">
        <f t="shared" si="16"/>
        <v>0.2</v>
      </c>
      <c r="D65" s="2226">
        <v>0.25</v>
      </c>
      <c r="E65" s="638">
        <f>'数据-汇总表'!E13</f>
        <v>58360.560000000005</v>
      </c>
      <c r="F65" s="633">
        <f t="shared" si="15"/>
        <v>12863</v>
      </c>
      <c r="G65" s="1943" t="s">
        <v>922</v>
      </c>
      <c r="H65" s="1941" t="str">
        <f>IF(G65="商业",项目基本情况!B43,IF(G65="办公",项目基本情况!C43,IF(G65="住宅",项目基本情况!D43,项目基本情况!E43)))</f>
        <v>六级</v>
      </c>
      <c r="I65" s="1552">
        <f>SUMIF(修正!$A$45:$A$56,H65,修正!H45:H56)</f>
        <v>0.2</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570</v>
      </c>
      <c r="B66" s="635">
        <f t="shared" si="17"/>
        <v>2204</v>
      </c>
      <c r="C66" s="375">
        <f t="shared" si="16"/>
        <v>0.2</v>
      </c>
      <c r="D66" s="2226">
        <v>0.25</v>
      </c>
      <c r="E66" s="638">
        <f>'数据-汇总表'!E14</f>
        <v>0</v>
      </c>
      <c r="F66" s="633">
        <f t="shared" si="15"/>
        <v>0</v>
      </c>
      <c r="G66" s="1942" t="s">
        <v>2284</v>
      </c>
      <c r="H66" s="1945" t="str">
        <f>项目基本情况!B43</f>
        <v>六级</v>
      </c>
      <c r="I66" s="1552">
        <f>SUMIF(修正!$A$45:$A$56,H66,修正!H45:H56)</f>
        <v>0.2</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571</v>
      </c>
      <c r="B67" s="635">
        <f t="shared" si="17"/>
        <v>2204</v>
      </c>
      <c r="C67" s="375">
        <f t="shared" si="16"/>
        <v>0.2</v>
      </c>
      <c r="D67" s="2226">
        <v>0.25</v>
      </c>
      <c r="E67" s="638">
        <f>'数据-汇总表'!E15</f>
        <v>0</v>
      </c>
      <c r="F67" s="633">
        <f t="shared" si="15"/>
        <v>0</v>
      </c>
      <c r="G67" s="1944" t="s">
        <v>2285</v>
      </c>
      <c r="H67" s="1946" t="str">
        <f>项目基本情况!C43</f>
        <v>六级</v>
      </c>
      <c r="I67" s="1552">
        <f>SUMIF(修正!$A$45:$A$56,H67,修正!H45:H56)</f>
        <v>0.2</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572</v>
      </c>
      <c r="B68" s="640" t="s">
        <v>17</v>
      </c>
      <c r="C68" s="640" t="s">
        <v>18</v>
      </c>
      <c r="D68" s="640" t="s">
        <v>2296</v>
      </c>
      <c r="E68" s="640">
        <f>IF(B48="楼面地价",SUM(E58:E67),'数据-汇总表'!D3)</f>
        <v>286103.99</v>
      </c>
      <c r="F68" s="641">
        <f>IF(B48="楼面地价",SUM(F58:F67),ROUND(C50*E68/10000,0))</f>
        <v>686386</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65" t="s">
        <v>2534</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7" customFormat="1" ht="27" customHeight="1">
      <c r="A73" s="2803" t="s">
        <v>922</v>
      </c>
      <c r="B73" s="476" t="str">
        <f>"北京市平均增长率"&amp;TEXT(SUMIF(基准地价!N21:N25,A73,基准地价!P21:P25),"0.00%")</f>
        <v>北京市平均增长率2.41%</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93" t="s">
        <v>2648</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7" customFormat="1" ht="15">
      <c r="A75" s="656" t="s">
        <v>530</v>
      </c>
      <c r="B75" s="645"/>
      <c r="C75" s="657" t="s">
        <v>575</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576</v>
      </c>
      <c r="B77" s="662" t="s">
        <v>533</v>
      </c>
      <c r="C77" s="3189" t="s">
        <v>3225</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536</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537</v>
      </c>
      <c r="C81" s="679" t="str">
        <f>C82&amp;"（含）"&amp;"-"&amp;D82</f>
        <v>0（含）-0.5</v>
      </c>
      <c r="D81" s="679" t="str">
        <f t="shared" ref="D81:L81" si="21">D82&amp;"（含）"&amp;"-"&amp;E82</f>
        <v>0.5（含）-1</v>
      </c>
      <c r="E81" s="679" t="str">
        <f t="shared" si="21"/>
        <v>1（含）-1.5</v>
      </c>
      <c r="F81" s="679" t="str">
        <f t="shared" si="21"/>
        <v>1.5（含）-2</v>
      </c>
      <c r="G81" s="679" t="str">
        <f t="shared" si="21"/>
        <v>2（含）-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0.5</v>
      </c>
      <c r="E82" s="538">
        <v>1</v>
      </c>
      <c r="F82" s="538">
        <v>1.5</v>
      </c>
      <c r="G82" s="538">
        <v>2</v>
      </c>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685"/>
      <c r="D84" s="1372"/>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538</v>
      </c>
      <c r="B90" s="662" t="s">
        <v>577</v>
      </c>
      <c r="C90" s="700" t="s">
        <v>578</v>
      </c>
      <c r="D90" s="700" t="s">
        <v>579</v>
      </c>
      <c r="E90" s="700" t="s">
        <v>580</v>
      </c>
      <c r="F90" s="700" t="s">
        <v>581</v>
      </c>
      <c r="G90" s="700" t="s">
        <v>582</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583</v>
      </c>
      <c r="C92" s="705" t="s">
        <v>578</v>
      </c>
      <c r="D92" s="705" t="s">
        <v>579</v>
      </c>
      <c r="E92" s="705" t="s">
        <v>580</v>
      </c>
      <c r="F92" s="705" t="s">
        <v>581</v>
      </c>
      <c r="G92" s="705" t="s">
        <v>582</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584</v>
      </c>
      <c r="C94" s="705" t="s">
        <v>578</v>
      </c>
      <c r="D94" s="705" t="s">
        <v>579</v>
      </c>
      <c r="E94" s="705" t="s">
        <v>580</v>
      </c>
      <c r="F94" s="705" t="s">
        <v>581</v>
      </c>
      <c r="G94" s="705" t="s">
        <v>582</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585</v>
      </c>
      <c r="C96" s="705" t="s">
        <v>578</v>
      </c>
      <c r="D96" s="705" t="s">
        <v>579</v>
      </c>
      <c r="E96" s="705" t="s">
        <v>580</v>
      </c>
      <c r="F96" s="705" t="s">
        <v>581</v>
      </c>
      <c r="G96" s="705" t="s">
        <v>582</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98</v>
      </c>
      <c r="E97" s="676">
        <f>D97-$K23</f>
        <v>96</v>
      </c>
      <c r="F97" s="676">
        <f>E97-$K23</f>
        <v>94</v>
      </c>
      <c r="G97" s="676">
        <f>F97-$K23</f>
        <v>92</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586</v>
      </c>
      <c r="C98" s="705" t="s">
        <v>578</v>
      </c>
      <c r="D98" s="705" t="s">
        <v>579</v>
      </c>
      <c r="E98" s="705" t="s">
        <v>580</v>
      </c>
      <c r="F98" s="705" t="s">
        <v>581</v>
      </c>
      <c r="G98" s="705" t="s">
        <v>582</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587</v>
      </c>
      <c r="C100" s="700" t="s">
        <v>578</v>
      </c>
      <c r="D100" s="700" t="s">
        <v>579</v>
      </c>
      <c r="E100" s="700" t="s">
        <v>580</v>
      </c>
      <c r="F100" s="700" t="s">
        <v>581</v>
      </c>
      <c r="G100" s="700" t="s">
        <v>582</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2550</v>
      </c>
      <c r="C102" s="700" t="s">
        <v>578</v>
      </c>
      <c r="D102" s="700" t="s">
        <v>579</v>
      </c>
      <c r="E102" s="700" t="s">
        <v>580</v>
      </c>
      <c r="F102" s="700" t="s">
        <v>581</v>
      </c>
      <c r="G102" s="700" t="s">
        <v>582</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594" t="s">
        <v>2552</v>
      </c>
      <c r="C104" s="2595" t="s">
        <v>2553</v>
      </c>
      <c r="D104" s="2595" t="s">
        <v>2554</v>
      </c>
      <c r="E104" s="2595" t="s">
        <v>2555</v>
      </c>
      <c r="F104" s="2595" t="s">
        <v>2556</v>
      </c>
      <c r="G104" s="2595" t="s">
        <v>2557</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99</v>
      </c>
      <c r="E107" s="676">
        <f t="shared" ref="E107:M107" si="23">D107-$K33</f>
        <v>98</v>
      </c>
      <c r="F107" s="676">
        <f t="shared" si="23"/>
        <v>97</v>
      </c>
      <c r="G107" s="676">
        <f t="shared" si="23"/>
        <v>96</v>
      </c>
      <c r="H107" s="676">
        <f t="shared" si="23"/>
        <v>95</v>
      </c>
      <c r="I107" s="676">
        <f t="shared" si="23"/>
        <v>94</v>
      </c>
      <c r="J107" s="676">
        <f t="shared" si="23"/>
        <v>93</v>
      </c>
      <c r="K107" s="676">
        <f t="shared" si="23"/>
        <v>92</v>
      </c>
      <c r="L107" s="676">
        <f t="shared" si="23"/>
        <v>91</v>
      </c>
      <c r="M107" s="676">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547</v>
      </c>
      <c r="C108" s="3190" t="s">
        <v>3226</v>
      </c>
      <c r="D108" s="3190" t="s">
        <v>3227</v>
      </c>
      <c r="E108" s="3190" t="s">
        <v>3228</v>
      </c>
      <c r="F108" s="3190" t="s">
        <v>3229</v>
      </c>
      <c r="G108" s="3190" t="s">
        <v>3231</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548</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550</v>
      </c>
      <c r="B118" s="662" t="s">
        <v>592</v>
      </c>
      <c r="C118" s="701" t="str">
        <f t="shared" ref="C118:L118" si="26">C119&amp;"(含)"&amp;"-"&amp;D119</f>
        <v>0(含)-50000</v>
      </c>
      <c r="D118" s="701" t="str">
        <f t="shared" si="26"/>
        <v>50000(含)-100000</v>
      </c>
      <c r="E118" s="701" t="str">
        <f t="shared" si="26"/>
        <v>100000(含)-160000</v>
      </c>
      <c r="F118" s="701" t="str">
        <f t="shared" si="26"/>
        <v>160000(含)-200000</v>
      </c>
      <c r="G118" s="701" t="str">
        <f t="shared" si="26"/>
        <v>200000(含)-</v>
      </c>
      <c r="H118" s="701" t="str">
        <f t="shared" si="26"/>
        <v>(含)-</v>
      </c>
      <c r="I118" s="701" t="str">
        <f t="shared" si="26"/>
        <v>(含)-</v>
      </c>
      <c r="J118" s="3085" t="str">
        <f t="shared" si="26"/>
        <v>(含)-</v>
      </c>
      <c r="K118" s="3085" t="str">
        <f t="shared" si="26"/>
        <v>(含)-</v>
      </c>
      <c r="L118" s="3086" t="str">
        <f t="shared" si="26"/>
        <v>(含)-</v>
      </c>
      <c r="M118" s="308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160000</v>
      </c>
      <c r="G119" s="727">
        <v>200000</v>
      </c>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723">
        <v>102</v>
      </c>
      <c r="F120" s="723">
        <v>101</v>
      </c>
      <c r="G120" s="723">
        <v>100</v>
      </c>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593</v>
      </c>
      <c r="C121" s="3191" t="s">
        <v>3232</v>
      </c>
      <c r="D121" s="3191" t="s">
        <v>3234</v>
      </c>
      <c r="E121" s="3191" t="s">
        <v>3236</v>
      </c>
      <c r="F121" s="3191" t="s">
        <v>3237</v>
      </c>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594</v>
      </c>
      <c r="C123" s="3190" t="s">
        <v>3238</v>
      </c>
      <c r="D123" s="3190" t="s">
        <v>3240</v>
      </c>
      <c r="E123" s="3190" t="s">
        <v>3241</v>
      </c>
      <c r="F123" s="3191" t="s">
        <v>3242</v>
      </c>
      <c r="G123" s="3191" t="s">
        <v>3243</v>
      </c>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2427</v>
      </c>
      <c r="C125" s="1372" t="s">
        <v>3244</v>
      </c>
      <c r="D125" s="1372" t="s">
        <v>3245</v>
      </c>
      <c r="E125" s="1372" t="s">
        <v>3246</v>
      </c>
      <c r="F125" s="1372" t="s">
        <v>3247</v>
      </c>
      <c r="G125" s="1372" t="s">
        <v>3249</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99.5</v>
      </c>
      <c r="E126" s="676">
        <f t="shared" ref="E126:M126" si="29">D126-$K43</f>
        <v>99</v>
      </c>
      <c r="F126" s="676">
        <f t="shared" si="29"/>
        <v>98.5</v>
      </c>
      <c r="G126" s="676">
        <f t="shared" si="29"/>
        <v>98</v>
      </c>
      <c r="H126" s="676">
        <f t="shared" si="29"/>
        <v>97.5</v>
      </c>
      <c r="I126" s="676">
        <f t="shared" si="29"/>
        <v>97</v>
      </c>
      <c r="J126" s="676">
        <f t="shared" si="29"/>
        <v>96.5</v>
      </c>
      <c r="K126" s="676">
        <f t="shared" si="29"/>
        <v>96</v>
      </c>
      <c r="L126" s="676">
        <f t="shared" si="29"/>
        <v>95.5</v>
      </c>
      <c r="M126" s="677">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595</v>
      </c>
      <c r="C127" s="3190" t="s">
        <v>3250</v>
      </c>
      <c r="D127" s="3190" t="s">
        <v>3251</v>
      </c>
      <c r="E127" s="3191" t="s">
        <v>3252</v>
      </c>
      <c r="F127" s="3191" t="s">
        <v>3253</v>
      </c>
      <c r="G127" s="3191" t="s">
        <v>3254</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515</v>
      </c>
      <c r="B1" s="500"/>
      <c r="C1" s="501" t="s">
        <v>596</v>
      </c>
      <c r="D1" s="502" t="s">
        <v>517</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1685</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519</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520</v>
      </c>
      <c r="B6" s="510"/>
      <c r="C6" s="3398" t="s">
        <v>521</v>
      </c>
      <c r="D6" s="3399"/>
      <c r="E6" s="3424" t="s">
        <v>522</v>
      </c>
      <c r="F6" s="3425"/>
      <c r="G6" s="3398" t="s">
        <v>523</v>
      </c>
      <c r="H6" s="3399"/>
      <c r="I6" s="3398" t="s">
        <v>524</v>
      </c>
      <c r="J6" s="3399"/>
      <c r="K6" s="511" t="s">
        <v>525</v>
      </c>
      <c r="L6" s="2130"/>
      <c r="M6" s="2131"/>
      <c r="N6" s="2131"/>
      <c r="O6" s="2131"/>
      <c r="P6" s="3400" t="s">
        <v>526</v>
      </c>
      <c r="Q6" s="3401"/>
      <c r="R6" s="3386" t="s">
        <v>522</v>
      </c>
      <c r="S6" s="3387"/>
      <c r="T6" s="3386" t="s">
        <v>523</v>
      </c>
      <c r="U6" s="3387"/>
      <c r="V6" s="3406" t="s">
        <v>524</v>
      </c>
      <c r="W6" s="3406"/>
      <c r="X6" s="1563"/>
      <c r="Y6" s="3386" t="s">
        <v>526</v>
      </c>
      <c r="Z6" s="3387"/>
      <c r="AA6" s="3381" t="s">
        <v>522</v>
      </c>
      <c r="AB6" s="3382" t="s">
        <v>523</v>
      </c>
      <c r="AC6" s="3381" t="s">
        <v>524</v>
      </c>
    </row>
    <row r="7" spans="1:29" ht="15">
      <c r="A7" s="512"/>
      <c r="B7" s="513"/>
      <c r="C7" s="3409" t="s">
        <v>2927</v>
      </c>
      <c r="D7" s="3410"/>
      <c r="E7" s="3426" t="s">
        <v>2928</v>
      </c>
      <c r="F7" s="3427"/>
      <c r="G7" s="3409" t="s">
        <v>2929</v>
      </c>
      <c r="H7" s="3410"/>
      <c r="I7" s="3409" t="s">
        <v>2930</v>
      </c>
      <c r="J7" s="3410"/>
      <c r="K7" s="511"/>
      <c r="L7" s="2130"/>
      <c r="M7" s="2131"/>
      <c r="N7" s="2131"/>
      <c r="O7" s="2131"/>
      <c r="P7" s="3402"/>
      <c r="Q7" s="3403"/>
      <c r="R7" s="3388"/>
      <c r="S7" s="3389"/>
      <c r="T7" s="3388"/>
      <c r="U7" s="3389"/>
      <c r="V7" s="3406"/>
      <c r="W7" s="3406"/>
      <c r="X7" s="1563"/>
      <c r="Y7" s="3388"/>
      <c r="Z7" s="3389"/>
      <c r="AA7" s="3382"/>
      <c r="AB7" s="3382"/>
      <c r="AC7" s="3382"/>
    </row>
    <row r="8" spans="1:29" ht="15.75" thickBot="1">
      <c r="A8" s="514"/>
      <c r="B8" s="515"/>
      <c r="C8" s="3428" t="s">
        <v>2931</v>
      </c>
      <c r="D8" s="3408"/>
      <c r="E8" s="3429" t="s">
        <v>2931</v>
      </c>
      <c r="F8" s="3430"/>
      <c r="G8" s="3428" t="s">
        <v>2931</v>
      </c>
      <c r="H8" s="3408"/>
      <c r="I8" s="3428" t="s">
        <v>2931</v>
      </c>
      <c r="J8" s="3408"/>
      <c r="K8" s="511" t="s">
        <v>527</v>
      </c>
      <c r="L8" s="2130"/>
      <c r="M8" s="2131"/>
      <c r="N8" s="2131"/>
      <c r="O8" s="2131"/>
      <c r="P8" s="3404"/>
      <c r="Q8" s="3405"/>
      <c r="R8" s="3388"/>
      <c r="S8" s="3389"/>
      <c r="T8" s="3390"/>
      <c r="U8" s="3391"/>
      <c r="V8" s="3406"/>
      <c r="W8" s="3406"/>
      <c r="X8" s="1563"/>
      <c r="Y8" s="3390"/>
      <c r="Z8" s="3391"/>
      <c r="AA8" s="3383"/>
      <c r="AB8" s="3383"/>
      <c r="AC8" s="3383"/>
    </row>
    <row r="9" spans="1:29" s="1217" customFormat="1" ht="15.75" thickBot="1">
      <c r="A9" s="2908"/>
      <c r="B9" s="2915" t="s">
        <v>528</v>
      </c>
      <c r="C9" s="516">
        <f>'数据-取费表'!B2</f>
        <v>43403</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384" t="s">
        <v>529</v>
      </c>
      <c r="Q9" s="3393"/>
      <c r="R9" s="1564" t="s">
        <v>8</v>
      </c>
      <c r="S9" s="1565">
        <f t="shared" ref="S9:S17" si="0">F9</f>
        <v>0</v>
      </c>
      <c r="T9" s="1564" t="s">
        <v>8</v>
      </c>
      <c r="U9" s="1565">
        <f t="shared" ref="U9:U17" si="1">H9</f>
        <v>0</v>
      </c>
      <c r="V9" s="1564" t="s">
        <v>8</v>
      </c>
      <c r="W9" s="1565">
        <f t="shared" ref="W9:W17" si="2">J9</f>
        <v>0</v>
      </c>
      <c r="X9" s="1566"/>
      <c r="Y9" s="3384" t="s">
        <v>529</v>
      </c>
      <c r="Z9" s="3385"/>
      <c r="AA9" s="1567" t="e">
        <f>D9/F9</f>
        <v>#DIV/0!</v>
      </c>
      <c r="AB9" s="1567" t="e">
        <f>D9/H9</f>
        <v>#DIV/0!</v>
      </c>
      <c r="AC9" s="1567" t="e">
        <f>D9/J9</f>
        <v>#DIV/0!</v>
      </c>
    </row>
    <row r="10" spans="1:29" s="1217" customFormat="1" ht="15.75" thickBot="1">
      <c r="A10" s="2909"/>
      <c r="B10" s="291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384" t="s">
        <v>532</v>
      </c>
      <c r="Q10" s="3385"/>
      <c r="R10" s="1564" t="s">
        <v>8</v>
      </c>
      <c r="S10" s="1565">
        <f t="shared" si="0"/>
        <v>0</v>
      </c>
      <c r="T10" s="1564" t="s">
        <v>8</v>
      </c>
      <c r="U10" s="1565">
        <f t="shared" si="1"/>
        <v>0</v>
      </c>
      <c r="V10" s="1564" t="s">
        <v>8</v>
      </c>
      <c r="W10" s="1565">
        <f t="shared" si="2"/>
        <v>0</v>
      </c>
      <c r="X10" s="1566"/>
      <c r="Y10" s="3384" t="s">
        <v>532</v>
      </c>
      <c r="Z10" s="3385"/>
      <c r="AA10" s="1567" t="e">
        <f t="shared" ref="AA10:AA42" si="3">D10/F10</f>
        <v>#DIV/0!</v>
      </c>
      <c r="AB10" s="1567" t="e">
        <f t="shared" ref="AB10:AB42" si="4">D10/H10</f>
        <v>#DIV/0!</v>
      </c>
      <c r="AC10" s="1567" t="e">
        <f t="shared" ref="AC10:AC42" si="5">D10/J10</f>
        <v>#DIV/0!</v>
      </c>
    </row>
    <row r="11" spans="1:29" s="1217" customFormat="1" ht="15">
      <c r="A11" s="2910"/>
      <c r="B11" s="2917" t="s">
        <v>2757</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392" t="s">
        <v>534</v>
      </c>
      <c r="Q11" s="1148" t="str">
        <f t="shared" ref="Q11:Q17" si="6">B11</f>
        <v>用途</v>
      </c>
      <c r="R11" s="1564" t="s">
        <v>8</v>
      </c>
      <c r="S11" s="1565">
        <f t="shared" si="0"/>
        <v>100</v>
      </c>
      <c r="T11" s="1564" t="s">
        <v>8</v>
      </c>
      <c r="U11" s="1565">
        <f t="shared" si="1"/>
        <v>100</v>
      </c>
      <c r="V11" s="1564" t="s">
        <v>8</v>
      </c>
      <c r="W11" s="1565">
        <f t="shared" si="2"/>
        <v>100</v>
      </c>
      <c r="X11" s="1566"/>
      <c r="Y11" s="3349" t="s">
        <v>535</v>
      </c>
      <c r="Z11" s="1147" t="str">
        <f t="shared" ref="Z11:Z17" si="7">Q11</f>
        <v>用途</v>
      </c>
      <c r="AA11" s="1567">
        <f t="shared" si="3"/>
        <v>1</v>
      </c>
      <c r="AB11" s="1567">
        <f t="shared" si="4"/>
        <v>1</v>
      </c>
      <c r="AC11" s="1567">
        <f t="shared" si="5"/>
        <v>1</v>
      </c>
    </row>
    <row r="12" spans="1:29" s="1335" customFormat="1" ht="27">
      <c r="A12" s="2911"/>
      <c r="B12" s="2916" t="s">
        <v>2758</v>
      </c>
      <c r="C12" s="525"/>
      <c r="D12" s="252">
        <v>100</v>
      </c>
      <c r="E12" s="525"/>
      <c r="F12" s="252">
        <f>ROUND(100/'数据-取费表'!G16,0)</f>
        <v>100</v>
      </c>
      <c r="G12" s="525"/>
      <c r="H12" s="252">
        <f>ROUND(100/'数据-取费表'!G16,0)</f>
        <v>100</v>
      </c>
      <c r="I12" s="525"/>
      <c r="J12" s="252">
        <f>ROUND(100/'数据-取费表'!G16,0)</f>
        <v>100</v>
      </c>
      <c r="K12" s="528"/>
      <c r="L12" s="2135"/>
      <c r="M12" s="2175"/>
      <c r="N12" s="2175"/>
      <c r="O12" s="2136"/>
      <c r="P12" s="3392"/>
      <c r="Q12" s="1148" t="str">
        <f t="shared" si="6"/>
        <v>土地使用年限（年）</v>
      </c>
      <c r="R12" s="1564" t="s">
        <v>8</v>
      </c>
      <c r="S12" s="1565">
        <f t="shared" si="0"/>
        <v>100</v>
      </c>
      <c r="T12" s="1564" t="s">
        <v>8</v>
      </c>
      <c r="U12" s="1565">
        <f t="shared" si="1"/>
        <v>100</v>
      </c>
      <c r="V12" s="1564" t="s">
        <v>8</v>
      </c>
      <c r="W12" s="1565">
        <f t="shared" si="2"/>
        <v>100</v>
      </c>
      <c r="X12" s="1566"/>
      <c r="Y12" s="3349"/>
      <c r="Z12" s="1147" t="str">
        <f t="shared" si="7"/>
        <v>土地使用年限（年）</v>
      </c>
      <c r="AA12" s="1567">
        <f t="shared" si="3"/>
        <v>1</v>
      </c>
      <c r="AB12" s="1567">
        <f t="shared" si="4"/>
        <v>1</v>
      </c>
      <c r="AC12" s="1567">
        <f t="shared" si="5"/>
        <v>1</v>
      </c>
    </row>
    <row r="13" spans="1:29" ht="15">
      <c r="A13" s="2912"/>
      <c r="B13" s="291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392"/>
      <c r="Q13" s="1148" t="str">
        <f t="shared" si="6"/>
        <v>容积率</v>
      </c>
      <c r="R13" s="1564" t="s">
        <v>8</v>
      </c>
      <c r="S13" s="1565" t="e">
        <f t="shared" si="0"/>
        <v>#N/A</v>
      </c>
      <c r="T13" s="1564" t="s">
        <v>8</v>
      </c>
      <c r="U13" s="1565" t="e">
        <f t="shared" si="1"/>
        <v>#N/A</v>
      </c>
      <c r="V13" s="1564" t="s">
        <v>8</v>
      </c>
      <c r="W13" s="1565" t="e">
        <f t="shared" si="2"/>
        <v>#N/A</v>
      </c>
      <c r="X13" s="1566"/>
      <c r="Y13" s="3349"/>
      <c r="Z13" s="1147" t="str">
        <f t="shared" si="7"/>
        <v>容积率</v>
      </c>
      <c r="AA13" s="1567" t="e">
        <f t="shared" si="3"/>
        <v>#N/A</v>
      </c>
      <c r="AB13" s="1567" t="e">
        <f t="shared" si="4"/>
        <v>#N/A</v>
      </c>
      <c r="AC13" s="1567" t="e">
        <f t="shared" si="5"/>
        <v>#N/A</v>
      </c>
    </row>
    <row r="14" spans="1:29" s="1217" customFormat="1" ht="15">
      <c r="A14" s="2913"/>
      <c r="B14" s="2919">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392"/>
      <c r="Q14" s="1148">
        <f t="shared" si="6"/>
        <v>111</v>
      </c>
      <c r="R14" s="1564" t="s">
        <v>8</v>
      </c>
      <c r="S14" s="1565">
        <f t="shared" si="0"/>
        <v>100</v>
      </c>
      <c r="T14" s="1564" t="s">
        <v>8</v>
      </c>
      <c r="U14" s="1565">
        <f t="shared" si="1"/>
        <v>100</v>
      </c>
      <c r="V14" s="1564" t="s">
        <v>8</v>
      </c>
      <c r="W14" s="1565">
        <f t="shared" si="2"/>
        <v>100</v>
      </c>
      <c r="X14" s="1566"/>
      <c r="Y14" s="3349"/>
      <c r="Z14" s="1147">
        <f t="shared" si="7"/>
        <v>111</v>
      </c>
      <c r="AA14" s="1567">
        <f>D14/F14</f>
        <v>1</v>
      </c>
      <c r="AB14" s="1567">
        <f>D14/H14</f>
        <v>1</v>
      </c>
      <c r="AC14" s="1567">
        <f>D14/J14</f>
        <v>1</v>
      </c>
    </row>
    <row r="15" spans="1:29" ht="15">
      <c r="A15" s="2913"/>
      <c r="B15" s="2919">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392"/>
      <c r="Q15" s="1148">
        <f t="shared" si="6"/>
        <v>111</v>
      </c>
      <c r="R15" s="1564" t="s">
        <v>8</v>
      </c>
      <c r="S15" s="1565">
        <f t="shared" si="0"/>
        <v>100</v>
      </c>
      <c r="T15" s="1564" t="s">
        <v>8</v>
      </c>
      <c r="U15" s="1565">
        <f t="shared" si="1"/>
        <v>100</v>
      </c>
      <c r="V15" s="1564" t="s">
        <v>8</v>
      </c>
      <c r="W15" s="1565">
        <f t="shared" si="2"/>
        <v>100</v>
      </c>
      <c r="X15" s="1566"/>
      <c r="Y15" s="3349"/>
      <c r="Z15" s="1147">
        <f t="shared" si="7"/>
        <v>111</v>
      </c>
      <c r="AA15" s="1567">
        <f t="shared" si="3"/>
        <v>1</v>
      </c>
      <c r="AB15" s="1567">
        <f t="shared" si="4"/>
        <v>1</v>
      </c>
      <c r="AC15" s="1567">
        <f t="shared" si="5"/>
        <v>1</v>
      </c>
    </row>
    <row r="16" spans="1:29" ht="15.75" thickBot="1">
      <c r="A16" s="2914"/>
      <c r="B16" s="2920">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392"/>
      <c r="Q16" s="1148">
        <f t="shared" si="6"/>
        <v>111</v>
      </c>
      <c r="R16" s="1564" t="s">
        <v>8</v>
      </c>
      <c r="S16" s="1565">
        <f t="shared" si="0"/>
        <v>100</v>
      </c>
      <c r="T16" s="1564" t="s">
        <v>8</v>
      </c>
      <c r="U16" s="1565">
        <f t="shared" si="1"/>
        <v>100</v>
      </c>
      <c r="V16" s="1564" t="s">
        <v>8</v>
      </c>
      <c r="W16" s="1565">
        <f t="shared" si="2"/>
        <v>100</v>
      </c>
      <c r="X16" s="1566"/>
      <c r="Y16" s="3349"/>
      <c r="Z16" s="1147">
        <f t="shared" si="7"/>
        <v>111</v>
      </c>
      <c r="AA16" s="1567">
        <f t="shared" si="3"/>
        <v>1</v>
      </c>
      <c r="AB16" s="1567">
        <f t="shared" si="4"/>
        <v>1</v>
      </c>
      <c r="AC16" s="1567">
        <f t="shared" si="5"/>
        <v>1</v>
      </c>
    </row>
    <row r="17" spans="1:29" ht="57">
      <c r="A17" s="2906" t="s">
        <v>2755</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394" t="s">
        <v>539</v>
      </c>
      <c r="Q17" s="1568" t="str">
        <f t="shared" si="6"/>
        <v>产业集聚程度</v>
      </c>
      <c r="R17" s="1569" t="s">
        <v>8</v>
      </c>
      <c r="S17" s="1570">
        <f t="shared" si="0"/>
        <v>100</v>
      </c>
      <c r="T17" s="1569" t="s">
        <v>8</v>
      </c>
      <c r="U17" s="1570">
        <f t="shared" si="1"/>
        <v>100</v>
      </c>
      <c r="V17" s="1569" t="s">
        <v>8</v>
      </c>
      <c r="W17" s="1570">
        <f t="shared" si="2"/>
        <v>100</v>
      </c>
      <c r="X17" s="1563"/>
      <c r="Y17" s="3394" t="s">
        <v>539</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395"/>
      <c r="Q18" s="1568"/>
      <c r="R18" s="1569"/>
      <c r="S18" s="1570"/>
      <c r="T18" s="1569"/>
      <c r="U18" s="1570"/>
      <c r="V18" s="1569"/>
      <c r="W18" s="1570"/>
      <c r="X18" s="1563"/>
      <c r="Y18" s="3395"/>
      <c r="Z18" s="1571"/>
      <c r="AA18" s="1572">
        <v>1</v>
      </c>
      <c r="AB18" s="1572">
        <v>1</v>
      </c>
      <c r="AC18" s="1572">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395"/>
      <c r="Q19" s="1568" t="str">
        <f>B19</f>
        <v>交通便捷度</v>
      </c>
      <c r="R19" s="1569" t="s">
        <v>8</v>
      </c>
      <c r="S19" s="1570">
        <f>F19</f>
        <v>100</v>
      </c>
      <c r="T19" s="1569" t="s">
        <v>8</v>
      </c>
      <c r="U19" s="1570">
        <f>H19</f>
        <v>100</v>
      </c>
      <c r="V19" s="1569" t="s">
        <v>8</v>
      </c>
      <c r="W19" s="1570">
        <f>J19</f>
        <v>100</v>
      </c>
      <c r="X19" s="1563"/>
      <c r="Y19" s="3395"/>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395"/>
      <c r="Q20" s="1568"/>
      <c r="R20" s="1569"/>
      <c r="S20" s="1570"/>
      <c r="T20" s="1569"/>
      <c r="U20" s="1570"/>
      <c r="V20" s="1569"/>
      <c r="W20" s="1570"/>
      <c r="X20" s="1563"/>
      <c r="Y20" s="3395"/>
      <c r="Z20" s="1571"/>
      <c r="AA20" s="1572">
        <v>1</v>
      </c>
      <c r="AB20" s="1572">
        <v>1</v>
      </c>
      <c r="AC20" s="1572">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395"/>
      <c r="Q21" s="1568" t="str">
        <f t="shared" ref="Q21:Q35" si="8">B21</f>
        <v>区域土地利用方向</v>
      </c>
      <c r="R21" s="1569" t="s">
        <v>8</v>
      </c>
      <c r="S21" s="1570">
        <f>F21</f>
        <v>100</v>
      </c>
      <c r="T21" s="1569" t="s">
        <v>8</v>
      </c>
      <c r="U21" s="1570">
        <f>H21</f>
        <v>100</v>
      </c>
      <c r="V21" s="1569" t="s">
        <v>8</v>
      </c>
      <c r="W21" s="1570">
        <f>J21</f>
        <v>100</v>
      </c>
      <c r="X21" s="1563"/>
      <c r="Y21" s="3395"/>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395"/>
      <c r="Q22" s="1568"/>
      <c r="R22" s="1569"/>
      <c r="S22" s="1570"/>
      <c r="T22" s="1569"/>
      <c r="U22" s="1570"/>
      <c r="V22" s="1569"/>
      <c r="W22" s="1570"/>
      <c r="X22" s="1563"/>
      <c r="Y22" s="3395"/>
      <c r="Z22" s="1571"/>
      <c r="AA22" s="1572"/>
      <c r="AB22" s="1572"/>
      <c r="AC22" s="1572"/>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395"/>
      <c r="Q23" s="1568" t="str">
        <f t="shared" si="8"/>
        <v>环境状况</v>
      </c>
      <c r="R23" s="1569" t="s">
        <v>8</v>
      </c>
      <c r="S23" s="1570">
        <f>F23</f>
        <v>100</v>
      </c>
      <c r="T23" s="1569" t="s">
        <v>8</v>
      </c>
      <c r="U23" s="1570">
        <f>H23</f>
        <v>100</v>
      </c>
      <c r="V23" s="1569" t="s">
        <v>8</v>
      </c>
      <c r="W23" s="1570">
        <f>J23</f>
        <v>100</v>
      </c>
      <c r="X23" s="1563"/>
      <c r="Y23" s="3395"/>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395"/>
      <c r="Q24" s="1568"/>
      <c r="R24" s="1569"/>
      <c r="S24" s="1570"/>
      <c r="T24" s="1569"/>
      <c r="U24" s="1570"/>
      <c r="V24" s="1569"/>
      <c r="W24" s="1570"/>
      <c r="X24" s="1563"/>
      <c r="Y24" s="3395"/>
      <c r="Z24" s="1571"/>
      <c r="AA24" s="1572">
        <v>1</v>
      </c>
      <c r="AB24" s="1572">
        <v>1</v>
      </c>
      <c r="AC24" s="1572">
        <v>1</v>
      </c>
    </row>
    <row r="25" spans="1:29" s="1217" customFormat="1" ht="42.75">
      <c r="A25" s="574"/>
      <c r="B25" s="2590"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395"/>
      <c r="Q25" s="1148" t="str">
        <f t="shared" si="8"/>
        <v>公共配套设施</v>
      </c>
      <c r="R25" s="1564" t="s">
        <v>8</v>
      </c>
      <c r="S25" s="1565">
        <f>F25</f>
        <v>100</v>
      </c>
      <c r="T25" s="1564" t="s">
        <v>8</v>
      </c>
      <c r="U25" s="1565">
        <f>H25</f>
        <v>100</v>
      </c>
      <c r="V25" s="1564" t="s">
        <v>8</v>
      </c>
      <c r="W25" s="1565">
        <f>J25</f>
        <v>100</v>
      </c>
      <c r="X25" s="1566"/>
      <c r="Y25" s="3395"/>
      <c r="Z25" s="1147" t="str">
        <f>Q25</f>
        <v>公共配套设施</v>
      </c>
      <c r="AA25" s="1572">
        <f>D25/F25</f>
        <v>1</v>
      </c>
      <c r="AB25" s="1572">
        <f>D25/H25</f>
        <v>1</v>
      </c>
      <c r="AC25" s="1572">
        <f>D25/J25</f>
        <v>1</v>
      </c>
    </row>
    <row r="26" spans="1:29" s="1217" customFormat="1" ht="15">
      <c r="A26" s="574"/>
      <c r="B26" s="592"/>
      <c r="C26" s="2589"/>
      <c r="D26" s="552"/>
      <c r="E26" s="551"/>
      <c r="F26" s="552"/>
      <c r="G26" s="551"/>
      <c r="H26" s="552"/>
      <c r="I26" s="573"/>
      <c r="J26" s="552"/>
      <c r="K26" s="528"/>
      <c r="L26" s="2132"/>
      <c r="M26" s="2133"/>
      <c r="N26" s="2133"/>
      <c r="O26" s="2134"/>
      <c r="P26" s="3395"/>
      <c r="Q26" s="1148"/>
      <c r="R26" s="1564"/>
      <c r="S26" s="1565"/>
      <c r="T26" s="1564"/>
      <c r="U26" s="1565"/>
      <c r="V26" s="1564"/>
      <c r="W26" s="1565"/>
      <c r="X26" s="1566"/>
      <c r="Y26" s="3395"/>
      <c r="Z26" s="1147"/>
      <c r="AA26" s="1567">
        <v>1</v>
      </c>
      <c r="AB26" s="1567">
        <v>1</v>
      </c>
      <c r="AC26" s="1567">
        <v>1</v>
      </c>
    </row>
    <row r="27" spans="1:29" s="1217" customFormat="1" ht="28.5">
      <c r="A27" s="574"/>
      <c r="B27" s="2590"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395"/>
      <c r="Q27" s="2575" t="str">
        <f t="shared" ref="Q27" si="9">B27</f>
        <v>基础设施水平</v>
      </c>
      <c r="R27" s="1564" t="s">
        <v>8</v>
      </c>
      <c r="S27" s="1565">
        <f>F27</f>
        <v>100</v>
      </c>
      <c r="T27" s="1564" t="s">
        <v>8</v>
      </c>
      <c r="U27" s="1565">
        <f>H27</f>
        <v>100</v>
      </c>
      <c r="V27" s="1564" t="s">
        <v>8</v>
      </c>
      <c r="W27" s="1565">
        <f>J27</f>
        <v>100</v>
      </c>
      <c r="X27" s="1566"/>
      <c r="Y27" s="3395"/>
      <c r="Z27" s="2572" t="str">
        <f>Q27</f>
        <v>基础设施水平</v>
      </c>
      <c r="AA27" s="1572">
        <f>D27/F27</f>
        <v>1</v>
      </c>
      <c r="AB27" s="1572">
        <f>D27/H27</f>
        <v>1</v>
      </c>
      <c r="AC27" s="1572">
        <f>D27/J27</f>
        <v>1</v>
      </c>
    </row>
    <row r="28" spans="1:29" s="1217" customFormat="1" ht="15">
      <c r="A28" s="574"/>
      <c r="B28" s="592"/>
      <c r="C28" s="2589"/>
      <c r="D28" s="552"/>
      <c r="E28" s="576"/>
      <c r="F28" s="552"/>
      <c r="G28" s="576"/>
      <c r="H28" s="552"/>
      <c r="I28" s="576"/>
      <c r="J28" s="552"/>
      <c r="K28" s="528"/>
      <c r="L28" s="2132"/>
      <c r="M28" s="2133"/>
      <c r="N28" s="2133"/>
      <c r="O28" s="2134"/>
      <c r="P28" s="3395"/>
      <c r="Q28" s="2575"/>
      <c r="R28" s="1564"/>
      <c r="S28" s="1565"/>
      <c r="T28" s="1564"/>
      <c r="U28" s="1565"/>
      <c r="V28" s="1564"/>
      <c r="W28" s="1565"/>
      <c r="X28" s="1566"/>
      <c r="Y28" s="3395"/>
      <c r="Z28" s="2572"/>
      <c r="AA28" s="1567">
        <v>1</v>
      </c>
      <c r="AB28" s="1567">
        <v>1</v>
      </c>
      <c r="AC28" s="1567">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39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395"/>
      <c r="Z29" s="1571" t="str">
        <f t="shared" ref="Z29:Z42" si="13">Q29</f>
        <v>临街状况</v>
      </c>
      <c r="AA29" s="1572">
        <f t="shared" si="3"/>
        <v>1</v>
      </c>
      <c r="AB29" s="1572">
        <f t="shared" si="4"/>
        <v>1</v>
      </c>
      <c r="AC29" s="1572">
        <f t="shared" si="5"/>
        <v>1</v>
      </c>
    </row>
    <row r="30" spans="1:29" ht="27">
      <c r="A30" s="529"/>
      <c r="B30" s="919" t="s">
        <v>547</v>
      </c>
      <c r="C30" s="259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395"/>
      <c r="Q30" s="1568" t="str">
        <f t="shared" si="8"/>
        <v>毗邻道路的类型与等级</v>
      </c>
      <c r="R30" s="1569" t="s">
        <v>8</v>
      </c>
      <c r="S30" s="1570">
        <f t="shared" si="10"/>
        <v>100</v>
      </c>
      <c r="T30" s="1569" t="s">
        <v>8</v>
      </c>
      <c r="U30" s="1570">
        <f t="shared" si="11"/>
        <v>100</v>
      </c>
      <c r="V30" s="1569" t="s">
        <v>8</v>
      </c>
      <c r="W30" s="1570">
        <f t="shared" si="12"/>
        <v>100</v>
      </c>
      <c r="X30" s="1563"/>
      <c r="Y30" s="3395"/>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9"/>
      <c r="M31" s="2131"/>
      <c r="N31" s="2131"/>
      <c r="O31" s="2138"/>
      <c r="P31" s="3395"/>
      <c r="Q31" s="1568"/>
      <c r="R31" s="1569"/>
      <c r="S31" s="1570"/>
      <c r="T31" s="1569"/>
      <c r="U31" s="1570"/>
      <c r="V31" s="1569"/>
      <c r="W31" s="1570"/>
      <c r="X31" s="1563"/>
      <c r="Y31" s="3395"/>
      <c r="Z31" s="1571"/>
      <c r="AA31" s="1572">
        <v>1</v>
      </c>
      <c r="AB31" s="1572">
        <v>1</v>
      </c>
      <c r="AC31" s="1572">
        <v>1</v>
      </c>
    </row>
    <row r="32" spans="1:29" ht="15">
      <c r="A32" s="529"/>
      <c r="B32" s="524" t="s">
        <v>548</v>
      </c>
      <c r="C32" s="259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395"/>
      <c r="Q32" s="1568" t="str">
        <f t="shared" si="8"/>
        <v>土地级别</v>
      </c>
      <c r="R32" s="1569" t="s">
        <v>8</v>
      </c>
      <c r="S32" s="1570">
        <f t="shared" si="10"/>
        <v>100</v>
      </c>
      <c r="T32" s="1569" t="s">
        <v>8</v>
      </c>
      <c r="U32" s="1570">
        <f t="shared" si="11"/>
        <v>100</v>
      </c>
      <c r="V32" s="1569" t="s">
        <v>8</v>
      </c>
      <c r="W32" s="1570">
        <f t="shared" si="12"/>
        <v>100</v>
      </c>
      <c r="X32" s="1563"/>
      <c r="Y32" s="3395"/>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395"/>
      <c r="Q33" s="1568">
        <f t="shared" si="8"/>
        <v>111</v>
      </c>
      <c r="R33" s="1569" t="s">
        <v>8</v>
      </c>
      <c r="S33" s="1570">
        <f t="shared" si="10"/>
        <v>100</v>
      </c>
      <c r="T33" s="1569" t="s">
        <v>8</v>
      </c>
      <c r="U33" s="1570">
        <f t="shared" si="11"/>
        <v>100</v>
      </c>
      <c r="V33" s="1569" t="s">
        <v>8</v>
      </c>
      <c r="W33" s="1570">
        <f t="shared" si="12"/>
        <v>100</v>
      </c>
      <c r="X33" s="1563"/>
      <c r="Y33" s="3395"/>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396" t="s">
        <v>549</v>
      </c>
      <c r="Q34" s="1568">
        <f t="shared" si="8"/>
        <v>111</v>
      </c>
      <c r="R34" s="1569" t="s">
        <v>8</v>
      </c>
      <c r="S34" s="1570">
        <f t="shared" si="10"/>
        <v>100</v>
      </c>
      <c r="T34" s="1569" t="s">
        <v>8</v>
      </c>
      <c r="U34" s="1570">
        <f t="shared" si="11"/>
        <v>100</v>
      </c>
      <c r="V34" s="1569" t="s">
        <v>8</v>
      </c>
      <c r="W34" s="1570">
        <f t="shared" si="12"/>
        <v>100</v>
      </c>
      <c r="X34" s="1563"/>
      <c r="Y34" s="3397" t="s">
        <v>549</v>
      </c>
      <c r="Z34" s="1571">
        <f t="shared" si="13"/>
        <v>111</v>
      </c>
      <c r="AA34" s="1572">
        <f t="shared" si="3"/>
        <v>1</v>
      </c>
      <c r="AB34" s="1572">
        <f t="shared" si="4"/>
        <v>1</v>
      </c>
      <c r="AC34" s="1572">
        <f t="shared" si="5"/>
        <v>1</v>
      </c>
    </row>
    <row r="35" spans="1:29" s="1336" customFormat="1" ht="15.75" thickBot="1">
      <c r="A35" s="586"/>
      <c r="B35" s="2591">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397"/>
      <c r="Q35" s="1568">
        <f t="shared" si="8"/>
        <v>111</v>
      </c>
      <c r="R35" s="1573" t="s">
        <v>8</v>
      </c>
      <c r="S35" s="1574">
        <f t="shared" si="10"/>
        <v>100</v>
      </c>
      <c r="T35" s="1573" t="s">
        <v>8</v>
      </c>
      <c r="U35" s="1574">
        <f t="shared" si="11"/>
        <v>100</v>
      </c>
      <c r="V35" s="1573" t="s">
        <v>8</v>
      </c>
      <c r="W35" s="1574">
        <f t="shared" si="12"/>
        <v>100</v>
      </c>
      <c r="X35" s="1575"/>
      <c r="Y35" s="3397"/>
      <c r="Z35" s="1576">
        <f t="shared" si="13"/>
        <v>111</v>
      </c>
      <c r="AA35" s="1572">
        <f t="shared" si="3"/>
        <v>1</v>
      </c>
      <c r="AB35" s="1572">
        <f t="shared" si="4"/>
        <v>1</v>
      </c>
      <c r="AC35" s="1572">
        <f t="shared" si="5"/>
        <v>1</v>
      </c>
    </row>
    <row r="36" spans="1:29" ht="15">
      <c r="A36" s="2904" t="s">
        <v>2756</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397"/>
      <c r="Q36" s="1568" t="str">
        <f>B36</f>
        <v>宗地面积</v>
      </c>
      <c r="R36" s="1569" t="s">
        <v>8</v>
      </c>
      <c r="S36" s="1570" t="e">
        <f t="shared" si="10"/>
        <v>#N/A</v>
      </c>
      <c r="T36" s="1569" t="s">
        <v>8</v>
      </c>
      <c r="U36" s="1570" t="e">
        <f t="shared" si="11"/>
        <v>#N/A</v>
      </c>
      <c r="V36" s="1569" t="s">
        <v>8</v>
      </c>
      <c r="W36" s="1570" t="e">
        <f t="shared" si="12"/>
        <v>#N/A</v>
      </c>
      <c r="X36" s="1563"/>
      <c r="Y36" s="3397"/>
      <c r="Z36" s="1571" t="str">
        <f t="shared" si="13"/>
        <v>宗地面积</v>
      </c>
      <c r="AA36" s="1572" t="e">
        <f t="shared" si="3"/>
        <v>#N/A</v>
      </c>
      <c r="AB36" s="1572" t="e">
        <f t="shared" si="4"/>
        <v>#N/A</v>
      </c>
      <c r="AC36" s="1572"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397"/>
      <c r="Q37" s="1568" t="str">
        <f t="shared" ref="Q37:Q42" si="14">B37</f>
        <v>宗地形状</v>
      </c>
      <c r="R37" s="1569" t="s">
        <v>8</v>
      </c>
      <c r="S37" s="1570">
        <f t="shared" si="10"/>
        <v>100</v>
      </c>
      <c r="T37" s="1569" t="s">
        <v>8</v>
      </c>
      <c r="U37" s="1570">
        <f t="shared" si="11"/>
        <v>100</v>
      </c>
      <c r="V37" s="1569" t="s">
        <v>8</v>
      </c>
      <c r="W37" s="1570">
        <f t="shared" si="12"/>
        <v>100</v>
      </c>
      <c r="X37" s="1563"/>
      <c r="Y37" s="3397"/>
      <c r="Z37" s="1571" t="str">
        <f t="shared" si="13"/>
        <v>宗地形状</v>
      </c>
      <c r="AA37" s="1572">
        <f t="shared" si="3"/>
        <v>1</v>
      </c>
      <c r="AB37" s="1572">
        <f t="shared" si="4"/>
        <v>1</v>
      </c>
      <c r="AC37" s="1572">
        <f t="shared" si="5"/>
        <v>1</v>
      </c>
    </row>
    <row r="38" spans="1:29" s="1217" customFormat="1" ht="15">
      <c r="A38" s="597"/>
      <c r="B38" s="1892" t="s">
        <v>2426</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397"/>
      <c r="Q38" s="1568" t="str">
        <f t="shared" si="14"/>
        <v>宗地开发程度</v>
      </c>
      <c r="R38" s="1564" t="s">
        <v>8</v>
      </c>
      <c r="S38" s="1565">
        <f t="shared" si="10"/>
        <v>100</v>
      </c>
      <c r="T38" s="1564" t="s">
        <v>8</v>
      </c>
      <c r="U38" s="1565">
        <f t="shared" si="11"/>
        <v>100</v>
      </c>
      <c r="V38" s="1564" t="s">
        <v>8</v>
      </c>
      <c r="W38" s="1565">
        <f t="shared" si="12"/>
        <v>100</v>
      </c>
      <c r="X38" s="1566"/>
      <c r="Y38" s="3397"/>
      <c r="Z38" s="1147" t="str">
        <f t="shared" si="13"/>
        <v>宗地开发程度</v>
      </c>
      <c r="AA38" s="1567">
        <f t="shared" si="3"/>
        <v>1</v>
      </c>
      <c r="AB38" s="1567">
        <f t="shared" si="4"/>
        <v>1</v>
      </c>
      <c r="AC38" s="1567">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397" t="s">
        <v>600</v>
      </c>
      <c r="Q39" s="1568" t="str">
        <f t="shared" si="14"/>
        <v>工程地质条件</v>
      </c>
      <c r="R39" s="1569" t="s">
        <v>8</v>
      </c>
      <c r="S39" s="1570">
        <f t="shared" si="10"/>
        <v>100</v>
      </c>
      <c r="T39" s="1569" t="s">
        <v>8</v>
      </c>
      <c r="U39" s="1570">
        <f t="shared" si="11"/>
        <v>100</v>
      </c>
      <c r="V39" s="1569" t="s">
        <v>8</v>
      </c>
      <c r="W39" s="1570">
        <f t="shared" si="12"/>
        <v>100</v>
      </c>
      <c r="X39" s="1563"/>
      <c r="Y39" s="3397" t="s">
        <v>600</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397"/>
      <c r="Q40" s="1568">
        <f t="shared" si="14"/>
        <v>111</v>
      </c>
      <c r="R40" s="1569" t="s">
        <v>8</v>
      </c>
      <c r="S40" s="1570">
        <f t="shared" si="10"/>
        <v>100</v>
      </c>
      <c r="T40" s="1569" t="s">
        <v>8</v>
      </c>
      <c r="U40" s="1570">
        <f t="shared" si="11"/>
        <v>100</v>
      </c>
      <c r="V40" s="1569" t="s">
        <v>8</v>
      </c>
      <c r="W40" s="1570">
        <f t="shared" si="12"/>
        <v>100</v>
      </c>
      <c r="X40" s="1563"/>
      <c r="Y40" s="3397"/>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397"/>
      <c r="Q41" s="1568">
        <f t="shared" si="14"/>
        <v>111</v>
      </c>
      <c r="R41" s="1569" t="s">
        <v>8</v>
      </c>
      <c r="S41" s="1570">
        <f t="shared" si="10"/>
        <v>100</v>
      </c>
      <c r="T41" s="1569" t="s">
        <v>8</v>
      </c>
      <c r="U41" s="1570">
        <f t="shared" si="11"/>
        <v>100</v>
      </c>
      <c r="V41" s="1569" t="s">
        <v>8</v>
      </c>
      <c r="W41" s="1570">
        <f t="shared" si="12"/>
        <v>100</v>
      </c>
      <c r="X41" s="1563"/>
      <c r="Y41" s="3397"/>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397"/>
      <c r="Q42" s="1568">
        <f t="shared" si="14"/>
        <v>111</v>
      </c>
      <c r="R42" s="1573" t="s">
        <v>8</v>
      </c>
      <c r="S42" s="1574">
        <f t="shared" si="10"/>
        <v>100</v>
      </c>
      <c r="T42" s="1573" t="s">
        <v>8</v>
      </c>
      <c r="U42" s="1574">
        <f t="shared" si="11"/>
        <v>100</v>
      </c>
      <c r="V42" s="1573" t="s">
        <v>8</v>
      </c>
      <c r="W42" s="1574">
        <f t="shared" si="12"/>
        <v>100</v>
      </c>
      <c r="X42" s="1575"/>
      <c r="Y42" s="3397"/>
      <c r="Z42" s="1576">
        <f t="shared" si="13"/>
        <v>111</v>
      </c>
      <c r="AA42" s="1572">
        <f t="shared" si="3"/>
        <v>1</v>
      </c>
      <c r="AB42" s="1572">
        <f t="shared" si="4"/>
        <v>1</v>
      </c>
      <c r="AC42" s="1572">
        <f t="shared" si="5"/>
        <v>1</v>
      </c>
    </row>
    <row r="43" spans="1:29" ht="15">
      <c r="A43" s="604" t="s">
        <v>555</v>
      </c>
      <c r="B43" s="605" t="s">
        <v>2932</v>
      </c>
      <c r="C43" s="606" t="s">
        <v>1</v>
      </c>
      <c r="D43" s="607"/>
      <c r="E43" s="608"/>
      <c r="F43" s="609"/>
      <c r="G43" s="610"/>
      <c r="H43" s="611"/>
      <c r="I43" s="608"/>
      <c r="J43" s="611"/>
      <c r="K43" s="1337"/>
      <c r="L43" s="2141"/>
      <c r="M43" s="2131"/>
      <c r="N43" s="2131"/>
      <c r="O43" s="2142"/>
      <c r="P43" s="3392" t="str">
        <f>A43</f>
        <v>成交单价</v>
      </c>
      <c r="Q43" s="3392"/>
      <c r="R43" s="3406">
        <f>E43</f>
        <v>0</v>
      </c>
      <c r="S43" s="3406"/>
      <c r="T43" s="3406">
        <f>G43</f>
        <v>0</v>
      </c>
      <c r="U43" s="3406"/>
      <c r="V43" s="3406">
        <f>I43</f>
        <v>0</v>
      </c>
      <c r="W43" s="3406"/>
      <c r="X43" s="1555"/>
      <c r="Y43" s="1577"/>
      <c r="Z43" s="1555"/>
      <c r="AA43" s="1555"/>
      <c r="AB43" s="1555"/>
      <c r="AC43" s="1555"/>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392" t="str">
        <f>A44</f>
        <v>比较价格（元/平方米）</v>
      </c>
      <c r="Q44" s="3392"/>
      <c r="R44" s="3418" t="e">
        <f>ROUND(PRODUCT(R43,AA9:AA42),0)</f>
        <v>#DIV/0!</v>
      </c>
      <c r="S44" s="3418"/>
      <c r="T44" s="3418" t="e">
        <f>ROUND(PRODUCT(T43,AB9:AB42),0)</f>
        <v>#DIV/0!</v>
      </c>
      <c r="U44" s="3418"/>
      <c r="V44" s="3418" t="e">
        <f>ROUND(PRODUCT(V43,AC9:AC42),0)</f>
        <v>#DIV/0!</v>
      </c>
      <c r="W44" s="3418"/>
      <c r="X44" s="1555"/>
      <c r="Y44" s="1555"/>
      <c r="Z44" s="1555"/>
      <c r="AA44" s="1555"/>
      <c r="AB44" s="1555"/>
      <c r="AC44" s="1555"/>
    </row>
    <row r="45" spans="1:29" ht="15.75" thickBot="1">
      <c r="A45" s="618" t="s">
        <v>2933</v>
      </c>
      <c r="B45" s="619"/>
      <c r="C45" s="620" t="e">
        <f>R45</f>
        <v>#DIV/0!</v>
      </c>
      <c r="D45" s="620"/>
      <c r="E45" s="620"/>
      <c r="F45" s="620"/>
      <c r="G45" s="620"/>
      <c r="H45" s="620"/>
      <c r="I45" s="620"/>
      <c r="J45" s="620"/>
      <c r="K45" s="1339"/>
      <c r="L45" s="2141"/>
      <c r="M45" s="2131"/>
      <c r="N45" s="2131"/>
      <c r="O45" s="2142"/>
      <c r="P45" s="3415" t="str">
        <f>A45</f>
        <v>估价对象XX用房的比较价格（楼面单价，元/平方米）</v>
      </c>
      <c r="Q45" s="3416"/>
      <c r="R45" s="3417" t="e">
        <f>ROUND(AVERAGE(R44:V44),0)</f>
        <v>#DIV/0!</v>
      </c>
      <c r="S45" s="3417"/>
      <c r="T45" s="3417"/>
      <c r="U45" s="3417"/>
      <c r="V45" s="3417"/>
      <c r="W45" s="3417"/>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559</v>
      </c>
      <c r="B52" s="627" t="s">
        <v>560</v>
      </c>
      <c r="C52" s="1556" t="s">
        <v>1724</v>
      </c>
      <c r="D52" s="2224" t="s">
        <v>2295</v>
      </c>
      <c r="E52" s="628" t="s">
        <v>561</v>
      </c>
      <c r="F52" s="1948" t="s">
        <v>562</v>
      </c>
      <c r="G52" s="3419" t="s">
        <v>2286</v>
      </c>
      <c r="H52" s="3420"/>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563</v>
      </c>
      <c r="B53" s="631" t="e">
        <f>C45</f>
        <v>#DIV/0!</v>
      </c>
      <c r="C53" s="632">
        <v>1</v>
      </c>
      <c r="D53" s="2225">
        <v>1</v>
      </c>
      <c r="E53" s="632">
        <f>'数据-汇总表'!E8+'数据-汇总表'!E9</f>
        <v>147824.00000000003</v>
      </c>
      <c r="F53" s="1947" t="e">
        <f t="shared" ref="F53:F62" si="15">ROUND(B53*E53/10000,0)</f>
        <v>#DIV/0!</v>
      </c>
      <c r="G53" s="3421"/>
      <c r="H53" s="3422"/>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564</v>
      </c>
      <c r="B54" s="635" t="e">
        <f>ROUND($C$45*C54*D54,0)</f>
        <v>#DIV/0!</v>
      </c>
      <c r="C54" s="375">
        <f t="shared" ref="C54:C62" si="16">IF($C$52="北京市系数",I54,J54)</f>
        <v>0.7</v>
      </c>
      <c r="D54" s="2226">
        <v>0.25</v>
      </c>
      <c r="E54" s="636"/>
      <c r="F54" s="1947" t="e">
        <f t="shared" si="15"/>
        <v>#DIV/0!</v>
      </c>
      <c r="G54" s="3423" t="s">
        <v>2287</v>
      </c>
      <c r="H54" s="1951" t="str">
        <f>项目基本情况!B43</f>
        <v>六级</v>
      </c>
      <c r="I54" s="1950">
        <f>SUMIF(修正!$A$45:$A$56,H54,修正!B45:B56)</f>
        <v>0.7</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565</v>
      </c>
      <c r="B55" s="635" t="e">
        <f t="shared" ref="B55:B62" si="17">ROUND($C$45*C55*D55,0)</f>
        <v>#DIV/0!</v>
      </c>
      <c r="C55" s="375">
        <f t="shared" si="16"/>
        <v>0.4</v>
      </c>
      <c r="D55" s="2226">
        <v>0.25</v>
      </c>
      <c r="E55" s="636"/>
      <c r="F55" s="1947" t="e">
        <f t="shared" si="15"/>
        <v>#DIV/0!</v>
      </c>
      <c r="G55" s="3423"/>
      <c r="H55" s="1952" t="str">
        <f>项目基本情况!B43</f>
        <v>六级</v>
      </c>
      <c r="I55" s="1950">
        <f>SUMIF(修正!$A$45:$A$56,H55,修正!C45:C56)</f>
        <v>0.4</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566</v>
      </c>
      <c r="B56" s="635" t="e">
        <f t="shared" si="17"/>
        <v>#DIV/0!</v>
      </c>
      <c r="C56" s="375">
        <f t="shared" si="16"/>
        <v>0.28000000000000003</v>
      </c>
      <c r="D56" s="2226">
        <v>0.25</v>
      </c>
      <c r="E56" s="636"/>
      <c r="F56" s="1947" t="e">
        <f t="shared" si="15"/>
        <v>#DIV/0!</v>
      </c>
      <c r="G56" s="3423"/>
      <c r="H56" s="1952" t="str">
        <f>项目基本情况!B43</f>
        <v>六级</v>
      </c>
      <c r="I56" s="1950">
        <f>SUMIF(修正!$A$45:$A$56,H56,修正!D45:D56)</f>
        <v>0.28000000000000003</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567</v>
      </c>
      <c r="B57" s="635" t="e">
        <f t="shared" si="17"/>
        <v>#DIV/0!</v>
      </c>
      <c r="C57" s="375">
        <f t="shared" si="16"/>
        <v>0.25</v>
      </c>
      <c r="D57" s="2226">
        <v>0.25</v>
      </c>
      <c r="E57" s="636"/>
      <c r="F57" s="1947" t="e">
        <f t="shared" si="15"/>
        <v>#DIV/0!</v>
      </c>
      <c r="G57" s="3423"/>
      <c r="H57" s="1952" t="str">
        <f>项目基本情况!B43</f>
        <v>六级</v>
      </c>
      <c r="I57" s="1950">
        <f>SUMIF(修正!$A$45:$A$56,H57,修正!E45:E56)</f>
        <v>0.25</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2330</v>
      </c>
      <c r="B58" s="635" t="e">
        <f t="shared" si="17"/>
        <v>#DIV/0!</v>
      </c>
      <c r="C58" s="375">
        <f t="shared" si="16"/>
        <v>0.25</v>
      </c>
      <c r="D58" s="2226">
        <v>0.25</v>
      </c>
      <c r="E58" s="638">
        <f>'数据-汇总表'!E11</f>
        <v>50.41</v>
      </c>
      <c r="F58" s="1947" t="e">
        <f t="shared" si="15"/>
        <v>#DIV/0!</v>
      </c>
      <c r="G58" s="1953" t="s">
        <v>2288</v>
      </c>
      <c r="H58" s="1952" t="str">
        <f>项目基本情况!C43</f>
        <v>六级</v>
      </c>
      <c r="I58" s="1950">
        <f>SUMIF(修正!$A$45:$A$56,H58,修正!F45:F56)</f>
        <v>0.25</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568</v>
      </c>
      <c r="B59" s="635" t="e">
        <f t="shared" si="17"/>
        <v>#DIV/0!</v>
      </c>
      <c r="C59" s="375">
        <f t="shared" si="16"/>
        <v>0.25</v>
      </c>
      <c r="D59" s="2226">
        <v>0.25</v>
      </c>
      <c r="E59" s="638">
        <f>'数据-汇总表'!E12</f>
        <v>79869.01999999996</v>
      </c>
      <c r="F59" s="1947" t="e">
        <f t="shared" si="15"/>
        <v>#DIV/0!</v>
      </c>
      <c r="G59" s="1943" t="s">
        <v>1677</v>
      </c>
      <c r="H59" s="1951" t="str">
        <f>IF(G59="商业",项目基本情况!B43,IF(G59="办公",项目基本情况!C43,IF(G59="住宅",项目基本情况!D43,项目基本情况!E43)))</f>
        <v>六级</v>
      </c>
      <c r="I59" s="1950">
        <f>SUMIF(修正!$A$45:$A$56,H59,修正!G45:G56)</f>
        <v>0.25</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569</v>
      </c>
      <c r="B60" s="635" t="e">
        <f t="shared" si="17"/>
        <v>#DIV/0!</v>
      </c>
      <c r="C60" s="375">
        <f t="shared" si="16"/>
        <v>0.2</v>
      </c>
      <c r="D60" s="2226">
        <v>0.25</v>
      </c>
      <c r="E60" s="638">
        <f>'数据-汇总表'!E13</f>
        <v>58360.560000000005</v>
      </c>
      <c r="F60" s="1947" t="e">
        <f t="shared" si="15"/>
        <v>#DIV/0!</v>
      </c>
      <c r="G60" s="1943" t="s">
        <v>922</v>
      </c>
      <c r="H60" s="1951" t="str">
        <f>IF(G60="商业",项目基本情况!B43,IF(G60="办公",项目基本情况!C43,IF(G60="住宅",项目基本情况!D43,项目基本情况!E43)))</f>
        <v>六级</v>
      </c>
      <c r="I60" s="1950">
        <f>SUMIF(修正!$A$45:$A$56,H60,修正!H45:H56)</f>
        <v>0.2</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570</v>
      </c>
      <c r="B61" s="635" t="e">
        <f t="shared" si="17"/>
        <v>#DIV/0!</v>
      </c>
      <c r="C61" s="375">
        <f t="shared" si="16"/>
        <v>0.2</v>
      </c>
      <c r="D61" s="2226">
        <v>0.25</v>
      </c>
      <c r="E61" s="638">
        <f>'数据-汇总表'!E14</f>
        <v>0</v>
      </c>
      <c r="F61" s="1947" t="e">
        <f t="shared" si="15"/>
        <v>#DIV/0!</v>
      </c>
      <c r="G61" s="1953" t="s">
        <v>2287</v>
      </c>
      <c r="H61" s="1952" t="str">
        <f>项目基本情况!B43</f>
        <v>六级</v>
      </c>
      <c r="I61" s="1950">
        <f>SUMIF(修正!$A$45:$A$56,H61,修正!H45:H56)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571</v>
      </c>
      <c r="B62" s="635" t="e">
        <f t="shared" si="17"/>
        <v>#DIV/0!</v>
      </c>
      <c r="C62" s="375">
        <f t="shared" si="16"/>
        <v>0.2</v>
      </c>
      <c r="D62" s="2226">
        <v>0.25</v>
      </c>
      <c r="E62" s="638">
        <f>'数据-汇总表'!E15</f>
        <v>0</v>
      </c>
      <c r="F62" s="1947" t="e">
        <f t="shared" si="15"/>
        <v>#DIV/0!</v>
      </c>
      <c r="G62" s="1954" t="s">
        <v>2288</v>
      </c>
      <c r="H62" s="1955" t="str">
        <f>项目基本情况!C43</f>
        <v>六级</v>
      </c>
      <c r="I62" s="1950">
        <f>SUMIF(修正!$A$45:$A$56,H62,修正!H45:H56)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572</v>
      </c>
      <c r="B63" s="640" t="s">
        <v>17</v>
      </c>
      <c r="C63" s="640" t="s">
        <v>18</v>
      </c>
      <c r="D63" s="640" t="s">
        <v>2296</v>
      </c>
      <c r="E63" s="640">
        <f>IF(B43="楼面地价",SUM(E53:E62),'数据-汇总表'!D3)</f>
        <v>147515.15</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65" t="s">
        <v>2535</v>
      </c>
      <c r="B67" s="643"/>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7" customFormat="1" ht="27.75" customHeight="1">
      <c r="A68" s="2795" t="s">
        <v>2650</v>
      </c>
      <c r="B68" s="476" t="str">
        <f>"北京市平均增长率"&amp;TEXT(基准地价!P24,"0.00%")</f>
        <v>北京市平均增长率1.42%</v>
      </c>
      <c r="C68" s="891">
        <v>100</v>
      </c>
      <c r="D68" s="727"/>
      <c r="E68" s="727"/>
      <c r="F68" s="727"/>
      <c r="G68" s="727"/>
      <c r="H68" s="727"/>
      <c r="I68" s="727"/>
      <c r="J68" s="727"/>
      <c r="K68" s="727"/>
      <c r="L68" s="727"/>
      <c r="M68" s="2789"/>
      <c r="N68" s="2790"/>
      <c r="O68" s="2159"/>
      <c r="P68" s="2155"/>
      <c r="Q68" s="1990"/>
      <c r="R68" s="1990"/>
      <c r="S68" s="1990"/>
      <c r="T68" s="1990"/>
      <c r="U68" s="1990"/>
      <c r="V68" s="1990"/>
      <c r="W68" s="1990"/>
      <c r="X68" s="1990"/>
      <c r="Y68" s="1990"/>
      <c r="Z68" s="1990"/>
      <c r="AA68" s="1990"/>
      <c r="AB68" s="1990"/>
      <c r="AC68" s="1990"/>
    </row>
    <row r="69" spans="1:29" s="1217" customFormat="1" ht="15.75" thickBot="1">
      <c r="A69" s="650" t="s">
        <v>574</v>
      </c>
      <c r="B69" s="651"/>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7" customFormat="1" ht="15">
      <c r="A70" s="656" t="s">
        <v>530</v>
      </c>
      <c r="B70" s="645"/>
      <c r="C70" s="657" t="s">
        <v>575</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576</v>
      </c>
      <c r="B72" s="662" t="s">
        <v>533</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536</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538</v>
      </c>
      <c r="B85" s="662" t="s">
        <v>601</v>
      </c>
      <c r="C85" s="700" t="s">
        <v>578</v>
      </c>
      <c r="D85" s="700" t="s">
        <v>579</v>
      </c>
      <c r="E85" s="700" t="s">
        <v>580</v>
      </c>
      <c r="F85" s="700" t="s">
        <v>581</v>
      </c>
      <c r="G85" s="700" t="s">
        <v>582</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585</v>
      </c>
      <c r="C87" s="705" t="s">
        <v>578</v>
      </c>
      <c r="D87" s="705" t="s">
        <v>579</v>
      </c>
      <c r="E87" s="705" t="s">
        <v>580</v>
      </c>
      <c r="F87" s="705" t="s">
        <v>581</v>
      </c>
      <c r="G87" s="705" t="s">
        <v>582</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586</v>
      </c>
      <c r="C89" s="705" t="s">
        <v>578</v>
      </c>
      <c r="D89" s="705" t="s">
        <v>579</v>
      </c>
      <c r="E89" s="705" t="s">
        <v>580</v>
      </c>
      <c r="F89" s="705" t="s">
        <v>581</v>
      </c>
      <c r="G89" s="705" t="s">
        <v>582</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587</v>
      </c>
      <c r="C91" s="700" t="s">
        <v>578</v>
      </c>
      <c r="D91" s="700" t="s">
        <v>579</v>
      </c>
      <c r="E91" s="700" t="s">
        <v>580</v>
      </c>
      <c r="F91" s="700" t="s">
        <v>581</v>
      </c>
      <c r="G91" s="700" t="s">
        <v>582</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2550</v>
      </c>
      <c r="C93" s="700" t="s">
        <v>578</v>
      </c>
      <c r="D93" s="700" t="s">
        <v>579</v>
      </c>
      <c r="E93" s="700" t="s">
        <v>580</v>
      </c>
      <c r="F93" s="700" t="s">
        <v>581</v>
      </c>
      <c r="G93" s="700" t="s">
        <v>582</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594" t="s">
        <v>2552</v>
      </c>
      <c r="C95" s="2595" t="s">
        <v>2553</v>
      </c>
      <c r="D95" s="2595" t="s">
        <v>2554</v>
      </c>
      <c r="E95" s="2595" t="s">
        <v>2555</v>
      </c>
      <c r="F95" s="2595" t="s">
        <v>2556</v>
      </c>
      <c r="G95" s="2595" t="s">
        <v>2557</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7"/>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588</v>
      </c>
      <c r="D97" s="671" t="s">
        <v>589</v>
      </c>
      <c r="E97" s="671" t="s">
        <v>590</v>
      </c>
      <c r="F97" s="671" t="s">
        <v>591</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547</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548</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593</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2427</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595</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9"/>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32" t="s">
        <v>2763</v>
      </c>
      <c r="S1" s="2932" t="s">
        <v>2764</v>
      </c>
      <c r="T1" s="2932" t="s">
        <v>2785</v>
      </c>
      <c r="U1" s="2932" t="s">
        <v>2786</v>
      </c>
      <c r="V1" s="2932" t="s">
        <v>2787</v>
      </c>
      <c r="W1" s="2186"/>
      <c r="X1" s="2186"/>
      <c r="Y1" s="2186"/>
      <c r="Z1" s="2186"/>
      <c r="AA1" s="2186"/>
      <c r="AB1" s="2186"/>
      <c r="AC1" s="2187"/>
    </row>
    <row r="2" spans="1:39" ht="15.75">
      <c r="A2" s="1402" t="s">
        <v>919</v>
      </c>
      <c r="B2" s="1035" t="e">
        <f>C26</f>
        <v>#DIV/0!</v>
      </c>
      <c r="C2" s="1403" t="s">
        <v>920</v>
      </c>
      <c r="D2" s="1404" t="s">
        <v>921</v>
      </c>
      <c r="E2" s="1405"/>
      <c r="F2" s="1404" t="s">
        <v>923</v>
      </c>
      <c r="G2" s="1648" t="str">
        <f>IF(E2="商业",项目基本情况!B43,IF(E2="办公",项目基本情况!C43,IF(E2="住宅",项目基本情况!D43,项目基本情况!E43)))</f>
        <v>六级</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33">
        <v>1</v>
      </c>
      <c r="S2" s="2933">
        <f>ROUND(IF(G3&gt;1,IF(R2&lt;7,SUMPRODUCT((B93:B98=R2)*(C92:N92=G2)*(C93:N98)),SUMIF(C92:N92,G2,C100:N100)),IF(R2&lt;7,SUMPRODUCT((B102:B107=R2)*(C92:N92=G2)*(C102:N107)),SUMIF(C92:N92,G2,C109:N109))),4)</f>
        <v>1.8629</v>
      </c>
      <c r="T2" s="2933" t="e">
        <f>ROUND($C$5*$C$18*$C$19*$C$20*S2*$C$24,0)</f>
        <v>#DIV/0!</v>
      </c>
      <c r="U2" s="2922"/>
      <c r="V2" s="2933" t="e">
        <f>ROUND(T2*U2/10000,0)</f>
        <v>#DIV/0!</v>
      </c>
      <c r="W2" s="2186"/>
      <c r="X2" s="2186"/>
      <c r="Y2" s="2186"/>
      <c r="Z2" s="2186"/>
      <c r="AA2" s="2186"/>
      <c r="AB2" s="2186"/>
      <c r="AC2" s="2187"/>
    </row>
    <row r="3" spans="1:39" ht="15.75">
      <c r="A3" s="1407" t="s">
        <v>1687</v>
      </c>
      <c r="B3" s="1035" t="e">
        <f>ROUND(B2*10000/D1,0)</f>
        <v>#DIV/0!</v>
      </c>
      <c r="C3" s="1403" t="s">
        <v>926</v>
      </c>
      <c r="D3" s="1404" t="s">
        <v>927</v>
      </c>
      <c r="E3" s="1408"/>
      <c r="F3" s="1409" t="s">
        <v>2934</v>
      </c>
      <c r="G3" s="1036">
        <f>IF(F3="宗地容积率",'数据-汇总表'!I4,IF(F3="估价对象容积率",'数据-汇总表'!I6,'数据-汇总表'!I7))</f>
        <v>1.01</v>
      </c>
      <c r="H3" s="1410" t="s">
        <v>928</v>
      </c>
      <c r="I3" s="1037">
        <v>8</v>
      </c>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33">
        <v>2</v>
      </c>
      <c r="S3" s="2933">
        <f>ROUND(IF(G3&gt;1,IF(R3&lt;7,SUMPRODUCT((B93:B98=R3)*(C92:N92=G2)*(C93:N98)),SUMIF(C92:N92,G2,C100:N100)),IF(R3&lt;7,SUMPRODUCT((B102:B107=R3)*(C92:N92=G2)*(C102:N107)),SUMIF(C92:N92,G2,C109:N109))),4)</f>
        <v>1.3371999999999999</v>
      </c>
      <c r="T3" s="2933" t="e">
        <f t="shared" ref="T3:T16" si="0">ROUND($C$5*$C$18*$C$19*$C$20*S3*$C$24,0)</f>
        <v>#DIV/0!</v>
      </c>
      <c r="U3" s="2922"/>
      <c r="V3" s="2933" t="e">
        <f t="shared" ref="V3:V16" si="1">ROUND(T3*U3/10000,0)</f>
        <v>#DIV/0!</v>
      </c>
      <c r="W3" s="2186"/>
      <c r="X3" s="2186"/>
      <c r="Y3" s="2186"/>
      <c r="Z3" s="2186"/>
      <c r="AA3" s="2186"/>
      <c r="AB3" s="2186"/>
      <c r="AC3" s="2187"/>
    </row>
    <row r="4" spans="1:39" ht="28.5">
      <c r="A4" s="1888" t="s">
        <v>2282</v>
      </c>
      <c r="B4" s="2450" t="e">
        <f>ROUND(B2*10000/F1,0)</f>
        <v>#DIV/0!</v>
      </c>
      <c r="C4" s="1891" t="s">
        <v>2256</v>
      </c>
      <c r="D4" s="1891" t="e">
        <f>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33">
        <v>3</v>
      </c>
      <c r="S4" s="2933">
        <f>ROUND(IF(G3&gt;1,IF(R4&lt;7,SUMPRODUCT((B93:B98=R4)*(C92:N92=G2)*(C93:N98)),SUMIF(C92:N92,G2,C100:N100)),IF(R4&lt;7,SUMPRODUCT((B102:B107=R4)*(C92:N92=G2)*(C102:N107)),SUMIF(C92:N92,G2,C109:N109))),4)</f>
        <v>1.0788</v>
      </c>
      <c r="T4" s="2933" t="e">
        <f t="shared" si="0"/>
        <v>#DIV/0!</v>
      </c>
      <c r="U4" s="2922"/>
      <c r="V4" s="2933" t="e">
        <f t="shared" si="1"/>
        <v>#DIV/0!</v>
      </c>
      <c r="W4" s="2186"/>
      <c r="X4" s="2186"/>
      <c r="Y4" s="2186"/>
      <c r="Z4" s="2186"/>
      <c r="AA4" s="2186"/>
      <c r="AB4" s="2186"/>
      <c r="AC4" s="2187"/>
    </row>
    <row r="5" spans="1:39" s="1417" customFormat="1" ht="15.75" thickBot="1">
      <c r="A5" s="1634" t="s">
        <v>1823</v>
      </c>
      <c r="B5" s="1411" t="s">
        <v>930</v>
      </c>
      <c r="C5" s="1038" t="e">
        <f>ROUND(IF(E2="商业",IF(F16="增加",C6*C7+C16,C6*C7-C16),IF(E2="住宅",IF(F16="增加",C6*C12+C16,C6*C12-C16),IF(F16="增加",C6+C16,C6-C16))),0)</f>
        <v>#DIV/0!</v>
      </c>
      <c r="D5" s="3113">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33">
        <v>4</v>
      </c>
      <c r="S5" s="2933">
        <f>ROUND(IF(G3&gt;1,IF(R5&lt;7,SUMPRODUCT((B93:B98=R5)*(C92:N92=G2)*(C93:N98)),SUMIF(C92:N92,G2,C100:N100)),IF(R5&lt;7,SUMPRODUCT((B102:B107=R5)*(C92:N92=G2)*(C102:N107)),SUMIF(C92:N92,G2,C109:N109))),4)</f>
        <v>0.86560000000000004</v>
      </c>
      <c r="T5" s="2933" t="e">
        <f t="shared" si="0"/>
        <v>#DIV/0!</v>
      </c>
      <c r="U5" s="2922"/>
      <c r="V5" s="2933"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9">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33">
        <v>5</v>
      </c>
      <c r="S6" s="2933">
        <f>ROUND(IF(G3&gt;1,IF(R6&lt;7,SUMPRODUCT((B93:B98=R6)*(C92:N92=G2)*(C93:N98)),SUMIF(C92:N92,G2,C100:N100)),IF(R6&lt;7,SUMPRODUCT((B102:B107=R6)*(C92:N92=G2)*(C102:N107)),SUMIF(C92:N92,G2,C109:N109))),4)</f>
        <v>0.73709999999999998</v>
      </c>
      <c r="T6" s="2933" t="e">
        <f t="shared" si="0"/>
        <v>#DIV/0!</v>
      </c>
      <c r="U6" s="2922"/>
      <c r="V6" s="2933" t="e">
        <f t="shared" si="1"/>
        <v>#DIV/0!</v>
      </c>
      <c r="W6" s="2186"/>
      <c r="X6" s="2186"/>
      <c r="Y6" s="2186"/>
      <c r="Z6" s="2186"/>
      <c r="AA6" s="2186"/>
      <c r="AB6" s="2186"/>
      <c r="AC6" s="2188"/>
      <c r="AD6" s="1415"/>
      <c r="AE6" s="1415"/>
      <c r="AF6" s="1415"/>
      <c r="AG6" s="1415"/>
      <c r="AH6" s="1415"/>
      <c r="AI6" s="1415"/>
      <c r="AJ6" s="1416"/>
    </row>
    <row r="7" spans="1:39" ht="24">
      <c r="A7" s="3432" t="str">
        <f>IF(E2="商业",IF(C8="不临58条商业街","",2),"")</f>
        <v/>
      </c>
      <c r="B7" s="1423" t="s">
        <v>931</v>
      </c>
      <c r="C7" s="1040" t="e">
        <f>IF(C8="不临58条商业街",1,ROUND(1+(1.6*E8+1.2*E9+0.8*E10+0.4*E11)*C9,4))</f>
        <v>#DIV/0!</v>
      </c>
      <c r="D7" s="1424" t="s">
        <v>932</v>
      </c>
      <c r="E7" s="1041"/>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33">
        <v>6</v>
      </c>
      <c r="S7" s="2933">
        <f>ROUND(IF(G3&gt;1,IF(R7&lt;7,SUMPRODUCT((B93:B98=R7)*(C92:N92=G2)*(C93:N98)),SUMIF(C92:N92,G2,C100:N100)),IF(R7&lt;7,SUMPRODUCT((B102:B107=R7)*(C92:N92=G2)*(C102:N107)),SUMIF(C92:N92,G2,C109:N109))),4)</f>
        <v>0.6482</v>
      </c>
      <c r="T7" s="2933" t="e">
        <f t="shared" si="0"/>
        <v>#DIV/0!</v>
      </c>
      <c r="U7" s="2922"/>
      <c r="V7" s="2933" t="e">
        <f t="shared" si="1"/>
        <v>#DIV/0!</v>
      </c>
      <c r="W7" s="2931" t="s">
        <v>2766</v>
      </c>
      <c r="X7" s="2923" t="str">
        <f>G2</f>
        <v>六级</v>
      </c>
      <c r="Y7" s="2923" t="s">
        <v>2767</v>
      </c>
      <c r="Z7" s="2924">
        <f>G3</f>
        <v>1.01</v>
      </c>
      <c r="AA7" s="2189"/>
      <c r="AB7" s="2189"/>
      <c r="AC7" s="2190"/>
      <c r="AD7" s="2925"/>
      <c r="AE7" s="2925"/>
      <c r="AF7" s="2925"/>
      <c r="AG7" s="2925"/>
      <c r="AH7" s="2925"/>
      <c r="AI7" s="2925"/>
      <c r="AJ7" s="2926"/>
    </row>
    <row r="8" spans="1:39" ht="15">
      <c r="A8" s="3433"/>
      <c r="B8" s="1410" t="s">
        <v>933</v>
      </c>
      <c r="C8" s="1525"/>
      <c r="D8" s="1042" t="s">
        <v>934</v>
      </c>
      <c r="E8" s="1043"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33">
        <v>7</v>
      </c>
      <c r="S8" s="2922"/>
      <c r="T8" s="2933" t="e">
        <f t="shared" si="0"/>
        <v>#DIV/0!</v>
      </c>
      <c r="U8" s="2922"/>
      <c r="V8" s="2933" t="e">
        <f t="shared" si="1"/>
        <v>#DIV/0!</v>
      </c>
      <c r="W8" s="3442" t="s">
        <v>2784</v>
      </c>
      <c r="X8" s="3443"/>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33"/>
      <c r="B9" s="1410" t="s">
        <v>936</v>
      </c>
      <c r="C9" s="1044">
        <f>SUMIF(修正!C59:C119,C8,修正!E59:E119)</f>
        <v>0</v>
      </c>
      <c r="D9" s="1045" t="s">
        <v>937</v>
      </c>
      <c r="E9" s="1045"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33">
        <v>8</v>
      </c>
      <c r="S9" s="2922"/>
      <c r="T9" s="2933" t="e">
        <f t="shared" si="0"/>
        <v>#DIV/0!</v>
      </c>
      <c r="U9" s="2922"/>
      <c r="V9" s="2933" t="e">
        <f t="shared" si="1"/>
        <v>#DIV/0!</v>
      </c>
      <c r="W9" s="3441" t="s">
        <v>2780</v>
      </c>
      <c r="X9" s="2927" t="s">
        <v>2781</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33"/>
      <c r="B10" s="1410" t="s">
        <v>939</v>
      </c>
      <c r="C10" s="1045">
        <f>SUMIF(修正!C59:C119,C8,修正!F59:F119)</f>
        <v>0</v>
      </c>
      <c r="D10" s="1045" t="s">
        <v>940</v>
      </c>
      <c r="E10" s="1045"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33">
        <v>9</v>
      </c>
      <c r="S10" s="2922"/>
      <c r="T10" s="2933" t="e">
        <f t="shared" si="0"/>
        <v>#DIV/0!</v>
      </c>
      <c r="U10" s="2922"/>
      <c r="V10" s="2933" t="e">
        <f t="shared" si="1"/>
        <v>#DIV/0!</v>
      </c>
      <c r="W10" s="3441"/>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33"/>
      <c r="B11" s="1431" t="s">
        <v>942</v>
      </c>
      <c r="C11" s="1046">
        <f>C10/4</f>
        <v>0</v>
      </c>
      <c r="D11" s="1046" t="s">
        <v>943</v>
      </c>
      <c r="E11" s="1046"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33">
        <v>10</v>
      </c>
      <c r="S11" s="2922"/>
      <c r="T11" s="2933" t="e">
        <f t="shared" si="0"/>
        <v>#DIV/0!</v>
      </c>
      <c r="U11" s="2922"/>
      <c r="V11" s="2933" t="e">
        <f t="shared" si="1"/>
        <v>#DIV/0!</v>
      </c>
      <c r="W11" s="3441" t="s">
        <v>2782</v>
      </c>
      <c r="X11" s="1045" t="s">
        <v>2767</v>
      </c>
      <c r="Y11" s="1649">
        <f>$G$3</f>
        <v>1.01</v>
      </c>
      <c r="Z11" s="1649">
        <f t="shared" ref="Z11:AJ11" si="3">$G$3</f>
        <v>1.01</v>
      </c>
      <c r="AA11" s="1649">
        <f t="shared" si="3"/>
        <v>1.01</v>
      </c>
      <c r="AB11" s="1649">
        <f t="shared" si="3"/>
        <v>1.01</v>
      </c>
      <c r="AC11" s="1649">
        <f t="shared" si="3"/>
        <v>1.01</v>
      </c>
      <c r="AD11" s="1649">
        <f t="shared" si="3"/>
        <v>1.01</v>
      </c>
      <c r="AE11" s="1649">
        <f t="shared" si="3"/>
        <v>1.01</v>
      </c>
      <c r="AF11" s="1649">
        <f t="shared" si="3"/>
        <v>1.01</v>
      </c>
      <c r="AG11" s="1649">
        <f t="shared" si="3"/>
        <v>1.01</v>
      </c>
      <c r="AH11" s="1649">
        <f t="shared" si="3"/>
        <v>1.01</v>
      </c>
      <c r="AI11" s="1649">
        <f t="shared" si="3"/>
        <v>1.01</v>
      </c>
      <c r="AJ11" s="1649">
        <f t="shared" si="3"/>
        <v>1.01</v>
      </c>
    </row>
    <row r="12" spans="1:39" ht="25.5" thickBot="1">
      <c r="A12" s="3432" t="s">
        <v>1871</v>
      </c>
      <c r="B12" s="1435" t="s">
        <v>945</v>
      </c>
      <c r="C12" s="1040">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33">
        <v>11</v>
      </c>
      <c r="S12" s="2922"/>
      <c r="T12" s="2933" t="e">
        <f t="shared" si="0"/>
        <v>#DIV/0!</v>
      </c>
      <c r="U12" s="2922"/>
      <c r="V12" s="2933" t="e">
        <f t="shared" si="1"/>
        <v>#DIV/0!</v>
      </c>
      <c r="W12" s="3441"/>
      <c r="X12" s="2930" t="s">
        <v>2783</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34"/>
      <c r="B13" s="1440" t="s">
        <v>1696</v>
      </c>
      <c r="C13" s="1441" t="s">
        <v>1697</v>
      </c>
      <c r="D13" s="1086" t="s">
        <v>1698</v>
      </c>
      <c r="E13" s="1086" t="s">
        <v>1699</v>
      </c>
      <c r="F13" s="1442" t="s">
        <v>947</v>
      </c>
      <c r="G13" s="1443" t="s">
        <v>1642</v>
      </c>
      <c r="H13" s="1444" t="s">
        <v>1642</v>
      </c>
      <c r="I13" s="1445" t="s">
        <v>1642</v>
      </c>
      <c r="J13" s="1446" t="s">
        <v>1642</v>
      </c>
      <c r="K13" s="1397"/>
      <c r="L13" s="2186"/>
      <c r="M13" s="2186"/>
      <c r="N13" s="2186"/>
      <c r="O13" s="2186"/>
      <c r="P13" s="2186"/>
      <c r="Q13" s="2186"/>
      <c r="R13" s="2933">
        <v>12</v>
      </c>
      <c r="S13" s="2922"/>
      <c r="T13" s="2933" t="e">
        <f t="shared" si="0"/>
        <v>#DIV/0!</v>
      </c>
      <c r="U13" s="2922"/>
      <c r="V13" s="2933" t="e">
        <f t="shared" si="1"/>
        <v>#DIV/0!</v>
      </c>
      <c r="W13" s="3441"/>
      <c r="X13" s="2930"/>
      <c r="Y13" s="2929">
        <f>(-0.163*(Y12^2)-0.59*Y12+7617)*(10^(-4))/Y11</f>
        <v>0.75415841584158416</v>
      </c>
      <c r="Z13" s="2929">
        <f t="shared" ref="Z13:AJ13" si="5">(-0.163*(Z12^2)-0.59*Z12+7617)*(10^(-4))/Z11</f>
        <v>0.75415841584158416</v>
      </c>
      <c r="AA13" s="2929">
        <f t="shared" si="5"/>
        <v>0.75415841584158416</v>
      </c>
      <c r="AB13" s="2929">
        <f t="shared" si="5"/>
        <v>0.75415841584158416</v>
      </c>
      <c r="AC13" s="2929">
        <f t="shared" si="5"/>
        <v>0.75415841584158416</v>
      </c>
      <c r="AD13" s="2929">
        <f t="shared" si="5"/>
        <v>0.75415841584158416</v>
      </c>
      <c r="AE13" s="2929">
        <f t="shared" si="5"/>
        <v>0.75415841584158416</v>
      </c>
      <c r="AF13" s="2929">
        <f t="shared" si="5"/>
        <v>0.75415841584158416</v>
      </c>
      <c r="AG13" s="2929">
        <f t="shared" si="5"/>
        <v>0.75415841584158416</v>
      </c>
      <c r="AH13" s="2929">
        <f t="shared" si="5"/>
        <v>0.75415841584158416</v>
      </c>
      <c r="AI13" s="2929">
        <f t="shared" si="5"/>
        <v>0.75415841584158416</v>
      </c>
      <c r="AJ13" s="2929">
        <f t="shared" si="5"/>
        <v>0.75415841584158416</v>
      </c>
    </row>
    <row r="14" spans="1:39" ht="12.75" customHeight="1" thickBot="1">
      <c r="A14" s="3434"/>
      <c r="B14" s="1447"/>
      <c r="C14" s="1448"/>
      <c r="D14" s="1449"/>
      <c r="E14" s="1449"/>
      <c r="F14" s="1450"/>
      <c r="G14" s="1451" t="s">
        <v>948</v>
      </c>
      <c r="H14" s="1452"/>
      <c r="I14" s="1453"/>
      <c r="J14" s="1454"/>
      <c r="K14" s="1397"/>
      <c r="L14" s="2186"/>
      <c r="M14" s="2186"/>
      <c r="N14" s="2186"/>
      <c r="O14" s="2186"/>
      <c r="P14" s="2186"/>
      <c r="Q14" s="2186"/>
      <c r="R14" s="2933">
        <v>13</v>
      </c>
      <c r="S14" s="2922"/>
      <c r="T14" s="2933" t="e">
        <f t="shared" si="0"/>
        <v>#DIV/0!</v>
      </c>
      <c r="U14" s="2922"/>
      <c r="V14" s="2933" t="e">
        <f t="shared" si="1"/>
        <v>#DIV/0!</v>
      </c>
      <c r="W14" s="2186"/>
      <c r="X14" s="2186"/>
      <c r="Y14" s="2186"/>
      <c r="Z14" s="2186"/>
      <c r="AA14" s="2186"/>
      <c r="AB14" s="2186"/>
      <c r="AC14" s="2187"/>
    </row>
    <row r="15" spans="1:39" ht="13.5" customHeight="1" thickBot="1">
      <c r="A15" s="3435"/>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897</v>
      </c>
      <c r="M15" s="1424" t="s">
        <v>983</v>
      </c>
      <c r="N15" s="1424" t="s">
        <v>984</v>
      </c>
      <c r="O15" s="1424" t="s">
        <v>901</v>
      </c>
      <c r="P15" s="1472" t="s">
        <v>985</v>
      </c>
      <c r="Q15" s="2186"/>
      <c r="R15" s="2933">
        <v>14</v>
      </c>
      <c r="S15" s="2922"/>
      <c r="T15" s="2933" t="e">
        <f t="shared" si="0"/>
        <v>#DIV/0!</v>
      </c>
      <c r="U15" s="2922"/>
      <c r="V15" s="2933" t="e">
        <f t="shared" si="1"/>
        <v>#DIV/0!</v>
      </c>
      <c r="W15" s="2186"/>
      <c r="X15" s="2186"/>
      <c r="Y15" s="2186"/>
      <c r="Z15" s="2186"/>
      <c r="AA15" s="2186"/>
      <c r="AB15" s="2186"/>
      <c r="AC15" s="2187"/>
    </row>
    <row r="16" spans="1:39" ht="24">
      <c r="A16" s="3432" t="s">
        <v>1838</v>
      </c>
      <c r="B16" s="1423" t="s">
        <v>949</v>
      </c>
      <c r="C16" s="1051" t="e">
        <f>ROUND(SUM(G17:J17)/C17,0)</f>
        <v>#DIV/0!</v>
      </c>
      <c r="D16" s="1456" t="s">
        <v>950</v>
      </c>
      <c r="E16" s="1457"/>
      <c r="F16" s="1458"/>
      <c r="G16" s="1459"/>
      <c r="H16" s="1459"/>
      <c r="I16" s="1459"/>
      <c r="J16" s="1459"/>
      <c r="K16" s="1397"/>
      <c r="L16" s="1460" t="s">
        <v>987</v>
      </c>
      <c r="M16" s="1044">
        <v>0.25</v>
      </c>
      <c r="N16" s="1044">
        <v>0.2</v>
      </c>
      <c r="O16" s="1044">
        <v>0.15</v>
      </c>
      <c r="P16" s="1535">
        <v>0.1</v>
      </c>
      <c r="Q16" s="2189"/>
      <c r="R16" s="2933">
        <v>15</v>
      </c>
      <c r="S16" s="2922"/>
      <c r="T16" s="2933" t="e">
        <f t="shared" si="0"/>
        <v>#DIV/0!</v>
      </c>
      <c r="U16" s="2922"/>
      <c r="V16" s="2933" t="e">
        <f t="shared" si="1"/>
        <v>#DIV/0!</v>
      </c>
      <c r="W16" s="2189"/>
      <c r="X16" s="2189"/>
      <c r="Y16" s="2189"/>
      <c r="Z16" s="2189"/>
      <c r="AA16" s="2189"/>
      <c r="AB16" s="2189"/>
      <c r="AC16" s="2190"/>
    </row>
    <row r="17" spans="1:40" ht="13.5" thickBot="1">
      <c r="A17" s="3433"/>
      <c r="B17" s="1461" t="s">
        <v>952</v>
      </c>
      <c r="C17" s="1052">
        <f>SUMPRODUCT((修正!A2:A5=E2)*(修正!B1:M1=G2)*(修正!B2:M5))</f>
        <v>0</v>
      </c>
      <c r="D17" s="1463" t="s">
        <v>953</v>
      </c>
      <c r="E17" s="1464" t="str">
        <f>IF(OR(G2="八级",G2="九级",G2="十级",G2="十一级",G2="十二级"),"五通一平","七通一平")</f>
        <v>七通一平</v>
      </c>
      <c r="F17" s="1462"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69" t="s">
        <v>955</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4" t="e">
        <f>ROUND(IF(H19="按公示增长率计算",SUMPRODUCT((地价!A3:A24=YEAR(G19)&amp;"-"&amp;ROUNDUP(MONTH(G19)/3,0))*(地价!X2:AB2=E2)*(地价!X3:AB24)),IF(H19="地价指数",M20/M19,(1+I19)^O19)),4)</f>
        <v>#DIV/0!</v>
      </c>
      <c r="D19" s="1470" t="s">
        <v>957</v>
      </c>
      <c r="E19" s="1055">
        <v>41640</v>
      </c>
      <c r="F19" s="1470" t="s">
        <v>958</v>
      </c>
      <c r="G19" s="1056">
        <f>'数据-取费表'!B2</f>
        <v>43403</v>
      </c>
      <c r="H19" s="1471" t="s">
        <v>2935</v>
      </c>
      <c r="I19" s="2781" t="str">
        <f>IF(H19="季度增幅（自定义）",SUMIF(N21:N24,E2,O21:O24),"")</f>
        <v/>
      </c>
      <c r="J19" s="1467"/>
      <c r="K19" s="1477"/>
      <c r="L19" s="3033" t="s">
        <v>2842</v>
      </c>
      <c r="M19" s="3034">
        <f>ROUND(SUMIF(地价!B2:F2,E2,地价!B24:F24),0)</f>
        <v>0</v>
      </c>
      <c r="N19" s="2783" t="s">
        <v>1676</v>
      </c>
      <c r="O19" s="2782">
        <f>ROUNDDOWN(DATEDIF(E19,G19,"M")/3,0)</f>
        <v>19</v>
      </c>
      <c r="P19" s="1592"/>
      <c r="R19" s="2921"/>
      <c r="S19" s="2921"/>
      <c r="T19" s="2921"/>
      <c r="U19" s="2921"/>
      <c r="V19" s="2921"/>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1836</v>
      </c>
      <c r="B20" s="2776" t="s">
        <v>971</v>
      </c>
      <c r="C20" s="2777" t="e">
        <f>ROUND(POWER(1+G20,J20-I20)*(POWER(1+G20,I20)-1)/(POWER(1+G20,J20)-1),4)</f>
        <v>#DIV/0!</v>
      </c>
      <c r="D20" s="2778" t="s">
        <v>972</v>
      </c>
      <c r="E20" s="3088">
        <f ca="1">存贷款利率!I4/100</f>
        <v>4.3499999999999997E-2</v>
      </c>
      <c r="F20" s="2778" t="s">
        <v>973</v>
      </c>
      <c r="G20" s="2779">
        <f>SUMIF(M15:P15,E2,M17:P17)</f>
        <v>0</v>
      </c>
      <c r="H20" s="2778" t="s">
        <v>974</v>
      </c>
      <c r="I20" s="2768" t="e">
        <f>SUMIF('数据-取费表'!C6:C15,E2,'数据-取费表'!F6:F15)/COUNTIF('数据-取费表'!C6:C15,E2)</f>
        <v>#DIV/0!</v>
      </c>
      <c r="J20" s="2780">
        <f>IF(E2="住宅",70,IF(E2="商业",40,50))</f>
        <v>50</v>
      </c>
      <c r="K20" s="1477"/>
      <c r="L20" s="3035" t="s">
        <v>2843</v>
      </c>
      <c r="M20" s="3036">
        <f>ROUND(SUMPRODUCT((地价!A4:A24=YEAR(G19)&amp;"-"&amp;ROUNDUP(MONTH(G19)/3,0))*(地价!B2:F2=E2)*(地价!B4:F24)),0)</f>
        <v>0</v>
      </c>
      <c r="N20" s="2786" t="s">
        <v>2647</v>
      </c>
      <c r="O20" s="2784" t="s">
        <v>2646</v>
      </c>
      <c r="P20" s="2785" t="s">
        <v>2651</v>
      </c>
      <c r="R20" s="2921"/>
      <c r="S20" s="2921"/>
      <c r="T20" s="2921"/>
      <c r="U20" s="2921"/>
      <c r="V20" s="2921"/>
      <c r="W20" s="2192"/>
      <c r="X20" s="2192"/>
      <c r="Y20" s="2192"/>
      <c r="Z20" s="2192"/>
      <c r="AA20" s="2192"/>
      <c r="AB20" s="2192"/>
      <c r="AC20" s="2192"/>
      <c r="AD20" s="1468"/>
      <c r="AE20" s="1468"/>
      <c r="AF20" s="1468"/>
      <c r="AG20" s="1468"/>
      <c r="AH20" s="1468"/>
      <c r="AI20" s="1468"/>
    </row>
    <row r="21" spans="1:40" s="1417" customFormat="1" ht="14.25">
      <c r="A21" s="1638" t="s">
        <v>1837</v>
      </c>
      <c r="B21" s="1476" t="s">
        <v>2762</v>
      </c>
      <c r="C21" s="1155">
        <f>IF(B21="容积率修正",IF(G3&lt;=10,D22,J22),C23)</f>
        <v>0.64629999999999999</v>
      </c>
      <c r="D21" s="1477"/>
      <c r="E21" s="1477"/>
      <c r="F21" s="1477"/>
      <c r="G21" s="1477"/>
      <c r="H21" s="1477"/>
      <c r="I21" s="1477"/>
      <c r="J21" s="1478"/>
      <c r="K21" s="1477"/>
      <c r="L21" s="1477"/>
      <c r="M21" s="1477"/>
      <c r="N21" s="1474" t="s">
        <v>975</v>
      </c>
      <c r="O21" s="1538"/>
      <c r="P21" s="2766">
        <f>SUMPRODUCT((地价!A3:A24=YEAR(G19)&amp;"-"&amp;ROUNDUP(MONTH(G19)/3,0))*(地价!AD2:AH2=N21)*(地价!AD3:AH24))</f>
        <v>1.5299999999999999E-2</v>
      </c>
      <c r="R21" s="2921"/>
      <c r="S21" s="2921"/>
      <c r="T21" s="2921"/>
      <c r="U21" s="2921"/>
      <c r="V21" s="2921"/>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7" t="s">
        <v>1702</v>
      </c>
      <c r="D22" s="1057">
        <f>IF(E22=G22,F22,IF(G3&lt;=10,ROUND(F22+(H22-F22)*(G3-E22)/(G22-E22),4),"——"))</f>
        <v>0.10489999999999999</v>
      </c>
      <c r="E22" s="1036">
        <f>ROUNDDOWN(G3,1)</f>
        <v>1</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1.1000000000000001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1.0492999999999999</v>
      </c>
      <c r="I22" s="1057" t="s">
        <v>977</v>
      </c>
      <c r="J22" s="1057" t="str">
        <f>IF(G3&gt;10,D113,"——")</f>
        <v>——</v>
      </c>
      <c r="K22" s="1477"/>
      <c r="L22" s="1477"/>
      <c r="M22" s="1477"/>
      <c r="N22" s="1474" t="s">
        <v>978</v>
      </c>
      <c r="O22" s="1538"/>
      <c r="P22" s="2766">
        <f>SUMPRODUCT((地价!A3:A24=YEAR(G19)&amp;"-"&amp;ROUNDUP(MONTH(G19)/3,0))*(地价!AD2:AH2=N22)*(地价!AD3:AH24))</f>
        <v>1.5299999999999999E-2</v>
      </c>
      <c r="R22" s="2921"/>
      <c r="S22" s="2921"/>
      <c r="T22" s="2921"/>
      <c r="U22" s="2921"/>
      <c r="V22" s="2921"/>
      <c r="W22" s="2192"/>
      <c r="X22" s="2192"/>
      <c r="Y22" s="2192"/>
      <c r="Z22" s="2192"/>
      <c r="AA22" s="2192"/>
      <c r="AB22" s="2192"/>
      <c r="AC22" s="2192"/>
      <c r="AD22" s="1468"/>
      <c r="AE22" s="1468"/>
      <c r="AF22" s="1468"/>
      <c r="AG22" s="1468"/>
      <c r="AH22" s="1468"/>
      <c r="AI22" s="1468"/>
    </row>
    <row r="23" spans="1:40" ht="27.75" thickBot="1">
      <c r="A23" s="1639" t="s">
        <v>1871</v>
      </c>
      <c r="B23" s="1479" t="s">
        <v>979</v>
      </c>
      <c r="C23" s="1058">
        <f>ROUND(IF(G3&gt;1,IF(I3&lt;7,SUMPRODUCT((B93:B98=I3)*(C92:N92=G2)*(C93:N98)),SUMIF(C92:N92,G2,C100:N100)),IF(I3&lt;7,SUMPRODUCT((B102:B107=I3)*(C92:N92=G2)*(C102:N107)),SUMIF(C92:N92,G2,C109:N109))),4)</f>
        <v>0.64629999999999999</v>
      </c>
      <c r="D23" s="1526"/>
      <c r="E23" s="1526"/>
      <c r="F23" s="1527"/>
      <c r="G23" s="1528"/>
      <c r="H23" s="1529"/>
      <c r="I23" s="1530"/>
      <c r="J23" s="1530"/>
      <c r="K23" s="1397"/>
      <c r="L23" s="1397"/>
      <c r="M23" s="1397"/>
      <c r="N23" s="1474" t="s">
        <v>922</v>
      </c>
      <c r="O23" s="1538"/>
      <c r="P23" s="2766">
        <f>SUMPRODUCT((地价!A3:A24=YEAR(G19)&amp;"-"&amp;ROUNDUP(MONTH(G19)/3,0))*(地价!AD2:AH2=N23)*(地价!AD3:AH24))</f>
        <v>2.41E-2</v>
      </c>
      <c r="R23" s="2921"/>
      <c r="S23" s="2921"/>
      <c r="T23" s="2921"/>
      <c r="U23" s="2921"/>
      <c r="V23" s="2921"/>
      <c r="W23" s="2192"/>
      <c r="X23" s="2192"/>
      <c r="Y23" s="2192"/>
      <c r="Z23" s="2192"/>
      <c r="AA23" s="2192"/>
      <c r="AB23" s="2192"/>
      <c r="AC23" s="2192"/>
      <c r="AN23" s="1400"/>
    </row>
    <row r="24" spans="1:40" s="1417" customFormat="1" ht="15.75" thickBot="1">
      <c r="A24" s="1637" t="s">
        <v>1872</v>
      </c>
      <c r="B24" s="1411" t="s">
        <v>980</v>
      </c>
      <c r="C24" s="1059">
        <f>SUMIF(A44:A87,E2,B44:B87)</f>
        <v>0</v>
      </c>
      <c r="D24" s="1531"/>
      <c r="E24" s="1532"/>
      <c r="F24" s="1532"/>
      <c r="G24" s="1532"/>
      <c r="H24" s="1532"/>
      <c r="I24" s="1532"/>
      <c r="J24" s="1532"/>
      <c r="K24" s="1477"/>
      <c r="L24" s="1477"/>
      <c r="M24" s="1477"/>
      <c r="N24" s="1480" t="s">
        <v>981</v>
      </c>
      <c r="O24" s="1539"/>
      <c r="P24" s="1537">
        <f>SUMPRODUCT((地价!A3:A24=YEAR(G19)&amp;"-"&amp;ROUNDUP(MONTH(G19)/3,0))*(地价!AD2:AH2=N24)*(地价!AD3:AH24))</f>
        <v>1.4200000000000001E-2</v>
      </c>
      <c r="R24" s="2921"/>
      <c r="S24" s="2921"/>
      <c r="T24" s="2921"/>
      <c r="U24" s="2921"/>
      <c r="V24" s="2921"/>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794" t="s">
        <v>2649</v>
      </c>
      <c r="O25" s="2192"/>
      <c r="P25" s="1537">
        <f>SUMPRODUCT((地价!A3:A24=YEAR(G19)&amp;"-"&amp;ROUNDUP(MONTH(G19)/3,0))*(地价!AD2:AH2=N25)*(地价!AD3:AH24))</f>
        <v>2.1899999999999999E-2</v>
      </c>
      <c r="R25" s="2921"/>
      <c r="S25" s="2921"/>
      <c r="T25" s="2921"/>
      <c r="U25" s="2921"/>
      <c r="V25" s="2921"/>
      <c r="W25" s="2192"/>
      <c r="X25" s="2192"/>
      <c r="Y25" s="2192"/>
      <c r="Z25" s="2192"/>
      <c r="AA25" s="2192"/>
      <c r="AB25" s="2192"/>
      <c r="AC25" s="2192"/>
    </row>
    <row r="26" spans="1:40" ht="14.25">
      <c r="A26" s="1485"/>
      <c r="B26" s="1479" t="s">
        <v>986</v>
      </c>
      <c r="C26" s="1060" t="e">
        <f>E29+SUM(E33:E39)</f>
        <v>#DIV/0!</v>
      </c>
      <c r="D26" s="1486"/>
      <c r="E26" s="1452"/>
      <c r="F26" s="1487"/>
      <c r="G26" s="1452"/>
      <c r="H26" s="1452"/>
      <c r="I26" s="1452"/>
      <c r="J26" s="1488"/>
      <c r="K26" s="1397"/>
      <c r="L26" s="2192"/>
      <c r="M26" s="2192"/>
      <c r="N26" s="2192"/>
      <c r="O26" s="2192"/>
      <c r="P26" s="2192"/>
      <c r="Q26" s="2192"/>
      <c r="R26" s="2921"/>
      <c r="S26" s="2921"/>
      <c r="T26" s="2921"/>
      <c r="U26" s="2921"/>
      <c r="V26" s="2921"/>
      <c r="W26" s="2192"/>
      <c r="X26" s="2192"/>
      <c r="Y26" s="2192"/>
      <c r="Z26" s="2192"/>
      <c r="AA26" s="2192"/>
      <c r="AB26" s="2192"/>
      <c r="AC26" s="2192"/>
      <c r="AD26" s="1468"/>
      <c r="AE26" s="1468"/>
      <c r="AF26" s="1468"/>
      <c r="AG26" s="1468"/>
    </row>
    <row r="27" spans="1:40" ht="15" thickBot="1">
      <c r="A27" s="1485"/>
      <c r="B27" s="1489" t="s">
        <v>988</v>
      </c>
      <c r="C27" s="1061" t="e">
        <f>E30+SUM(I33:I39)</f>
        <v>#DIV/0!</v>
      </c>
      <c r="D27" s="1490"/>
      <c r="E27" s="1491"/>
      <c r="F27" s="1492"/>
      <c r="G27" s="1491"/>
      <c r="H27" s="1491"/>
      <c r="I27" s="1491"/>
      <c r="J27" s="1493"/>
      <c r="K27" s="1397"/>
      <c r="L27" s="2192"/>
      <c r="M27" s="2192"/>
      <c r="N27" s="2192"/>
      <c r="O27" s="2192"/>
      <c r="P27" s="2192"/>
      <c r="Q27" s="2192"/>
      <c r="R27" s="2921"/>
      <c r="S27" s="2921"/>
      <c r="T27" s="2921"/>
      <c r="U27" s="2921"/>
      <c r="V27" s="2921"/>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21"/>
      <c r="S28" s="2921"/>
      <c r="T28" s="2921"/>
      <c r="U28" s="2921"/>
      <c r="V28" s="2921"/>
      <c r="W28" s="2192"/>
      <c r="X28" s="2192"/>
      <c r="Y28" s="2192"/>
      <c r="Z28" s="2192"/>
      <c r="AA28" s="2192"/>
      <c r="AB28" s="2192"/>
      <c r="AC28" s="2192"/>
      <c r="AD28" s="1468"/>
      <c r="AE28" s="1468"/>
      <c r="AF28" s="1468"/>
      <c r="AG28" s="1468"/>
    </row>
    <row r="29" spans="1:40" ht="24">
      <c r="A29" s="1498"/>
      <c r="B29" s="1499" t="s">
        <v>993</v>
      </c>
      <c r="C29" s="1060" t="e">
        <f>ROUND(C5*C18*C19*C20*C21*C24,0)</f>
        <v>#DIV/0!</v>
      </c>
      <c r="D29" s="1500"/>
      <c r="E29" s="1846" t="e">
        <f>ROUND(C29*D29/10000,0)</f>
        <v>#DIV/0!</v>
      </c>
      <c r="F29" s="1501" t="s">
        <v>1701</v>
      </c>
      <c r="G29" s="1502"/>
      <c r="H29" s="1502"/>
      <c r="I29" s="1502"/>
      <c r="J29" s="1503"/>
      <c r="K29" s="1397"/>
      <c r="L29" s="2192"/>
      <c r="M29" s="2192"/>
      <c r="N29" s="2192"/>
      <c r="O29" s="2192"/>
      <c r="P29" s="2192"/>
      <c r="Q29" s="2192"/>
      <c r="R29" s="2921"/>
      <c r="S29" s="2921"/>
      <c r="T29" s="2921"/>
      <c r="U29" s="2921"/>
      <c r="V29" s="2921"/>
      <c r="W29" s="2192"/>
      <c r="X29" s="2192"/>
      <c r="Y29" s="2192"/>
      <c r="Z29" s="2192"/>
      <c r="AA29" s="2192"/>
      <c r="AB29" s="2192"/>
      <c r="AC29" s="2192"/>
      <c r="AH29" s="1398"/>
      <c r="AI29" s="1398"/>
      <c r="AJ29" s="1401"/>
      <c r="AK29" s="1401"/>
      <c r="AL29" s="1401"/>
      <c r="AM29" s="1401"/>
    </row>
    <row r="30" spans="1:40" ht="24.75" thickBot="1">
      <c r="A30" s="1504"/>
      <c r="B30" s="1505" t="s">
        <v>994</v>
      </c>
      <c r="C30" s="1048" t="e">
        <f>ROUND(IF(E2="工业",C29*M39,C29*M38),0)</f>
        <v>#DIV/0!</v>
      </c>
      <c r="D30" s="1506"/>
      <c r="E30" s="1846" t="e">
        <f>ROUND(C30*D30/10000,0)</f>
        <v>#DIV/0!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38" t="s">
        <v>2961</v>
      </c>
      <c r="B33" s="1520" t="s">
        <v>999</v>
      </c>
      <c r="C33" s="1060" t="e">
        <f>ROUND(D5*C19*C20*C24*F33,0)</f>
        <v>#DIV/0!</v>
      </c>
      <c r="D33" s="1533"/>
      <c r="E33" s="1045" t="e">
        <f>ROUND(C33*D33/10000,0)</f>
        <v>#DIV/0!</v>
      </c>
      <c r="F33" s="1045">
        <f>SUMIF(修正!A45:A56,G2,修正!B45:B56)</f>
        <v>0.7</v>
      </c>
      <c r="G33" s="1045" t="e">
        <f t="shared" ref="G33" si="6">ROUND(IF(E2="工业",C33*$M$39,C33*$M$38),0)</f>
        <v>#DIV/0!</v>
      </c>
      <c r="H33" s="1045">
        <f>D33</f>
        <v>0</v>
      </c>
      <c r="I33" s="1045"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39"/>
      <c r="B34" s="1441" t="s">
        <v>1000</v>
      </c>
      <c r="C34" s="1060" t="e">
        <f>ROUND(D5*C19*C20*C24*F34,0)</f>
        <v>#DIV/0!</v>
      </c>
      <c r="D34" s="1533"/>
      <c r="E34" s="1045" t="e">
        <f t="shared" ref="E34:E39" si="7">ROUND(C34*D34/10000,0)</f>
        <v>#DIV/0!</v>
      </c>
      <c r="F34" s="1045">
        <f>SUMIF(修正!A45:A56,G2,修正!C45:C56)</f>
        <v>0.4</v>
      </c>
      <c r="G34" s="1045" t="e">
        <f>ROUND(IF(E2="工业",C34*$M$39,C34*$M$38),0)</f>
        <v>#DIV/0!</v>
      </c>
      <c r="H34" s="1045">
        <f t="shared" ref="H34:H39" si="8">D34</f>
        <v>0</v>
      </c>
      <c r="I34" s="1045"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39"/>
      <c r="B35" s="1441" t="s">
        <v>1001</v>
      </c>
      <c r="C35" s="1060" t="e">
        <f>ROUND(D5*C19*C20*C24*F35,0)</f>
        <v>#DIV/0!</v>
      </c>
      <c r="D35" s="1533"/>
      <c r="E35" s="1045" t="e">
        <f t="shared" si="7"/>
        <v>#DIV/0!</v>
      </c>
      <c r="F35" s="1045">
        <f>SUMIF(修正!A45:A56,G2,修正!D45:D56)</f>
        <v>0.28000000000000003</v>
      </c>
      <c r="G35" s="1045" t="e">
        <f>ROUND(IF(E2="工业",C35*$M$39,C35*$M$38),0)</f>
        <v>#DIV/0!</v>
      </c>
      <c r="H35" s="1045">
        <f t="shared" si="8"/>
        <v>0</v>
      </c>
      <c r="I35" s="1045"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0"/>
      <c r="B36" s="1441" t="s">
        <v>1002</v>
      </c>
      <c r="C36" s="1060" t="e">
        <f>ROUND(D5*C19*C20*C24*F36,0)</f>
        <v>#DIV/0!</v>
      </c>
      <c r="D36" s="1533"/>
      <c r="E36" s="1045" t="e">
        <f t="shared" si="7"/>
        <v>#DIV/0!</v>
      </c>
      <c r="F36" s="1045">
        <f>SUMIF(修正!A45:A56,G2,修正!E45:E56)</f>
        <v>0.25</v>
      </c>
      <c r="G36" s="1045" t="e">
        <f>ROUND(IF(E2="工业",C36*$M$39,C36*$M$38),0)</f>
        <v>#DIV/0!</v>
      </c>
      <c r="H36" s="1045">
        <f t="shared" si="8"/>
        <v>0</v>
      </c>
      <c r="I36" s="1045"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5" t="e">
        <f>ROUND(C5*C19*C20*C24*F37,0)</f>
        <v>#DIV/0!</v>
      </c>
      <c r="D37" s="1533"/>
      <c r="E37" s="1045" t="e">
        <f t="shared" si="7"/>
        <v>#DIV/0!</v>
      </c>
      <c r="F37" s="1060">
        <f>SUMIF(修正!A45:A56,G2,修正!F45:F56)</f>
        <v>0.25</v>
      </c>
      <c r="G37" s="1045" t="e">
        <f>ROUND(IF(E2="工业",C37*$M$39,C37*$M$38),0)</f>
        <v>#DIV/0!</v>
      </c>
      <c r="H37" s="1045">
        <f t="shared" si="8"/>
        <v>0</v>
      </c>
      <c r="I37" s="1045" t="e">
        <f t="shared" si="9"/>
        <v>#DIV/0!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5" t="e">
        <f>ROUND(C5*C19*C20*C24*F38,0)</f>
        <v>#DIV/0!</v>
      </c>
      <c r="D38" s="1533"/>
      <c r="E38" s="1045" t="e">
        <f t="shared" si="7"/>
        <v>#DIV/0!</v>
      </c>
      <c r="F38" s="1060">
        <f>SUMIF(修正!A45:A56,G2,修正!G45:G56)</f>
        <v>0.25</v>
      </c>
      <c r="G38" s="1045" t="e">
        <f>ROUND(IF(E2="工业",C38*$M$39,C38*$M$38),0)</f>
        <v>#DIV/0!</v>
      </c>
      <c r="H38" s="1045">
        <f t="shared" si="8"/>
        <v>0</v>
      </c>
      <c r="I38" s="1045" t="e">
        <f t="shared" si="9"/>
        <v>#DIV/0!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8" t="e">
        <f>ROUND(C5*C19*C20*C24*F39,0)</f>
        <v>#DIV/0!</v>
      </c>
      <c r="D39" s="1534"/>
      <c r="E39" s="1048" t="e">
        <f t="shared" si="7"/>
        <v>#DIV/0!</v>
      </c>
      <c r="F39" s="1062">
        <f>SUMIF(修正!A45:A56,G2,修正!H45:H56)</f>
        <v>0.2</v>
      </c>
      <c r="G39" s="1048" t="e">
        <f>ROUND(IF(E2="工业",C39*$M$39,C39*$M$38),0)</f>
        <v>#DIV/0!</v>
      </c>
      <c r="H39" s="1048">
        <f t="shared" si="8"/>
        <v>0</v>
      </c>
      <c r="I39" s="1048" t="e">
        <f t="shared" si="9"/>
        <v>#DIV/0!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1006</v>
      </c>
      <c r="B44" s="2417"/>
      <c r="C44" s="2418"/>
      <c r="D44" s="2419"/>
      <c r="E44" s="2419"/>
      <c r="F44" s="2420"/>
      <c r="G44" s="1063"/>
      <c r="H44" s="2420"/>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1007</v>
      </c>
      <c r="B45" s="2422">
        <f>1+E47</f>
        <v>1</v>
      </c>
      <c r="C45" s="2423"/>
      <c r="D45" s="2424"/>
      <c r="E45" s="2425"/>
      <c r="F45" s="2426"/>
      <c r="G45" s="2420"/>
      <c r="H45" s="2420"/>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1008</v>
      </c>
      <c r="B46" s="2405" t="s">
        <v>1009</v>
      </c>
      <c r="C46" s="2427" t="s">
        <v>1010</v>
      </c>
      <c r="D46" s="2428" t="s">
        <v>1011</v>
      </c>
      <c r="E46" s="2429" t="s">
        <v>1013</v>
      </c>
      <c r="F46" s="2430" t="s">
        <v>2252</v>
      </c>
      <c r="G46" s="2428" t="s">
        <v>1014</v>
      </c>
      <c r="H46" s="2411" t="s">
        <v>2420</v>
      </c>
      <c r="I46" s="2428" t="s">
        <v>1012</v>
      </c>
      <c r="J46" s="2431" t="s">
        <v>1015</v>
      </c>
      <c r="K46" s="2431" t="s">
        <v>1016</v>
      </c>
      <c r="L46" s="2431" t="s">
        <v>1017</v>
      </c>
      <c r="M46" s="2431" t="s">
        <v>1018</v>
      </c>
      <c r="N46" s="2431"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1020</v>
      </c>
      <c r="B47" s="2408" t="str">
        <f>估价对象房地状况!C16</f>
        <v>——</v>
      </c>
      <c r="C47" s="1047"/>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4" t="s">
        <v>1021</v>
      </c>
      <c r="B48" s="2405" t="str">
        <f>估价对象房地状况!C18</f>
        <v>估价对象周边1公里内公共交通通达情况较好，有942、855路公交线路、距京承高速公路1.3公里、停车较便捷，综合评价交通便捷度较好</v>
      </c>
      <c r="C48" s="1047"/>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1022</v>
      </c>
      <c r="B49" s="2405" t="str">
        <f>估价对象房地状况!C19</f>
        <v>较一致</v>
      </c>
      <c r="C49" s="1047"/>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1023</v>
      </c>
      <c r="B50" s="3090" t="s">
        <v>2937</v>
      </c>
      <c r="C50" s="1047"/>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1024</v>
      </c>
      <c r="B51" s="2405" t="str">
        <f>估价对象房地状况!C24</f>
        <v>城市支路-安庆街</v>
      </c>
      <c r="C51" s="1047"/>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1025</v>
      </c>
      <c r="B52" s="3089" t="s">
        <v>2936</v>
      </c>
      <c r="C52" s="1047"/>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37" t="s">
        <v>1026</v>
      </c>
      <c r="B53" s="2406" t="str">
        <f>估价对象房地状况!C21</f>
        <v>估价对象所在区域公共配套设施齐备情况较差，2公里内有银行、社区医院等</v>
      </c>
      <c r="C53" s="1047"/>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1027</v>
      </c>
      <c r="B54" s="2405" t="str">
        <f>估价对象房地状况!C22</f>
        <v>估价对象所在区域基础设施水平七通一平</v>
      </c>
      <c r="C54" s="1047"/>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38" t="s">
        <v>1028</v>
      </c>
      <c r="B55" s="2409" t="str">
        <f>估价对象房地状况!C20</f>
        <v>区域自然环境：温榆河；人文环境：北京国际标准舞学院；综合评价环境状况较好</v>
      </c>
      <c r="C55" s="1047"/>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1029</v>
      </c>
      <c r="B56" s="2422">
        <f>1+E58</f>
        <v>1</v>
      </c>
      <c r="C56" s="2441"/>
      <c r="D56" s="2424"/>
      <c r="E56" s="2425"/>
      <c r="F56" s="2426"/>
      <c r="G56" s="2420"/>
      <c r="H56" s="2420"/>
      <c r="I56" s="2420"/>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1008</v>
      </c>
      <c r="B57" s="2405"/>
      <c r="C57" s="2427" t="s">
        <v>1010</v>
      </c>
      <c r="D57" s="2428" t="s">
        <v>1011</v>
      </c>
      <c r="E57" s="2429" t="s">
        <v>1013</v>
      </c>
      <c r="F57" s="2430" t="s">
        <v>2253</v>
      </c>
      <c r="G57" s="2428" t="s">
        <v>1014</v>
      </c>
      <c r="H57" s="2411" t="s">
        <v>2420</v>
      </c>
      <c r="I57" s="2428" t="s">
        <v>1012</v>
      </c>
      <c r="J57" s="2431" t="s">
        <v>1015</v>
      </c>
      <c r="K57" s="2431" t="s">
        <v>1016</v>
      </c>
      <c r="L57" s="2431" t="s">
        <v>1017</v>
      </c>
      <c r="M57" s="2431" t="s">
        <v>1018</v>
      </c>
      <c r="N57" s="2431"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1030</v>
      </c>
      <c r="B58" s="2408" t="str">
        <f>估价对象房地状况!C17</f>
        <v>——</v>
      </c>
      <c r="C58" s="1047"/>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4" t="s">
        <v>1021</v>
      </c>
      <c r="B59" s="2405" t="str">
        <f>估价对象房地状况!C18</f>
        <v>估价对象周边1公里内公共交通通达情况较好，有942、855路公交线路、距京承高速公路1.3公里、停车较便捷，综合评价交通便捷度较好</v>
      </c>
      <c r="C59" s="1047"/>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1022</v>
      </c>
      <c r="B60" s="2405" t="str">
        <f>估价对象房地状况!C19</f>
        <v>较一致</v>
      </c>
      <c r="C60" s="1047"/>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1023</v>
      </c>
      <c r="B61" s="3090" t="s">
        <v>2938</v>
      </c>
      <c r="C61" s="1047"/>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1024</v>
      </c>
      <c r="B62" s="2405" t="str">
        <f>估价对象房地状况!C24</f>
        <v>城市支路-安庆街</v>
      </c>
      <c r="C62" s="1047"/>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1025</v>
      </c>
      <c r="B63" s="3089" t="s">
        <v>2936</v>
      </c>
      <c r="C63" s="1047"/>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1026</v>
      </c>
      <c r="B64" s="2406" t="str">
        <f>估价对象房地状况!C21</f>
        <v>估价对象所在区域公共配套设施齐备情况较差，2公里内有银行、社区医院等</v>
      </c>
      <c r="C64" s="1047"/>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1027</v>
      </c>
      <c r="B65" s="2406" t="str">
        <f>估价对象房地状况!C22</f>
        <v>估价对象所在区域基础设施水平七通一平</v>
      </c>
      <c r="C65" s="1047"/>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38" t="s">
        <v>1028</v>
      </c>
      <c r="B66" s="2410" t="str">
        <f>估价对象房地状况!C20</f>
        <v>区域自然环境：温榆河；人文环境：北京国际标准舞学院；综合评价环境状况较好</v>
      </c>
      <c r="C66" s="1047"/>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1031</v>
      </c>
      <c r="B67" s="2422">
        <f>1+E69</f>
        <v>1</v>
      </c>
      <c r="C67" s="2441"/>
      <c r="D67" s="2424"/>
      <c r="E67" s="2425"/>
      <c r="F67" s="2426"/>
      <c r="G67" s="2420"/>
      <c r="H67" s="2420"/>
      <c r="I67" s="2420"/>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1008</v>
      </c>
      <c r="B68" s="2405"/>
      <c r="C68" s="2427" t="s">
        <v>1010</v>
      </c>
      <c r="D68" s="2428" t="s">
        <v>1011</v>
      </c>
      <c r="E68" s="2429" t="s">
        <v>1013</v>
      </c>
      <c r="F68" s="2430" t="s">
        <v>2254</v>
      </c>
      <c r="G68" s="2428" t="s">
        <v>1014</v>
      </c>
      <c r="H68" s="2411" t="s">
        <v>2420</v>
      </c>
      <c r="I68" s="2428" t="s">
        <v>1012</v>
      </c>
      <c r="J68" s="2431" t="s">
        <v>1015</v>
      </c>
      <c r="K68" s="2431" t="s">
        <v>1016</v>
      </c>
      <c r="L68" s="2431" t="s">
        <v>1017</v>
      </c>
      <c r="M68" s="2431" t="s">
        <v>1018</v>
      </c>
      <c r="N68" s="2431"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1032</v>
      </c>
      <c r="B69" s="2408" t="str">
        <f>估价对象房地状况!C15</f>
        <v>估价对象周边1公里内仅有龙湖滟澜山、优山美地D区等，综合评价居住社区成熟度较好</v>
      </c>
      <c r="C69" s="1156"/>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4" t="s">
        <v>1033</v>
      </c>
      <c r="B70" s="2405" t="str">
        <f>估价对象房地状况!C18</f>
        <v>估价对象周边1公里内公共交通通达情况较好，有942、855路公交线路、距京承高速公路1.3公里、停车较便捷，综合评价交通便捷度较好</v>
      </c>
      <c r="C70" s="1156"/>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1022</v>
      </c>
      <c r="B71" s="2405" t="str">
        <f>估价对象房地状况!C19</f>
        <v>较一致</v>
      </c>
      <c r="C71" s="1156"/>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1034</v>
      </c>
      <c r="B72" s="2405" t="str">
        <f>估价对象房地状况!C24</f>
        <v>城市支路-安庆街</v>
      </c>
      <c r="C72" s="1156"/>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1026</v>
      </c>
      <c r="B73" s="2406" t="str">
        <f>估价对象房地状况!C21</f>
        <v>估价对象所在区域公共配套设施齐备情况较差，2公里内有银行、社区医院等</v>
      </c>
      <c r="C73" s="1156"/>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1027</v>
      </c>
      <c r="B74" s="2406" t="str">
        <f>估价对象房地状况!C22</f>
        <v>估价对象所在区域基础设施水平七通一平</v>
      </c>
      <c r="C74" s="1156"/>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1025</v>
      </c>
      <c r="B75" s="3089" t="s">
        <v>2936</v>
      </c>
      <c r="C75" s="1156"/>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4" t="s">
        <v>1028</v>
      </c>
      <c r="B76" s="2408" t="str">
        <f>估价对象房地状况!C20</f>
        <v>区域自然环境：温榆河；人文环境：北京国际标准舞学院；综合评价环境状况较好</v>
      </c>
      <c r="C76" s="1156"/>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1035</v>
      </c>
      <c r="B77" s="1847"/>
      <c r="C77" s="1156"/>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1036</v>
      </c>
      <c r="B78" s="2422">
        <f>1+E80</f>
        <v>1</v>
      </c>
      <c r="C78" s="2441"/>
      <c r="D78" s="2424"/>
      <c r="E78" s="2425"/>
      <c r="F78" s="2426"/>
      <c r="G78" s="2420"/>
      <c r="H78" s="2420"/>
      <c r="I78" s="2420"/>
      <c r="J78" s="1063"/>
      <c r="K78" s="1063"/>
      <c r="L78" s="1063"/>
      <c r="M78" s="1063"/>
      <c r="N78" s="1063"/>
      <c r="AC78" s="1401"/>
      <c r="AD78" s="1400"/>
      <c r="AJ78" s="1399"/>
      <c r="AN78" s="1400"/>
    </row>
    <row r="79" spans="1:40" ht="24">
      <c r="A79" s="1064" t="s">
        <v>1008</v>
      </c>
      <c r="B79" s="2405"/>
      <c r="C79" s="2427" t="s">
        <v>1010</v>
      </c>
      <c r="D79" s="2428" t="s">
        <v>1011</v>
      </c>
      <c r="E79" s="2429" t="s">
        <v>1013</v>
      </c>
      <c r="F79" s="2430" t="s">
        <v>2255</v>
      </c>
      <c r="G79" s="2428" t="s">
        <v>1014</v>
      </c>
      <c r="H79" s="2411" t="s">
        <v>2420</v>
      </c>
      <c r="I79" s="2428" t="s">
        <v>1012</v>
      </c>
      <c r="J79" s="2431" t="s">
        <v>1015</v>
      </c>
      <c r="K79" s="2431" t="s">
        <v>1016</v>
      </c>
      <c r="L79" s="2431" t="s">
        <v>1017</v>
      </c>
      <c r="M79" s="2431" t="s">
        <v>1018</v>
      </c>
      <c r="N79" s="2431" t="s">
        <v>1019</v>
      </c>
      <c r="AC79" s="1401"/>
      <c r="AD79" s="1400"/>
      <c r="AJ79" s="1399"/>
      <c r="AN79" s="1400"/>
    </row>
    <row r="80" spans="1:40" ht="36">
      <c r="A80" s="1064" t="s">
        <v>1037</v>
      </c>
      <c r="B80" s="2405" t="str">
        <f>估价对象房地状况!G15</f>
        <v>估价对象位于XX开发区，园区建设成熟度XX，产业集聚程度XX</v>
      </c>
      <c r="C80" s="1047"/>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4" t="s">
        <v>1033</v>
      </c>
      <c r="B81" s="2405" t="str">
        <f>估价对象房地状况!G16</f>
        <v>估价对象周边道路状况、公共交通通达情况、停车便捷程度，综合评价交通便捷度较好</v>
      </c>
      <c r="C81" s="1047"/>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4" t="s">
        <v>1022</v>
      </c>
      <c r="B82" s="2405">
        <f>估价对象房地状况!G17</f>
        <v>0</v>
      </c>
      <c r="C82" s="1047"/>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4" t="s">
        <v>1034</v>
      </c>
      <c r="B83" s="2405">
        <f>估价对象房地状况!G22</f>
        <v>0</v>
      </c>
      <c r="C83" s="1047"/>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4" t="s">
        <v>1026</v>
      </c>
      <c r="B84" s="2406" t="str">
        <f>估价对象房地状况!G19</f>
        <v>估价对象所在区域公共配套设施齐备情况</v>
      </c>
      <c r="C84" s="1047"/>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4" t="s">
        <v>1027</v>
      </c>
      <c r="B85" s="2406" t="str">
        <f>估价对象房地状况!G20</f>
        <v>估价对象所在区域基础设施水平</v>
      </c>
      <c r="C85" s="1047"/>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4" t="s">
        <v>1025</v>
      </c>
      <c r="B86" s="3089" t="s">
        <v>2936</v>
      </c>
      <c r="C86" s="1047"/>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1038</v>
      </c>
      <c r="B87" s="2407" t="str">
        <f>估价对象房地状况!G18</f>
        <v>该园区内是否有污染型企业，绿化情况，卫生条件，整体环境状况判断</v>
      </c>
      <c r="C87" s="1047"/>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36" t="s">
        <v>1633</v>
      </c>
      <c r="B90" s="3436"/>
      <c r="C90" s="3436"/>
      <c r="D90" s="3436"/>
      <c r="E90" s="3436"/>
      <c r="F90" s="3436"/>
      <c r="G90" s="3436"/>
      <c r="H90" s="3436"/>
      <c r="I90" s="3436"/>
      <c r="J90" s="3436"/>
      <c r="K90" s="2447"/>
      <c r="L90" s="2447"/>
      <c r="M90" s="2447"/>
      <c r="N90" s="2447"/>
    </row>
    <row r="91" spans="1:40">
      <c r="A91" s="3437" t="s">
        <v>1443</v>
      </c>
      <c r="B91" s="3437" t="s">
        <v>1634</v>
      </c>
      <c r="C91" s="1137" t="s">
        <v>1635</v>
      </c>
      <c r="D91" s="1138"/>
      <c r="E91" s="1138"/>
      <c r="F91" s="1138"/>
      <c r="G91" s="1138"/>
      <c r="H91" s="1138"/>
      <c r="I91" s="1138"/>
      <c r="J91" s="1139"/>
      <c r="K91" s="1131"/>
      <c r="L91" s="1131"/>
      <c r="M91" s="1131"/>
      <c r="N91" s="1131"/>
    </row>
    <row r="92" spans="1:40">
      <c r="A92" s="3437"/>
      <c r="B92" s="3437"/>
      <c r="C92" s="2446" t="s">
        <v>906</v>
      </c>
      <c r="D92" s="2446" t="s">
        <v>884</v>
      </c>
      <c r="E92" s="2446" t="s">
        <v>885</v>
      </c>
      <c r="F92" s="2446" t="s">
        <v>909</v>
      </c>
      <c r="G92" s="2446" t="s">
        <v>887</v>
      </c>
      <c r="H92" s="2446" t="s">
        <v>888</v>
      </c>
      <c r="I92" s="2446" t="s">
        <v>889</v>
      </c>
      <c r="J92" s="2446" t="s">
        <v>890</v>
      </c>
      <c r="K92" s="2446" t="s">
        <v>914</v>
      </c>
      <c r="L92" s="2446" t="s">
        <v>892</v>
      </c>
      <c r="M92" s="2446" t="s">
        <v>893</v>
      </c>
      <c r="N92" s="2446" t="s">
        <v>917</v>
      </c>
    </row>
    <row r="93" spans="1:40">
      <c r="A93" s="3444"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5"/>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5"/>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5"/>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5"/>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5"/>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5"/>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6"/>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4" t="s">
        <v>1637</v>
      </c>
      <c r="B101" s="1144" t="s">
        <v>905</v>
      </c>
      <c r="C101" s="1145">
        <f>$G$3</f>
        <v>1.01</v>
      </c>
      <c r="D101" s="1145">
        <f t="shared" ref="D101:N101" si="31">$G$3</f>
        <v>1.01</v>
      </c>
      <c r="E101" s="1145">
        <f t="shared" si="31"/>
        <v>1.01</v>
      </c>
      <c r="F101" s="1145">
        <f t="shared" si="31"/>
        <v>1.01</v>
      </c>
      <c r="G101" s="1145">
        <f t="shared" si="31"/>
        <v>1.01</v>
      </c>
      <c r="H101" s="1145">
        <f t="shared" si="31"/>
        <v>1.01</v>
      </c>
      <c r="I101" s="1145">
        <f t="shared" si="31"/>
        <v>1.01</v>
      </c>
      <c r="J101" s="1145">
        <f t="shared" si="31"/>
        <v>1.01</v>
      </c>
      <c r="K101" s="1145">
        <f t="shared" si="31"/>
        <v>1.01</v>
      </c>
      <c r="L101" s="1145">
        <f t="shared" si="31"/>
        <v>1.01</v>
      </c>
      <c r="M101" s="1145">
        <f t="shared" si="31"/>
        <v>1.01</v>
      </c>
      <c r="N101" s="1145">
        <f t="shared" si="31"/>
        <v>1.01</v>
      </c>
    </row>
    <row r="102" spans="1:14">
      <c r="A102" s="3445"/>
      <c r="B102" s="1140">
        <v>1</v>
      </c>
      <c r="C102" s="1141">
        <f>1.9362/C101</f>
        <v>1.917029702970297</v>
      </c>
      <c r="D102" s="1141">
        <f>1.9362/D101</f>
        <v>1.917029702970297</v>
      </c>
      <c r="E102" s="1141">
        <f>1.8629/E101</f>
        <v>1.8444554455445545</v>
      </c>
      <c r="F102" s="1141">
        <f>1.8629/F101</f>
        <v>1.8444554455445545</v>
      </c>
      <c r="G102" s="1141">
        <f>1.8629/G101</f>
        <v>1.8444554455445545</v>
      </c>
      <c r="H102" s="1141">
        <f>1.8629/H101</f>
        <v>1.8444554455445545</v>
      </c>
      <c r="I102" s="1141">
        <f>1.8629/I101</f>
        <v>1.8444554455445545</v>
      </c>
      <c r="J102" s="1141">
        <f>1.942/J101</f>
        <v>1.9227722772277227</v>
      </c>
      <c r="K102" s="1141">
        <f>1.942/K101</f>
        <v>1.9227722772277227</v>
      </c>
      <c r="L102" s="1141">
        <f>1.942/L101</f>
        <v>1.9227722772277227</v>
      </c>
      <c r="M102" s="1141">
        <f>1.942/M101</f>
        <v>1.9227722772277227</v>
      </c>
      <c r="N102" s="1141">
        <f>1.942/N101</f>
        <v>1.9227722772277227</v>
      </c>
    </row>
    <row r="103" spans="1:14">
      <c r="A103" s="3445"/>
      <c r="B103" s="1140">
        <v>2</v>
      </c>
      <c r="C103" s="1141">
        <f>1.4198/C101</f>
        <v>1.4057425742574257</v>
      </c>
      <c r="D103" s="1141">
        <f>1.4198/D101</f>
        <v>1.4057425742574257</v>
      </c>
      <c r="E103" s="1141">
        <f>1.3372/E101</f>
        <v>1.3239603960396038</v>
      </c>
      <c r="F103" s="1141">
        <f>1.3372/F101</f>
        <v>1.3239603960396038</v>
      </c>
      <c r="G103" s="1141">
        <f>1.3372/G101</f>
        <v>1.3239603960396038</v>
      </c>
      <c r="H103" s="1141">
        <f>1.3372/H101</f>
        <v>1.3239603960396038</v>
      </c>
      <c r="I103" s="1141">
        <f>1.3372/I101</f>
        <v>1.3239603960396038</v>
      </c>
      <c r="J103" s="1141">
        <f>1.2799/J101</f>
        <v>1.2672277227722772</v>
      </c>
      <c r="K103" s="1141">
        <f>1.2799/K101</f>
        <v>1.2672277227722772</v>
      </c>
      <c r="L103" s="1141">
        <f>1.2799/L101</f>
        <v>1.2672277227722772</v>
      </c>
      <c r="M103" s="1141">
        <f>1.2799/M101</f>
        <v>1.2672277227722772</v>
      </c>
      <c r="N103" s="1141">
        <f>1.2799/N101</f>
        <v>1.2672277227722772</v>
      </c>
    </row>
    <row r="104" spans="1:14">
      <c r="A104" s="3445"/>
      <c r="B104" s="1140">
        <v>3</v>
      </c>
      <c r="C104" s="1141">
        <f>1.1594/C101</f>
        <v>1.1479207920792078</v>
      </c>
      <c r="D104" s="1141">
        <f>1.1594/D101</f>
        <v>1.1479207920792078</v>
      </c>
      <c r="E104" s="1141">
        <f>1.0788/E101</f>
        <v>1.0681188118811882</v>
      </c>
      <c r="F104" s="1141">
        <f>1.0788/F101</f>
        <v>1.0681188118811882</v>
      </c>
      <c r="G104" s="1141">
        <f>1.0788/G101</f>
        <v>1.0681188118811882</v>
      </c>
      <c r="H104" s="1141">
        <f>1.0788/H101</f>
        <v>1.0681188118811882</v>
      </c>
      <c r="I104" s="1141">
        <f>1.0788/I101</f>
        <v>1.0681188118811882</v>
      </c>
      <c r="J104" s="1141">
        <f>1.0072/J101</f>
        <v>0.99722772277227734</v>
      </c>
      <c r="K104" s="1141">
        <f>1.0072/K101</f>
        <v>0.99722772277227734</v>
      </c>
      <c r="L104" s="1141">
        <f>1.0072/L101</f>
        <v>0.99722772277227734</v>
      </c>
      <c r="M104" s="1141">
        <f>1.0072/M101</f>
        <v>0.99722772277227734</v>
      </c>
      <c r="N104" s="1141">
        <f>1.0072/N101</f>
        <v>0.99722772277227734</v>
      </c>
    </row>
    <row r="105" spans="1:14">
      <c r="A105" s="3445"/>
      <c r="B105" s="1140">
        <v>4</v>
      </c>
      <c r="C105" s="1141">
        <f>0.9622/C101</f>
        <v>0.95267326732673274</v>
      </c>
      <c r="D105" s="1141">
        <f>0.9622/D101</f>
        <v>0.95267326732673274</v>
      </c>
      <c r="E105" s="1141">
        <f>0.8656/E101</f>
        <v>0.85702970297029701</v>
      </c>
      <c r="F105" s="1141">
        <f>0.8656/F101</f>
        <v>0.85702970297029701</v>
      </c>
      <c r="G105" s="1141">
        <f>0.8656/G101</f>
        <v>0.85702970297029701</v>
      </c>
      <c r="H105" s="1141">
        <f>0.8656/H101</f>
        <v>0.85702970297029701</v>
      </c>
      <c r="I105" s="1141">
        <f>0.8656/I101</f>
        <v>0.85702970297029701</v>
      </c>
      <c r="J105" s="1141">
        <f>0.7525/J101</f>
        <v>0.74504950495049505</v>
      </c>
      <c r="K105" s="1141">
        <f>0.7525/K101</f>
        <v>0.74504950495049505</v>
      </c>
      <c r="L105" s="1141">
        <f>0.7525/L101</f>
        <v>0.74504950495049505</v>
      </c>
      <c r="M105" s="1141">
        <f>0.7525/M101</f>
        <v>0.74504950495049505</v>
      </c>
      <c r="N105" s="1141">
        <f>0.7525/N101</f>
        <v>0.74504950495049505</v>
      </c>
    </row>
    <row r="106" spans="1:14">
      <c r="A106" s="3445"/>
      <c r="B106" s="1140">
        <v>5</v>
      </c>
      <c r="C106" s="1141">
        <f>0.8417/C101</f>
        <v>0.83336633663366333</v>
      </c>
      <c r="D106" s="1141">
        <f>0.8417/D101</f>
        <v>0.83336633663366333</v>
      </c>
      <c r="E106" s="1141">
        <f>0.7371/E101</f>
        <v>0.72980198019801978</v>
      </c>
      <c r="F106" s="1141">
        <f>0.7371/F101</f>
        <v>0.72980198019801978</v>
      </c>
      <c r="G106" s="1141">
        <f>0.7371/G101</f>
        <v>0.72980198019801978</v>
      </c>
      <c r="H106" s="1141">
        <f>0.7371/H101</f>
        <v>0.72980198019801978</v>
      </c>
      <c r="I106" s="1141">
        <f>0.7371/I101</f>
        <v>0.72980198019801978</v>
      </c>
      <c r="J106" s="1141">
        <f>0.5659/J101</f>
        <v>0.56029702970297024</v>
      </c>
      <c r="K106" s="1141">
        <f>0.5659/K101</f>
        <v>0.56029702970297024</v>
      </c>
      <c r="L106" s="1141">
        <f>0.5659/L101</f>
        <v>0.56029702970297024</v>
      </c>
      <c r="M106" s="1141">
        <f>0.5659/M101</f>
        <v>0.56029702970297024</v>
      </c>
      <c r="N106" s="1141">
        <f>0.5659/N101</f>
        <v>0.56029702970297024</v>
      </c>
    </row>
    <row r="107" spans="1:14">
      <c r="A107" s="3445"/>
      <c r="B107" s="1140">
        <v>6</v>
      </c>
      <c r="C107" s="1141">
        <f>0.7608/C101</f>
        <v>0.75326732673267327</v>
      </c>
      <c r="D107" s="1141">
        <f>0.7608/D101</f>
        <v>0.75326732673267327</v>
      </c>
      <c r="E107" s="1141">
        <f>0.6482/E101</f>
        <v>0.6417821782178218</v>
      </c>
      <c r="F107" s="1141">
        <f>0.6482/F101</f>
        <v>0.6417821782178218</v>
      </c>
      <c r="G107" s="1141">
        <f>0.6482/G101</f>
        <v>0.6417821782178218</v>
      </c>
      <c r="H107" s="1141">
        <f>0.6482/H101</f>
        <v>0.6417821782178218</v>
      </c>
      <c r="I107" s="1141">
        <f>0.6482/I101</f>
        <v>0.6417821782178218</v>
      </c>
      <c r="J107" s="1141">
        <f>0.4525/J101</f>
        <v>0.44801980198019803</v>
      </c>
      <c r="K107" s="1141">
        <f>0.4525/K101</f>
        <v>0.44801980198019803</v>
      </c>
      <c r="L107" s="1141">
        <f>0.4525/L101</f>
        <v>0.44801980198019803</v>
      </c>
      <c r="M107" s="1141">
        <f>0.4525/M101</f>
        <v>0.44801980198019803</v>
      </c>
      <c r="N107" s="1141">
        <f>0.4525/N101</f>
        <v>0.44801980198019803</v>
      </c>
    </row>
    <row r="108" spans="1:14">
      <c r="A108" s="3445"/>
      <c r="B108" s="3447"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6"/>
      <c r="B109" s="3448"/>
      <c r="C109" s="1143">
        <f>(-0.163*(C108^2)-0.59*C108+7617)*(10^(-4))/C101</f>
        <v>0.75265821782178222</v>
      </c>
      <c r="D109" s="1143">
        <f>(-0.163*(D108^2)-0.59*D108+7617)*(10^(-4))/D101</f>
        <v>0.75265821782178222</v>
      </c>
      <c r="E109" s="1143">
        <f>(-0.161*(E108^2)-7.509*E108+6533)*(10^(-4))/E101</f>
        <v>0.63986376237623765</v>
      </c>
      <c r="F109" s="1143">
        <f>(-0.161*(F108^2)-7.509*F108+6533)*(10^(-4))/F101</f>
        <v>0.63986376237623765</v>
      </c>
      <c r="G109" s="1143">
        <f>(-0.161*(G108^2)-7.509*G108+6533)*(10^(-4))/G101</f>
        <v>0.63986376237623765</v>
      </c>
      <c r="H109" s="1143">
        <f>(-0.161*(H108^2)-7.509*H108+6533)*(10^(-4))/H101</f>
        <v>0.63986376237623765</v>
      </c>
      <c r="I109" s="1143">
        <f>(-0.161*(I108^2)-7.509*I108+6533)*(10^(-4))/I101</f>
        <v>0.63986376237623765</v>
      </c>
      <c r="J109" s="1143">
        <f>(-0.214*(J108^2)-21.991*J108+4665)*(10^(-4))/J101</f>
        <v>0.44310653465346539</v>
      </c>
      <c r="K109" s="1143">
        <f>(-0.214*(K108^2)-21.991*K108+4665)*(10^(-4))/K101</f>
        <v>0.44310653465346539</v>
      </c>
      <c r="L109" s="1143">
        <f>(-0.214*(L108^2)-21.991*L108+4665)*(10^(-4))/L101</f>
        <v>0.44310653465346539</v>
      </c>
      <c r="M109" s="1143">
        <f>(-0.214*(M108^2)-21.991*M108+4665)*(10^(-4))/M101</f>
        <v>0.44310653465346539</v>
      </c>
      <c r="N109" s="1143">
        <f>(-0.214*(N108^2)-21.991*N108+4665)*(10^(-4))/N101</f>
        <v>0.44310653465346539</v>
      </c>
    </row>
    <row r="110" spans="1:14">
      <c r="A110" s="3431" t="s">
        <v>1639</v>
      </c>
      <c r="B110" s="3431"/>
      <c r="C110" s="3431"/>
      <c r="D110" s="3431"/>
      <c r="E110" s="3431"/>
      <c r="F110" s="3431"/>
      <c r="G110" s="3431"/>
      <c r="H110" s="3431"/>
      <c r="I110" s="3431"/>
      <c r="J110" s="3431"/>
      <c r="K110" s="2445"/>
      <c r="L110" s="2445"/>
      <c r="M110" s="2445"/>
      <c r="N110" s="2445"/>
    </row>
    <row r="112" spans="1:14" ht="12.75" thickBot="1"/>
    <row r="113" spans="1:13" ht="25.5" thickBot="1">
      <c r="A113" s="1013" t="s">
        <v>895</v>
      </c>
      <c r="B113" s="2448">
        <f>G3</f>
        <v>1.01</v>
      </c>
      <c r="C113" s="1014" t="s">
        <v>896</v>
      </c>
      <c r="D113" s="1015">
        <f>SUMPRODUCT((A115:A118=F113)*(B114:M114=H113)*B115:M118)</f>
        <v>0</v>
      </c>
      <c r="E113" s="1016" t="s">
        <v>897</v>
      </c>
      <c r="F113" s="1017">
        <f>E2</f>
        <v>0</v>
      </c>
      <c r="G113" s="1016" t="s">
        <v>898</v>
      </c>
      <c r="H113" s="1017" t="str">
        <f>G2</f>
        <v>六级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0.92400000000000004</v>
      </c>
      <c r="C115" s="1027">
        <f>B115</f>
        <v>0.92400000000000004</v>
      </c>
      <c r="D115" s="1027">
        <f>ROUND(0.8331-0.0109*B113,4)</f>
        <v>0.82210000000000005</v>
      </c>
      <c r="E115" s="1027">
        <f>D115</f>
        <v>0.82210000000000005</v>
      </c>
      <c r="F115" s="1027">
        <f>E115</f>
        <v>0.82210000000000005</v>
      </c>
      <c r="G115" s="1027">
        <f>F115</f>
        <v>0.82210000000000005</v>
      </c>
      <c r="H115" s="1027">
        <f>G115</f>
        <v>0.82210000000000005</v>
      </c>
      <c r="I115" s="1027">
        <f>ROUND(0.689-0.0155*B113,4)</f>
        <v>0.67330000000000001</v>
      </c>
      <c r="J115" s="1027">
        <f t="shared" ref="J115:M118" si="33">I115</f>
        <v>0.67330000000000001</v>
      </c>
      <c r="K115" s="1027">
        <f t="shared" si="33"/>
        <v>0.67330000000000001</v>
      </c>
      <c r="L115" s="1027">
        <f t="shared" si="33"/>
        <v>0.67330000000000001</v>
      </c>
      <c r="M115" s="1028">
        <f t="shared" si="33"/>
        <v>0.67330000000000001</v>
      </c>
    </row>
    <row r="116" spans="1:13" ht="12.75">
      <c r="A116" s="1026" t="s">
        <v>900</v>
      </c>
      <c r="B116" s="1027">
        <f>ROUND(0.949-0.012*B113,4)</f>
        <v>0.93689999999999996</v>
      </c>
      <c r="C116" s="1027">
        <f>B116</f>
        <v>0.93689999999999996</v>
      </c>
      <c r="D116" s="1027">
        <f>ROUND(0.8567-0.013*B113,4)</f>
        <v>0.84360000000000002</v>
      </c>
      <c r="E116" s="1027">
        <f t="shared" ref="E116:H117" si="34">D116</f>
        <v>0.84360000000000002</v>
      </c>
      <c r="F116" s="1027">
        <f t="shared" si="34"/>
        <v>0.84360000000000002</v>
      </c>
      <c r="G116" s="1027">
        <f t="shared" si="34"/>
        <v>0.84360000000000002</v>
      </c>
      <c r="H116" s="1027">
        <f t="shared" si="34"/>
        <v>0.84360000000000002</v>
      </c>
      <c r="I116" s="1027">
        <f>ROUND(0.7694-0.014*B113,4)</f>
        <v>0.75529999999999997</v>
      </c>
      <c r="J116" s="1027">
        <f t="shared" si="33"/>
        <v>0.75529999999999997</v>
      </c>
      <c r="K116" s="1027">
        <f t="shared" si="33"/>
        <v>0.75529999999999997</v>
      </c>
      <c r="L116" s="1027">
        <f t="shared" si="33"/>
        <v>0.75529999999999997</v>
      </c>
      <c r="M116" s="1028">
        <f t="shared" si="33"/>
        <v>0.75529999999999997</v>
      </c>
    </row>
    <row r="117" spans="1:13" ht="12.75">
      <c r="A117" s="1029" t="s">
        <v>901</v>
      </c>
      <c r="B117" s="1027">
        <f>ROUND(0.8808-0.006*B113,4)</f>
        <v>0.87470000000000003</v>
      </c>
      <c r="C117" s="1027">
        <f>B117</f>
        <v>0.87470000000000003</v>
      </c>
      <c r="D117" s="1027">
        <f>ROUND(0.8748-0.008*B113,4)</f>
        <v>0.86670000000000003</v>
      </c>
      <c r="E117" s="1027">
        <f t="shared" si="34"/>
        <v>0.86670000000000003</v>
      </c>
      <c r="F117" s="1027">
        <f t="shared" si="34"/>
        <v>0.86670000000000003</v>
      </c>
      <c r="G117" s="1027">
        <f t="shared" si="34"/>
        <v>0.86670000000000003</v>
      </c>
      <c r="H117" s="1027">
        <f t="shared" si="34"/>
        <v>0.86670000000000003</v>
      </c>
      <c r="I117" s="1027">
        <f>ROUND(0.7412-0.0095*B113,4)</f>
        <v>0.73160000000000003</v>
      </c>
      <c r="J117" s="1027">
        <f t="shared" si="33"/>
        <v>0.73160000000000003</v>
      </c>
      <c r="K117" s="1027">
        <f t="shared" si="33"/>
        <v>0.73160000000000003</v>
      </c>
      <c r="L117" s="1027">
        <f t="shared" si="33"/>
        <v>0.73160000000000003</v>
      </c>
      <c r="M117" s="1028">
        <f t="shared" si="33"/>
        <v>0.73160000000000003</v>
      </c>
    </row>
    <row r="118" spans="1:13" ht="13.5" thickBot="1">
      <c r="A118" s="1030" t="s">
        <v>902</v>
      </c>
      <c r="B118" s="1031">
        <f>ROUND(0.7275-0.01*B113,4)</f>
        <v>0.71740000000000004</v>
      </c>
      <c r="C118" s="1031">
        <f>B118</f>
        <v>0.71740000000000004</v>
      </c>
      <c r="D118" s="1031">
        <f>ROUND(0.7043-0.012*B113,4)</f>
        <v>0.69220000000000004</v>
      </c>
      <c r="E118" s="1031">
        <f>D118</f>
        <v>0.69220000000000004</v>
      </c>
      <c r="F118" s="1031">
        <f>E118</f>
        <v>0.69220000000000004</v>
      </c>
      <c r="G118" s="1031">
        <f>ROUND(0.6299-0.0122*B113,4)</f>
        <v>0.61760000000000004</v>
      </c>
      <c r="H118" s="1031">
        <f>G118</f>
        <v>0.61760000000000004</v>
      </c>
      <c r="I118" s="1031">
        <f>ROUND(0.5667-0.0136*B113,4)</f>
        <v>0.55300000000000005</v>
      </c>
      <c r="J118" s="1031">
        <f t="shared" si="33"/>
        <v>0.55300000000000005</v>
      </c>
      <c r="K118" s="1031">
        <f t="shared" si="33"/>
        <v>0.55300000000000005</v>
      </c>
      <c r="L118" s="1031">
        <f t="shared" si="33"/>
        <v>0.55300000000000005</v>
      </c>
      <c r="M118" s="1032">
        <f t="shared" si="33"/>
        <v>0.55300000000000005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5" customFormat="1" ht="19.5" customHeight="1">
      <c r="A18" s="3437" t="s">
        <v>1007</v>
      </c>
      <c r="B18" s="1151" t="s">
        <v>1446</v>
      </c>
      <c r="C18" s="1128" t="s">
        <v>1447</v>
      </c>
      <c r="D18" s="1129"/>
      <c r="E18" s="1151">
        <v>1</v>
      </c>
      <c r="F18" s="1130" t="s">
        <v>1448</v>
      </c>
      <c r="G18" s="1131"/>
      <c r="H18" s="1102"/>
      <c r="I18" s="1102"/>
    </row>
    <row r="19" spans="1:9" s="1595" customFormat="1" ht="19.5" customHeight="1">
      <c r="A19" s="3437"/>
      <c r="B19" s="3437" t="s">
        <v>1449</v>
      </c>
      <c r="C19" s="1128" t="s">
        <v>1450</v>
      </c>
      <c r="D19" s="1129"/>
      <c r="E19" s="1151">
        <v>0.9</v>
      </c>
      <c r="F19" s="1130" t="s">
        <v>1451</v>
      </c>
      <c r="G19" s="1131"/>
      <c r="H19" s="1102"/>
      <c r="I19" s="1102"/>
    </row>
    <row r="20" spans="1:9" s="1595" customFormat="1" ht="19.5" customHeight="1">
      <c r="A20" s="3437"/>
      <c r="B20" s="3437"/>
      <c r="C20" s="1128" t="s">
        <v>1452</v>
      </c>
      <c r="D20" s="1129"/>
      <c r="E20" s="1151">
        <v>1.1000000000000001</v>
      </c>
      <c r="F20" s="1130" t="s">
        <v>1453</v>
      </c>
      <c r="G20" s="1131"/>
      <c r="H20" s="1102"/>
      <c r="I20" s="1102"/>
    </row>
    <row r="21" spans="1:9" s="1595" customFormat="1" ht="19.5" customHeight="1">
      <c r="A21" s="3437"/>
      <c r="B21" s="3437"/>
      <c r="C21" s="1128" t="s">
        <v>1454</v>
      </c>
      <c r="D21" s="1129"/>
      <c r="E21" s="1151">
        <v>0.8</v>
      </c>
      <c r="F21" s="1130" t="s">
        <v>1455</v>
      </c>
      <c r="G21" s="1131"/>
      <c r="H21" s="1102"/>
      <c r="I21" s="1102"/>
    </row>
    <row r="22" spans="1:9" s="1595" customFormat="1" ht="19.5" customHeight="1">
      <c r="A22" s="3437"/>
      <c r="B22" s="3437"/>
      <c r="C22" s="1128" t="s">
        <v>1456</v>
      </c>
      <c r="D22" s="1129"/>
      <c r="E22" s="1151">
        <v>0.5</v>
      </c>
      <c r="F22" s="1130"/>
      <c r="G22" s="1131"/>
      <c r="H22" s="1102"/>
      <c r="I22" s="1102"/>
    </row>
    <row r="23" spans="1:9" s="1595" customFormat="1" ht="19.5" customHeight="1">
      <c r="A23" s="3437" t="s">
        <v>1029</v>
      </c>
      <c r="B23" s="1151" t="s">
        <v>1446</v>
      </c>
      <c r="C23" s="1128" t="s">
        <v>1457</v>
      </c>
      <c r="D23" s="1129"/>
      <c r="E23" s="1151">
        <v>1</v>
      </c>
      <c r="F23" s="1130" t="s">
        <v>1458</v>
      </c>
      <c r="G23" s="1131"/>
      <c r="H23" s="1102"/>
      <c r="I23" s="1102"/>
    </row>
    <row r="24" spans="1:9" s="1595" customFormat="1" ht="19.5" customHeight="1">
      <c r="A24" s="3437"/>
      <c r="B24" s="3437" t="s">
        <v>1449</v>
      </c>
      <c r="C24" s="1128" t="s">
        <v>1459</v>
      </c>
      <c r="D24" s="1129"/>
      <c r="E24" s="1151">
        <v>0.5</v>
      </c>
      <c r="F24" s="1130"/>
      <c r="G24" s="1131"/>
      <c r="H24" s="1102"/>
      <c r="I24" s="1102"/>
    </row>
    <row r="25" spans="1:9" s="1595" customFormat="1" ht="19.5" customHeight="1">
      <c r="A25" s="3437"/>
      <c r="B25" s="3437"/>
      <c r="C25" s="1128" t="s">
        <v>1460</v>
      </c>
      <c r="D25" s="1129"/>
      <c r="E25" s="1151">
        <v>1.1000000000000001</v>
      </c>
      <c r="F25" s="1130"/>
      <c r="G25" s="1131"/>
      <c r="H25" s="1102"/>
      <c r="I25" s="1102"/>
    </row>
    <row r="26" spans="1:9" s="1595" customFormat="1" ht="19.5" customHeight="1">
      <c r="A26" s="3437"/>
      <c r="B26" s="3437"/>
      <c r="C26" s="1128" t="s">
        <v>1461</v>
      </c>
      <c r="D26" s="1129"/>
      <c r="E26" s="1151">
        <v>1.1000000000000001</v>
      </c>
      <c r="F26" s="1130"/>
      <c r="G26" s="1131"/>
      <c r="H26" s="1102"/>
      <c r="I26" s="1102"/>
    </row>
    <row r="27" spans="1:9" s="1595" customFormat="1" ht="19.5" customHeight="1">
      <c r="A27" s="3437"/>
      <c r="B27" s="3437"/>
      <c r="C27" s="1128" t="s">
        <v>1462</v>
      </c>
      <c r="D27" s="1129"/>
      <c r="E27" s="1151">
        <v>0.9</v>
      </c>
      <c r="F27" s="1130" t="s">
        <v>1463</v>
      </c>
      <c r="G27" s="1131"/>
      <c r="H27" s="1102"/>
      <c r="I27" s="1102"/>
    </row>
    <row r="28" spans="1:9" s="1595" customFormat="1" ht="19.5" customHeight="1">
      <c r="A28" s="3437"/>
      <c r="B28" s="3437"/>
      <c r="C28" s="1128" t="s">
        <v>1464</v>
      </c>
      <c r="D28" s="1129"/>
      <c r="E28" s="1151">
        <v>0.9</v>
      </c>
      <c r="F28" s="1130" t="s">
        <v>1465</v>
      </c>
      <c r="G28" s="1131"/>
      <c r="H28" s="1102"/>
      <c r="I28" s="1102"/>
    </row>
    <row r="29" spans="1:9" s="1595" customFormat="1" ht="19.5" customHeight="1">
      <c r="A29" s="3437"/>
      <c r="B29" s="3437"/>
      <c r="C29" s="1128" t="s">
        <v>1466</v>
      </c>
      <c r="D29" s="1129"/>
      <c r="E29" s="1151">
        <v>0.9</v>
      </c>
      <c r="F29" s="1130" t="s">
        <v>1467</v>
      </c>
      <c r="G29" s="1131"/>
      <c r="H29" s="1102"/>
      <c r="I29" s="1102"/>
    </row>
    <row r="30" spans="1:9" s="1595" customFormat="1" ht="19.5" customHeight="1">
      <c r="A30" s="3437"/>
      <c r="B30" s="3437"/>
      <c r="C30" s="1128" t="s">
        <v>1468</v>
      </c>
      <c r="D30" s="1129"/>
      <c r="E30" s="1151">
        <v>0.9</v>
      </c>
      <c r="F30" s="1130" t="s">
        <v>1469</v>
      </c>
      <c r="G30" s="1131"/>
      <c r="H30" s="1102"/>
      <c r="I30" s="1102"/>
    </row>
    <row r="31" spans="1:9" s="1595" customFormat="1" ht="19.5" customHeight="1">
      <c r="A31" s="3437"/>
      <c r="B31" s="3437"/>
      <c r="C31" s="1128" t="s">
        <v>1470</v>
      </c>
      <c r="D31" s="1129"/>
      <c r="E31" s="1151">
        <v>0.8</v>
      </c>
      <c r="F31" s="1130" t="s">
        <v>1471</v>
      </c>
      <c r="G31" s="1131"/>
      <c r="H31" s="1102"/>
      <c r="I31" s="1102"/>
    </row>
    <row r="32" spans="1:9" s="1595" customFormat="1" ht="19.5" customHeight="1">
      <c r="A32" s="3437"/>
      <c r="B32" s="3437"/>
      <c r="C32" s="1128" t="s">
        <v>1472</v>
      </c>
      <c r="D32" s="1129"/>
      <c r="E32" s="1151">
        <v>0.8</v>
      </c>
      <c r="F32" s="1130" t="s">
        <v>1473</v>
      </c>
      <c r="G32" s="1131"/>
      <c r="H32" s="1102"/>
      <c r="I32" s="1102"/>
    </row>
    <row r="33" spans="1:9" s="1595" customFormat="1" ht="19.5" customHeight="1">
      <c r="A33" s="3437" t="s">
        <v>1474</v>
      </c>
      <c r="B33" s="1151" t="s">
        <v>1446</v>
      </c>
      <c r="C33" s="1128" t="s">
        <v>1475</v>
      </c>
      <c r="D33" s="1129"/>
      <c r="E33" s="1151">
        <v>1</v>
      </c>
      <c r="F33" s="1130" t="s">
        <v>1476</v>
      </c>
      <c r="G33" s="1131"/>
      <c r="H33" s="1102"/>
      <c r="I33" s="1102"/>
    </row>
    <row r="34" spans="1:9" s="1595" customFormat="1" ht="19.5" customHeight="1">
      <c r="A34" s="3437"/>
      <c r="B34" s="1151" t="s">
        <v>1449</v>
      </c>
      <c r="C34" s="1128" t="s">
        <v>1477</v>
      </c>
      <c r="D34" s="1129"/>
      <c r="E34" s="1151">
        <v>1.5</v>
      </c>
      <c r="F34" s="1130" t="s">
        <v>1478</v>
      </c>
      <c r="G34" s="1131"/>
      <c r="H34" s="1102"/>
      <c r="I34" s="1102"/>
    </row>
    <row r="35" spans="1:9" s="1595" customFormat="1" ht="19.5" customHeight="1">
      <c r="A35" s="3437" t="s">
        <v>1432</v>
      </c>
      <c r="B35" s="1151" t="s">
        <v>1446</v>
      </c>
      <c r="C35" s="1128" t="s">
        <v>1479</v>
      </c>
      <c r="D35" s="1129"/>
      <c r="E35" s="1151">
        <v>1</v>
      </c>
      <c r="F35" s="1130" t="s">
        <v>1480</v>
      </c>
      <c r="G35" s="1131"/>
      <c r="H35" s="1102"/>
      <c r="I35" s="1102"/>
    </row>
    <row r="36" spans="1:9" s="1595" customFormat="1" ht="19.5" customHeight="1">
      <c r="A36" s="3437"/>
      <c r="B36" s="3437" t="s">
        <v>1449</v>
      </c>
      <c r="C36" s="1128" t="s">
        <v>1481</v>
      </c>
      <c r="D36" s="1129"/>
      <c r="E36" s="1151">
        <v>1</v>
      </c>
      <c r="F36" s="1130" t="s">
        <v>1482</v>
      </c>
      <c r="G36" s="1131"/>
      <c r="H36" s="1102"/>
      <c r="I36" s="1102"/>
    </row>
    <row r="37" spans="1:9" s="1595" customFormat="1" ht="19.5" customHeight="1">
      <c r="A37" s="3437"/>
      <c r="B37" s="3437"/>
      <c r="C37" s="1128" t="s">
        <v>1483</v>
      </c>
      <c r="D37" s="1129"/>
      <c r="E37" s="1151">
        <v>1.5</v>
      </c>
      <c r="F37" s="1130" t="s">
        <v>1484</v>
      </c>
      <c r="G37" s="1131"/>
      <c r="H37" s="1102"/>
      <c r="I37" s="1102"/>
    </row>
    <row r="38" spans="1:9" s="1595" customFormat="1" ht="19.5" customHeight="1">
      <c r="A38" s="3437"/>
      <c r="B38" s="3437"/>
      <c r="C38" s="1128" t="s">
        <v>1485</v>
      </c>
      <c r="D38" s="1129"/>
      <c r="E38" s="1151">
        <v>1</v>
      </c>
      <c r="F38" s="1130" t="s">
        <v>1486</v>
      </c>
      <c r="G38" s="1131"/>
      <c r="H38" s="1102"/>
      <c r="I38" s="1102"/>
    </row>
    <row r="39" spans="1:9" s="1595" customFormat="1" ht="19.5" customHeight="1">
      <c r="A39" s="3437"/>
      <c r="B39" s="3437"/>
      <c r="C39" s="1128" t="s">
        <v>1487</v>
      </c>
      <c r="D39" s="1129"/>
      <c r="E39" s="1151">
        <v>1</v>
      </c>
      <c r="F39" s="1130" t="s">
        <v>1488</v>
      </c>
      <c r="G39" s="1131"/>
      <c r="H39" s="1102"/>
      <c r="I39" s="1102"/>
    </row>
    <row r="40" spans="1:9" s="1595" customFormat="1" ht="19.5" customHeight="1">
      <c r="A40" s="1596" t="s">
        <v>1489</v>
      </c>
      <c r="B40" s="1596"/>
      <c r="C40" s="1596"/>
      <c r="D40" s="1596"/>
      <c r="E40" s="1596"/>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37" t="s">
        <v>1501</v>
      </c>
      <c r="C61" s="1065" t="s">
        <v>1502</v>
      </c>
      <c r="D61" s="1065" t="s">
        <v>1503</v>
      </c>
      <c r="E61" s="1136">
        <v>0.5</v>
      </c>
      <c r="F61" s="1151">
        <v>80</v>
      </c>
      <c r="H61" s="1102">
        <f>SUMIF(C59:C119,基准地价!C8,E59:E119)</f>
        <v>0</v>
      </c>
    </row>
    <row r="62" spans="1:8" s="1102" customFormat="1" ht="24">
      <c r="A62" s="1151">
        <v>2</v>
      </c>
      <c r="B62" s="3437"/>
      <c r="C62" s="1065" t="s">
        <v>1504</v>
      </c>
      <c r="D62" s="1065" t="s">
        <v>1505</v>
      </c>
      <c r="E62" s="1136">
        <v>0.5</v>
      </c>
      <c r="F62" s="1151">
        <v>80</v>
      </c>
    </row>
    <row r="63" spans="1:8" s="1102" customFormat="1" ht="36">
      <c r="A63" s="1151">
        <v>3</v>
      </c>
      <c r="B63" s="3437"/>
      <c r="C63" s="1065" t="s">
        <v>1506</v>
      </c>
      <c r="D63" s="1065" t="s">
        <v>1507</v>
      </c>
      <c r="E63" s="1136">
        <v>0.5</v>
      </c>
      <c r="F63" s="1151">
        <v>80</v>
      </c>
    </row>
    <row r="64" spans="1:8" s="1102" customFormat="1" ht="36">
      <c r="A64" s="1151">
        <v>4</v>
      </c>
      <c r="B64" s="3437"/>
      <c r="C64" s="1065" t="s">
        <v>1508</v>
      </c>
      <c r="D64" s="1065" t="s">
        <v>1509</v>
      </c>
      <c r="E64" s="1136">
        <v>0.4</v>
      </c>
      <c r="F64" s="1151">
        <v>60</v>
      </c>
    </row>
    <row r="65" spans="1:6" s="1102" customFormat="1" ht="36">
      <c r="A65" s="1151">
        <v>5</v>
      </c>
      <c r="B65" s="3437"/>
      <c r="C65" s="1065" t="s">
        <v>1510</v>
      </c>
      <c r="D65" s="1065" t="s">
        <v>1511</v>
      </c>
      <c r="E65" s="1136">
        <v>0.2</v>
      </c>
      <c r="F65" s="1151">
        <v>30</v>
      </c>
    </row>
    <row r="66" spans="1:6" s="1102" customFormat="1" ht="36">
      <c r="A66" s="1151">
        <v>6</v>
      </c>
      <c r="B66" s="3437"/>
      <c r="C66" s="1065" t="s">
        <v>1512</v>
      </c>
      <c r="D66" s="1065" t="s">
        <v>1513</v>
      </c>
      <c r="E66" s="1136">
        <v>0.3</v>
      </c>
      <c r="F66" s="1151">
        <v>50</v>
      </c>
    </row>
    <row r="67" spans="1:6" s="1102" customFormat="1" ht="36">
      <c r="A67" s="1151">
        <v>7</v>
      </c>
      <c r="B67" s="3437"/>
      <c r="C67" s="1065" t="s">
        <v>1514</v>
      </c>
      <c r="D67" s="1065" t="s">
        <v>1515</v>
      </c>
      <c r="E67" s="1136">
        <v>0.2</v>
      </c>
      <c r="F67" s="1151">
        <v>30</v>
      </c>
    </row>
    <row r="68" spans="1:6" s="1102" customFormat="1" ht="36">
      <c r="A68" s="1151">
        <v>8</v>
      </c>
      <c r="B68" s="3437"/>
      <c r="C68" s="1065" t="s">
        <v>1516</v>
      </c>
      <c r="D68" s="1065" t="s">
        <v>1517</v>
      </c>
      <c r="E68" s="1136">
        <v>0.2</v>
      </c>
      <c r="F68" s="1151">
        <v>30</v>
      </c>
    </row>
    <row r="69" spans="1:6" s="1102" customFormat="1" ht="36">
      <c r="A69" s="1151">
        <v>9</v>
      </c>
      <c r="B69" s="3437"/>
      <c r="C69" s="1065" t="s">
        <v>1518</v>
      </c>
      <c r="D69" s="1065" t="s">
        <v>1519</v>
      </c>
      <c r="E69" s="1136">
        <v>0.2</v>
      </c>
      <c r="F69" s="1151">
        <v>30</v>
      </c>
    </row>
    <row r="70" spans="1:6" s="1102" customFormat="1" ht="48">
      <c r="A70" s="1151">
        <v>10</v>
      </c>
      <c r="B70" s="3437"/>
      <c r="C70" s="1065" t="s">
        <v>1520</v>
      </c>
      <c r="D70" s="1065" t="s">
        <v>1521</v>
      </c>
      <c r="E70" s="1136">
        <v>0.2</v>
      </c>
      <c r="F70" s="1151">
        <v>30</v>
      </c>
    </row>
    <row r="71" spans="1:6" s="1102" customFormat="1" ht="48">
      <c r="A71" s="1151">
        <v>11</v>
      </c>
      <c r="B71" s="3437"/>
      <c r="C71" s="1065" t="s">
        <v>1522</v>
      </c>
      <c r="D71" s="1065" t="s">
        <v>1523</v>
      </c>
      <c r="E71" s="1136">
        <v>0.2</v>
      </c>
      <c r="F71" s="1151">
        <v>30</v>
      </c>
    </row>
    <row r="72" spans="1:6" s="1102" customFormat="1" ht="36">
      <c r="A72" s="1151">
        <v>12</v>
      </c>
      <c r="B72" s="3437"/>
      <c r="C72" s="1065" t="s">
        <v>1524</v>
      </c>
      <c r="D72" s="1065" t="s">
        <v>1525</v>
      </c>
      <c r="E72" s="1136">
        <v>0.5</v>
      </c>
      <c r="F72" s="1151">
        <v>80</v>
      </c>
    </row>
    <row r="73" spans="1:6" s="1102" customFormat="1" ht="24">
      <c r="A73" s="1151">
        <v>13</v>
      </c>
      <c r="B73" s="3437"/>
      <c r="C73" s="1065" t="s">
        <v>1526</v>
      </c>
      <c r="D73" s="1065" t="s">
        <v>1527</v>
      </c>
      <c r="E73" s="1136">
        <v>0.4</v>
      </c>
      <c r="F73" s="1151">
        <v>60</v>
      </c>
    </row>
    <row r="74" spans="1:6" s="1102" customFormat="1" ht="24">
      <c r="A74" s="1151">
        <v>14</v>
      </c>
      <c r="B74" s="3437"/>
      <c r="C74" s="1065" t="s">
        <v>1528</v>
      </c>
      <c r="D74" s="1065" t="s">
        <v>1529</v>
      </c>
      <c r="E74" s="1136">
        <v>0.2</v>
      </c>
      <c r="F74" s="1151">
        <v>30</v>
      </c>
    </row>
    <row r="75" spans="1:6" s="1102" customFormat="1" ht="24">
      <c r="A75" s="1151">
        <v>15</v>
      </c>
      <c r="B75" s="3437"/>
      <c r="C75" s="1065" t="s">
        <v>1530</v>
      </c>
      <c r="D75" s="1065" t="s">
        <v>1531</v>
      </c>
      <c r="E75" s="1136">
        <v>0.2</v>
      </c>
      <c r="F75" s="1151">
        <v>30</v>
      </c>
    </row>
    <row r="76" spans="1:6" s="1102" customFormat="1" ht="24">
      <c r="A76" s="1151">
        <v>16</v>
      </c>
      <c r="B76" s="3437" t="s">
        <v>1532</v>
      </c>
      <c r="C76" s="1065" t="s">
        <v>1533</v>
      </c>
      <c r="D76" s="1065" t="s">
        <v>1534</v>
      </c>
      <c r="E76" s="1136">
        <v>0.5</v>
      </c>
      <c r="F76" s="1151">
        <v>80</v>
      </c>
    </row>
    <row r="77" spans="1:6" s="1102" customFormat="1" ht="24">
      <c r="A77" s="1151">
        <v>17</v>
      </c>
      <c r="B77" s="3437"/>
      <c r="C77" s="1065" t="s">
        <v>1535</v>
      </c>
      <c r="D77" s="1065" t="s">
        <v>1536</v>
      </c>
      <c r="E77" s="1136">
        <v>0.5</v>
      </c>
      <c r="F77" s="1151">
        <v>80</v>
      </c>
    </row>
    <row r="78" spans="1:6" s="1102" customFormat="1" ht="24">
      <c r="A78" s="1151">
        <v>18</v>
      </c>
      <c r="B78" s="3437"/>
      <c r="C78" s="1065" t="s">
        <v>1537</v>
      </c>
      <c r="D78" s="1065" t="s">
        <v>1538</v>
      </c>
      <c r="E78" s="1136">
        <v>0.2</v>
      </c>
      <c r="F78" s="1151">
        <v>30</v>
      </c>
    </row>
    <row r="79" spans="1:6" s="1102" customFormat="1" ht="24">
      <c r="A79" s="1151">
        <v>19</v>
      </c>
      <c r="B79" s="3437"/>
      <c r="C79" s="1065" t="s">
        <v>1539</v>
      </c>
      <c r="D79" s="1065" t="s">
        <v>1540</v>
      </c>
      <c r="E79" s="1136">
        <v>0.5</v>
      </c>
      <c r="F79" s="1151">
        <v>80</v>
      </c>
    </row>
    <row r="80" spans="1:6" s="1102" customFormat="1" ht="36">
      <c r="A80" s="1151">
        <v>20</v>
      </c>
      <c r="B80" s="3437"/>
      <c r="C80" s="1065" t="s">
        <v>1541</v>
      </c>
      <c r="D80" s="1065" t="s">
        <v>1542</v>
      </c>
      <c r="E80" s="1136">
        <v>0.2</v>
      </c>
      <c r="F80" s="1151">
        <v>30</v>
      </c>
    </row>
    <row r="81" spans="1:6" s="1102" customFormat="1" ht="36">
      <c r="A81" s="1151">
        <v>21</v>
      </c>
      <c r="B81" s="3437"/>
      <c r="C81" s="1065" t="s">
        <v>1543</v>
      </c>
      <c r="D81" s="1065" t="s">
        <v>1544</v>
      </c>
      <c r="E81" s="1136">
        <v>0.2</v>
      </c>
      <c r="F81" s="1151">
        <v>30</v>
      </c>
    </row>
    <row r="82" spans="1:6" s="1102" customFormat="1" ht="48">
      <c r="A82" s="1151">
        <v>22</v>
      </c>
      <c r="B82" s="3437"/>
      <c r="C82" s="1065" t="s">
        <v>1545</v>
      </c>
      <c r="D82" s="1065" t="s">
        <v>1546</v>
      </c>
      <c r="E82" s="1136">
        <v>0.2</v>
      </c>
      <c r="F82" s="1151">
        <v>30</v>
      </c>
    </row>
    <row r="83" spans="1:6" s="1102" customFormat="1" ht="48">
      <c r="A83" s="1151">
        <v>23</v>
      </c>
      <c r="B83" s="3437"/>
      <c r="C83" s="1065" t="s">
        <v>1547</v>
      </c>
      <c r="D83" s="1065" t="s">
        <v>1548</v>
      </c>
      <c r="E83" s="1136">
        <v>0.2</v>
      </c>
      <c r="F83" s="1151">
        <v>30</v>
      </c>
    </row>
    <row r="84" spans="1:6" s="1102" customFormat="1" ht="36">
      <c r="A84" s="1151">
        <v>24</v>
      </c>
      <c r="B84" s="3437"/>
      <c r="C84" s="1065" t="s">
        <v>1549</v>
      </c>
      <c r="D84" s="1065" t="s">
        <v>1550</v>
      </c>
      <c r="E84" s="1136">
        <v>0.2</v>
      </c>
      <c r="F84" s="1151">
        <v>30</v>
      </c>
    </row>
    <row r="85" spans="1:6" s="1102" customFormat="1" ht="36">
      <c r="A85" s="1151">
        <v>25</v>
      </c>
      <c r="B85" s="3437"/>
      <c r="C85" s="1065" t="s">
        <v>1551</v>
      </c>
      <c r="D85" s="1065" t="s">
        <v>1552</v>
      </c>
      <c r="E85" s="1136">
        <v>0.5</v>
      </c>
      <c r="F85" s="1151">
        <v>80</v>
      </c>
    </row>
    <row r="86" spans="1:6" s="1102" customFormat="1" ht="36">
      <c r="A86" s="1151">
        <v>26</v>
      </c>
      <c r="B86" s="3437"/>
      <c r="C86" s="1065" t="s">
        <v>1553</v>
      </c>
      <c r="D86" s="1065" t="s">
        <v>1554</v>
      </c>
      <c r="E86" s="1136">
        <v>0.2</v>
      </c>
      <c r="F86" s="1151">
        <v>30</v>
      </c>
    </row>
    <row r="87" spans="1:6" s="1102" customFormat="1" ht="36">
      <c r="A87" s="1151">
        <v>27</v>
      </c>
      <c r="B87" s="3437"/>
      <c r="C87" s="1065" t="s">
        <v>1555</v>
      </c>
      <c r="D87" s="1065" t="s">
        <v>1556</v>
      </c>
      <c r="E87" s="1136">
        <v>0.2</v>
      </c>
      <c r="F87" s="1151">
        <v>30</v>
      </c>
    </row>
    <row r="88" spans="1:6" s="1102" customFormat="1" ht="36">
      <c r="A88" s="1151">
        <v>28</v>
      </c>
      <c r="B88" s="3437"/>
      <c r="C88" s="1065" t="s">
        <v>1557</v>
      </c>
      <c r="D88" s="1065" t="s">
        <v>1558</v>
      </c>
      <c r="E88" s="1136">
        <v>0.2</v>
      </c>
      <c r="F88" s="1151">
        <v>30</v>
      </c>
    </row>
    <row r="89" spans="1:6" s="1102" customFormat="1" ht="24">
      <c r="A89" s="1151">
        <v>29</v>
      </c>
      <c r="B89" s="3437"/>
      <c r="C89" s="1065" t="s">
        <v>1559</v>
      </c>
      <c r="D89" s="1065" t="s">
        <v>1560</v>
      </c>
      <c r="E89" s="1136">
        <v>0.2</v>
      </c>
      <c r="F89" s="1151">
        <v>30</v>
      </c>
    </row>
    <row r="90" spans="1:6" s="1102" customFormat="1" ht="24">
      <c r="A90" s="1151">
        <v>30</v>
      </c>
      <c r="B90" s="3437"/>
      <c r="C90" s="1065" t="s">
        <v>1561</v>
      </c>
      <c r="D90" s="1065" t="s">
        <v>1562</v>
      </c>
      <c r="E90" s="1136">
        <v>0.2</v>
      </c>
      <c r="F90" s="1151">
        <v>30</v>
      </c>
    </row>
    <row r="91" spans="1:6" s="1102" customFormat="1" ht="36">
      <c r="A91" s="1151">
        <v>31</v>
      </c>
      <c r="B91" s="3437"/>
      <c r="C91" s="1065" t="s">
        <v>1563</v>
      </c>
      <c r="D91" s="1065" t="s">
        <v>1564</v>
      </c>
      <c r="E91" s="1136">
        <v>0.2</v>
      </c>
      <c r="F91" s="1151">
        <v>30</v>
      </c>
    </row>
    <row r="92" spans="1:6" s="1102" customFormat="1" ht="24">
      <c r="A92" s="1151">
        <v>32</v>
      </c>
      <c r="B92" s="3437" t="s">
        <v>1565</v>
      </c>
      <c r="C92" s="1151" t="s">
        <v>1566</v>
      </c>
      <c r="D92" s="1065" t="s">
        <v>1567</v>
      </c>
      <c r="E92" s="1136">
        <v>0.2</v>
      </c>
      <c r="F92" s="1151">
        <v>30</v>
      </c>
    </row>
    <row r="93" spans="1:6" s="1102" customFormat="1" ht="36">
      <c r="A93" s="1151">
        <v>33</v>
      </c>
      <c r="B93" s="3437"/>
      <c r="C93" s="1151" t="s">
        <v>1568</v>
      </c>
      <c r="D93" s="1065" t="s">
        <v>1569</v>
      </c>
      <c r="E93" s="1136">
        <v>0.2</v>
      </c>
      <c r="F93" s="1151">
        <v>30</v>
      </c>
    </row>
    <row r="94" spans="1:6" s="1102" customFormat="1" ht="48">
      <c r="A94" s="1151">
        <v>34</v>
      </c>
      <c r="B94" s="3437"/>
      <c r="C94" s="1151" t="s">
        <v>1570</v>
      </c>
      <c r="D94" s="1065" t="s">
        <v>1571</v>
      </c>
      <c r="E94" s="1136">
        <v>0.2</v>
      </c>
      <c r="F94" s="1151">
        <v>30</v>
      </c>
    </row>
    <row r="95" spans="1:6" s="1102" customFormat="1" ht="36">
      <c r="A95" s="1151">
        <v>35</v>
      </c>
      <c r="B95" s="3437"/>
      <c r="C95" s="1151" t="s">
        <v>1572</v>
      </c>
      <c r="D95" s="1065" t="s">
        <v>1573</v>
      </c>
      <c r="E95" s="1136">
        <v>0.2</v>
      </c>
      <c r="F95" s="1151">
        <v>30</v>
      </c>
    </row>
    <row r="96" spans="1:6" s="1102" customFormat="1" ht="48">
      <c r="A96" s="1151">
        <v>36</v>
      </c>
      <c r="B96" s="3437"/>
      <c r="C96" s="1065" t="s">
        <v>1574</v>
      </c>
      <c r="D96" s="1065" t="s">
        <v>1575</v>
      </c>
      <c r="E96" s="1136">
        <v>0.2</v>
      </c>
      <c r="F96" s="1151">
        <v>30</v>
      </c>
    </row>
    <row r="97" spans="1:6" s="1102" customFormat="1" ht="36">
      <c r="A97" s="1151">
        <v>37</v>
      </c>
      <c r="B97" s="3437"/>
      <c r="C97" s="1151" t="s">
        <v>1576</v>
      </c>
      <c r="D97" s="1065" t="s">
        <v>1577</v>
      </c>
      <c r="E97" s="1136">
        <v>0.2</v>
      </c>
      <c r="F97" s="1151">
        <v>30</v>
      </c>
    </row>
    <row r="98" spans="1:6" s="1102" customFormat="1" ht="36">
      <c r="A98" s="1151">
        <v>38</v>
      </c>
      <c r="B98" s="3437"/>
      <c r="C98" s="1151" t="s">
        <v>1578</v>
      </c>
      <c r="D98" s="1065" t="s">
        <v>1579</v>
      </c>
      <c r="E98" s="1136">
        <v>0.2</v>
      </c>
      <c r="F98" s="1151">
        <v>30</v>
      </c>
    </row>
    <row r="99" spans="1:6" s="1102" customFormat="1" ht="36">
      <c r="A99" s="1151">
        <v>39</v>
      </c>
      <c r="B99" s="3437" t="s">
        <v>1580</v>
      </c>
      <c r="C99" s="1151" t="s">
        <v>1581</v>
      </c>
      <c r="D99" s="1065" t="s">
        <v>1582</v>
      </c>
      <c r="E99" s="1136">
        <v>0.3</v>
      </c>
      <c r="F99" s="1151">
        <v>50</v>
      </c>
    </row>
    <row r="100" spans="1:6" s="1102" customFormat="1" ht="24">
      <c r="A100" s="1151">
        <v>40</v>
      </c>
      <c r="B100" s="3437"/>
      <c r="C100" s="1151" t="s">
        <v>1583</v>
      </c>
      <c r="D100" s="1065" t="s">
        <v>1584</v>
      </c>
      <c r="E100" s="1136">
        <v>0.2</v>
      </c>
      <c r="F100" s="1151">
        <v>30</v>
      </c>
    </row>
    <row r="101" spans="1:6" s="1102" customFormat="1" ht="36">
      <c r="A101" s="1151">
        <v>41</v>
      </c>
      <c r="B101" s="3437"/>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37" t="s">
        <v>1595</v>
      </c>
      <c r="C105" s="1151" t="s">
        <v>1596</v>
      </c>
      <c r="D105" s="1065" t="s">
        <v>1597</v>
      </c>
      <c r="E105" s="1136">
        <v>0.2</v>
      </c>
      <c r="F105" s="1151">
        <v>30</v>
      </c>
    </row>
    <row r="106" spans="1:6" s="1102" customFormat="1" ht="36">
      <c r="A106" s="1151">
        <v>46</v>
      </c>
      <c r="B106" s="3437"/>
      <c r="C106" s="1151" t="s">
        <v>1598</v>
      </c>
      <c r="D106" s="1065" t="s">
        <v>1599</v>
      </c>
      <c r="E106" s="1136">
        <v>0.2</v>
      </c>
      <c r="F106" s="1151">
        <v>30</v>
      </c>
    </row>
    <row r="107" spans="1:6" s="1102" customFormat="1" ht="36">
      <c r="A107" s="1151">
        <v>47</v>
      </c>
      <c r="B107" s="3437" t="s">
        <v>1600</v>
      </c>
      <c r="C107" s="1151" t="s">
        <v>1601</v>
      </c>
      <c r="D107" s="1065" t="s">
        <v>1602</v>
      </c>
      <c r="E107" s="1136">
        <v>0.3</v>
      </c>
      <c r="F107" s="1151">
        <v>50</v>
      </c>
    </row>
    <row r="108" spans="1:6" s="1102" customFormat="1" ht="36">
      <c r="A108" s="1151">
        <v>48</v>
      </c>
      <c r="B108" s="3437"/>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37" t="s">
        <v>1611</v>
      </c>
      <c r="C111" s="1151" t="s">
        <v>1612</v>
      </c>
      <c r="D111" s="1065" t="s">
        <v>1613</v>
      </c>
      <c r="E111" s="1136">
        <v>0.2</v>
      </c>
      <c r="F111" s="1151">
        <v>30</v>
      </c>
    </row>
    <row r="112" spans="1:6" s="1102" customFormat="1" ht="24">
      <c r="A112" s="1151">
        <v>52</v>
      </c>
      <c r="B112" s="3437"/>
      <c r="C112" s="1151" t="s">
        <v>1614</v>
      </c>
      <c r="D112" s="1065" t="s">
        <v>1615</v>
      </c>
      <c r="E112" s="1136">
        <v>0.2</v>
      </c>
      <c r="F112" s="1151">
        <v>30</v>
      </c>
    </row>
    <row r="113" spans="1:14" s="1102" customFormat="1" ht="24">
      <c r="A113" s="1151">
        <v>53</v>
      </c>
      <c r="B113" s="3437"/>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37" t="s">
        <v>1624</v>
      </c>
      <c r="C116" s="1151" t="s">
        <v>1625</v>
      </c>
      <c r="D116" s="1065" t="s">
        <v>1626</v>
      </c>
      <c r="E116" s="1136">
        <v>0.2</v>
      </c>
      <c r="F116" s="1151">
        <v>30</v>
      </c>
    </row>
    <row r="117" spans="1:14" ht="36">
      <c r="A117" s="1151">
        <v>57</v>
      </c>
      <c r="B117" s="3437"/>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36" t="s">
        <v>1633</v>
      </c>
      <c r="B121" s="3436"/>
      <c r="C121" s="3436"/>
      <c r="D121" s="3436"/>
      <c r="E121" s="3436"/>
      <c r="F121" s="3436"/>
      <c r="G121" s="3436"/>
      <c r="H121" s="3436"/>
      <c r="I121" s="3436"/>
      <c r="J121" s="3436"/>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49" t="s">
        <v>1039</v>
      </c>
      <c r="B1" s="3449"/>
      <c r="C1" s="3449"/>
      <c r="D1" s="3449"/>
      <c r="E1" s="3449"/>
      <c r="F1" s="3449"/>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0" t="s">
        <v>1052</v>
      </c>
      <c r="B2" s="3450"/>
      <c r="C2" s="3450"/>
      <c r="D2" s="3450"/>
      <c r="E2" s="3450"/>
      <c r="F2" s="3450"/>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51"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52"/>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2424</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2425</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1.2786999999999999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3" t="s">
        <v>2081</v>
      </c>
      <c r="B1" s="3453"/>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2949</v>
      </c>
      <c r="B1" s="3098"/>
      <c r="C1" s="3098"/>
      <c r="D1" s="3098"/>
      <c r="E1" s="3098"/>
      <c r="F1" s="3098"/>
    </row>
    <row r="2" spans="1:6" ht="14.25">
      <c r="A2" s="3099" t="s">
        <v>2944</v>
      </c>
      <c r="B2" s="3100" t="e">
        <f ca="1">SUMIF(B7:B14,"&lt;&gt;#ref!",B7:B14)</f>
        <v>#DIV/0!</v>
      </c>
      <c r="C2" s="3099" t="s">
        <v>2945</v>
      </c>
      <c r="D2" s="3098"/>
      <c r="E2" s="3098"/>
      <c r="F2" s="3098"/>
    </row>
    <row r="3" spans="1:6" ht="14.25">
      <c r="A3" s="3099" t="s">
        <v>2978</v>
      </c>
      <c r="B3" s="3100" t="e">
        <f ca="1">ROUND(B2*10000/E3,0)</f>
        <v>#DIV/0!</v>
      </c>
      <c r="C3" s="3099" t="s">
        <v>2080</v>
      </c>
      <c r="D3" s="3099" t="s">
        <v>2946</v>
      </c>
      <c r="E3" s="3100">
        <f ca="1">SUMIF(E7:E14,"&lt;&gt;#ref!",E7:E14)</f>
        <v>0</v>
      </c>
      <c r="F3" s="3098"/>
    </row>
    <row r="4" spans="1:6" ht="14.25">
      <c r="A4" s="3099" t="s">
        <v>2953</v>
      </c>
      <c r="B4" s="3100" t="e">
        <f ca="1">ROUND(B2*10000/E4,0)</f>
        <v>#DIV/0!</v>
      </c>
      <c r="C4" s="3099" t="s">
        <v>2080</v>
      </c>
      <c r="D4" s="3099" t="s">
        <v>2954</v>
      </c>
      <c r="E4" s="3100">
        <f ca="1">SUMIF(F7:F14,"&lt;&gt;#ref!",F7:F14)</f>
        <v>0</v>
      </c>
      <c r="F4" s="3098"/>
    </row>
    <row r="5" spans="1:6" ht="14.25">
      <c r="A5" s="3101"/>
      <c r="B5" s="1878"/>
      <c r="C5" s="1878"/>
      <c r="D5" s="1878"/>
      <c r="E5" s="1878"/>
      <c r="F5" s="3098"/>
    </row>
    <row r="6" spans="1:6" ht="28.5">
      <c r="A6" s="3102" t="s">
        <v>2950</v>
      </c>
      <c r="B6" s="3099" t="s">
        <v>2947</v>
      </c>
      <c r="C6" s="3100"/>
      <c r="D6" s="1878"/>
      <c r="E6" s="3099" t="s">
        <v>2948</v>
      </c>
      <c r="F6" s="3099" t="s">
        <v>2952</v>
      </c>
    </row>
    <row r="7" spans="1:6" ht="14.25">
      <c r="A7" s="257" t="s">
        <v>2951</v>
      </c>
      <c r="B7" s="3103" t="e">
        <f ca="1">SUMIF(INDIRECT("'"&amp;A7&amp;"'"&amp;"!A:A"),"总价",INDIRECT("'"&amp;A7&amp;"'"&amp;"!B:B"))</f>
        <v>#DIV/0!</v>
      </c>
      <c r="C7" s="3099" t="s">
        <v>2945</v>
      </c>
      <c r="D7" s="1878"/>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2945</v>
      </c>
      <c r="D8" s="1878"/>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2945</v>
      </c>
      <c r="D9" s="1878"/>
      <c r="E9" s="3104" t="e">
        <f t="shared" ca="1" si="1"/>
        <v>#REF!</v>
      </c>
      <c r="F9" s="3104" t="e">
        <f t="shared" ca="1" si="2"/>
        <v>#REF!</v>
      </c>
    </row>
    <row r="10" spans="1:6" ht="14.25">
      <c r="A10" s="257"/>
      <c r="B10" s="3103" t="e">
        <f t="shared" ca="1" si="0"/>
        <v>#REF!</v>
      </c>
      <c r="C10" s="3099" t="s">
        <v>2945</v>
      </c>
      <c r="D10" s="1878"/>
      <c r="E10" s="3104" t="e">
        <f t="shared" ca="1" si="1"/>
        <v>#REF!</v>
      </c>
      <c r="F10" s="3104" t="e">
        <f t="shared" ca="1" si="2"/>
        <v>#REF!</v>
      </c>
    </row>
    <row r="11" spans="1:6" ht="14.25">
      <c r="A11" s="257"/>
      <c r="B11" s="3103" t="e">
        <f t="shared" ca="1" si="0"/>
        <v>#REF!</v>
      </c>
      <c r="C11" s="3099" t="s">
        <v>2945</v>
      </c>
      <c r="D11" s="1878"/>
      <c r="E11" s="3104" t="e">
        <f t="shared" ca="1" si="1"/>
        <v>#REF!</v>
      </c>
      <c r="F11" s="3104" t="e">
        <f t="shared" ca="1" si="2"/>
        <v>#REF!</v>
      </c>
    </row>
    <row r="12" spans="1:6" ht="14.25">
      <c r="A12" s="257"/>
      <c r="B12" s="3103" t="e">
        <f t="shared" ca="1" si="0"/>
        <v>#REF!</v>
      </c>
      <c r="C12" s="3099" t="s">
        <v>2945</v>
      </c>
      <c r="D12" s="1878"/>
      <c r="E12" s="3104" t="e">
        <f t="shared" ca="1" si="1"/>
        <v>#REF!</v>
      </c>
      <c r="F12" s="3104" t="e">
        <f t="shared" ca="1" si="2"/>
        <v>#REF!</v>
      </c>
    </row>
    <row r="13" spans="1:6" ht="14.25">
      <c r="A13" s="257"/>
      <c r="B13" s="3103" t="e">
        <f t="shared" ca="1" si="0"/>
        <v>#REF!</v>
      </c>
      <c r="C13" s="3099" t="s">
        <v>2945</v>
      </c>
      <c r="D13" s="1878"/>
      <c r="E13" s="3104" t="e">
        <f t="shared" ca="1" si="1"/>
        <v>#REF!</v>
      </c>
      <c r="F13" s="3104" t="e">
        <f t="shared" ca="1" si="2"/>
        <v>#REF!</v>
      </c>
    </row>
    <row r="14" spans="1:6" ht="14.25">
      <c r="A14" s="3097"/>
      <c r="B14" s="3103" t="e">
        <f t="shared" ca="1" si="0"/>
        <v>#REF!</v>
      </c>
      <c r="C14" s="3099" t="s">
        <v>2945</v>
      </c>
      <c r="D14" s="1878"/>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627</v>
      </c>
      <c r="B1" s="735"/>
      <c r="C1" s="770"/>
      <c r="D1" s="2047"/>
      <c r="E1" s="2384" t="s">
        <v>2376</v>
      </c>
      <c r="F1" s="2385">
        <f ca="1">J54</f>
        <v>-2</v>
      </c>
      <c r="G1" s="771">
        <f>MATCH(C1,'数据-取费表'!A6:A16,0)+5</f>
        <v>10</v>
      </c>
      <c r="H1" s="1347"/>
      <c r="I1" s="2048"/>
      <c r="J1" s="2048"/>
      <c r="K1" s="2049"/>
      <c r="L1" s="2048"/>
      <c r="M1" s="2048"/>
      <c r="N1" s="2050"/>
      <c r="O1" s="2050"/>
      <c r="P1" s="2050"/>
      <c r="Q1" s="2050"/>
      <c r="R1" s="2050"/>
      <c r="S1" s="2050"/>
      <c r="T1" s="2050"/>
      <c r="U1" s="2050"/>
      <c r="V1" s="2050"/>
      <c r="W1" s="2050"/>
      <c r="X1" s="2050"/>
      <c r="Y1" s="2050"/>
    </row>
    <row r="2" spans="1:25" ht="18" customHeight="1">
      <c r="A2" s="1640" t="s">
        <v>628</v>
      </c>
      <c r="B2" s="772">
        <f ca="1">IF(ISERROR(C45+J31),0,C45+J31)</f>
        <v>0</v>
      </c>
      <c r="C2" s="1348"/>
      <c r="D2" s="2052"/>
      <c r="E2" s="2053"/>
      <c r="F2" s="2053"/>
      <c r="G2" s="1586"/>
      <c r="H2" s="1360"/>
      <c r="I2" s="2054"/>
      <c r="J2" s="2054"/>
      <c r="K2" s="2055"/>
      <c r="L2" s="2054"/>
      <c r="M2" s="2054"/>
    </row>
    <row r="3" spans="1:25" ht="18" customHeight="1">
      <c r="A3" s="1641" t="s">
        <v>1686</v>
      </c>
      <c r="B3" s="1387">
        <f ca="1">ROUND(B2*10000/'数据-汇总表'!E3,0)</f>
        <v>0</v>
      </c>
      <c r="C3" s="1348"/>
      <c r="D3" s="2052"/>
      <c r="E3" s="2053"/>
      <c r="F3" s="2053"/>
      <c r="G3" s="1586"/>
      <c r="H3" s="773" t="s">
        <v>694</v>
      </c>
      <c r="I3" s="2054"/>
      <c r="J3" s="2054"/>
      <c r="K3" s="2055"/>
      <c r="L3" s="2054"/>
      <c r="M3" s="2054"/>
    </row>
    <row r="4" spans="1:25" ht="18" customHeight="1">
      <c r="A4" s="1642" t="s">
        <v>695</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696</v>
      </c>
      <c r="D5" s="2052"/>
      <c r="E5" s="2053"/>
      <c r="F5" s="2053"/>
      <c r="G5" s="1586"/>
      <c r="H5" s="773"/>
      <c r="I5" s="2054"/>
      <c r="J5" s="2054"/>
      <c r="K5" s="2055"/>
      <c r="L5" s="2054"/>
      <c r="M5" s="2054"/>
    </row>
    <row r="6" spans="1:25" ht="18" customHeight="1">
      <c r="A6" s="1825" t="s">
        <v>697</v>
      </c>
      <c r="B6" s="1817" t="s">
        <v>698</v>
      </c>
      <c r="C6" s="1817" t="s">
        <v>631</v>
      </c>
      <c r="D6" s="1817" t="s">
        <v>632</v>
      </c>
      <c r="E6" s="776" t="s">
        <v>633</v>
      </c>
      <c r="F6" s="777"/>
      <c r="G6" s="1588"/>
      <c r="H6" s="1825" t="s">
        <v>629</v>
      </c>
      <c r="I6" s="1817" t="s">
        <v>630</v>
      </c>
      <c r="J6" s="1817" t="s">
        <v>631</v>
      </c>
      <c r="K6" s="1817" t="s">
        <v>632</v>
      </c>
      <c r="L6" s="776" t="s">
        <v>633</v>
      </c>
      <c r="M6" s="777"/>
    </row>
    <row r="7" spans="1:25" ht="18" customHeight="1">
      <c r="A7" s="778">
        <v>1</v>
      </c>
      <c r="B7" s="779" t="s">
        <v>2460</v>
      </c>
      <c r="C7" s="53">
        <f ca="1">C8+C12+C14</f>
        <v>0</v>
      </c>
      <c r="D7" s="2493" t="s">
        <v>2463</v>
      </c>
      <c r="E7" s="2487"/>
      <c r="F7" s="2488"/>
      <c r="G7" s="1588"/>
      <c r="H7" s="778">
        <v>1</v>
      </c>
      <c r="I7" s="779" t="s">
        <v>2460</v>
      </c>
      <c r="J7" s="53">
        <f ca="1">J8+J12+J14</f>
        <v>0</v>
      </c>
      <c r="K7" s="2493" t="s">
        <v>2463</v>
      </c>
      <c r="L7" s="2487"/>
      <c r="M7" s="2488"/>
    </row>
    <row r="8" spans="1:25" ht="18" customHeight="1">
      <c r="A8" s="1827" t="s">
        <v>1824</v>
      </c>
      <c r="B8" s="3455" t="s">
        <v>2465</v>
      </c>
      <c r="C8" s="1822">
        <f ca="1">ROUND(F8*F10*F9*(1-F11)/10000,0)</f>
        <v>0</v>
      </c>
      <c r="D8" s="1819" t="s">
        <v>2536</v>
      </c>
      <c r="E8" s="61" t="s">
        <v>636</v>
      </c>
      <c r="F8" s="782">
        <f ca="1">INDIRECT("'数据-取费表'!u"&amp;$G$1)</f>
        <v>0</v>
      </c>
      <c r="G8" s="1588"/>
      <c r="H8" s="2501" t="s">
        <v>1824</v>
      </c>
      <c r="I8" s="3455" t="s">
        <v>2465</v>
      </c>
      <c r="J8" s="780">
        <f ca="1">ROUND(M8*M10*M9*(1-M11)/10000,0)</f>
        <v>0</v>
      </c>
      <c r="K8" s="338" t="s">
        <v>2536</v>
      </c>
      <c r="L8" s="781" t="s">
        <v>1738</v>
      </c>
      <c r="M8" s="782">
        <f ca="1">INDIRECT("'数据-取费表'!z"&amp;$G$1)</f>
        <v>0</v>
      </c>
    </row>
    <row r="9" spans="1:25" ht="18" customHeight="1">
      <c r="A9" s="2497"/>
      <c r="B9" s="3456"/>
      <c r="C9" s="1823"/>
      <c r="D9" s="1820"/>
      <c r="E9" s="61" t="s">
        <v>637</v>
      </c>
      <c r="F9" s="782">
        <f ca="1">IF(INDIRECT("'数据-取费表'!ah"&amp;$G$1)="",INDIRECT("'数据-取费表'!k"&amp;$G$1),INDIRECT("'数据-取费表'!ah"&amp;$G$1))</f>
        <v>0</v>
      </c>
      <c r="G9" s="1588"/>
      <c r="H9" s="2486"/>
      <c r="I9" s="3456"/>
      <c r="J9" s="785"/>
      <c r="K9" s="786"/>
      <c r="L9" s="781" t="s">
        <v>1739</v>
      </c>
      <c r="M9" s="782">
        <f ca="1">F9</f>
        <v>0</v>
      </c>
    </row>
    <row r="10" spans="1:25" ht="18" customHeight="1">
      <c r="A10" s="2490"/>
      <c r="B10" s="3457"/>
      <c r="C10" s="1823"/>
      <c r="D10" s="1820"/>
      <c r="E10" s="61" t="s">
        <v>638</v>
      </c>
      <c r="F10" s="782">
        <f ca="1">INDIRECT("'数据-取费表'!ai"&amp;$G$1)</f>
        <v>0</v>
      </c>
      <c r="G10" s="1588"/>
      <c r="H10" s="2486"/>
      <c r="I10" s="3457"/>
      <c r="J10" s="785"/>
      <c r="K10" s="786"/>
      <c r="L10" s="781" t="s">
        <v>1740</v>
      </c>
      <c r="M10" s="782">
        <f ca="1">INDIRECT("'数据-取费表'!ai"&amp;$G$1)</f>
        <v>0</v>
      </c>
    </row>
    <row r="11" spans="1:25" ht="18" customHeight="1">
      <c r="A11" s="783"/>
      <c r="B11" s="3458"/>
      <c r="C11" s="1823"/>
      <c r="D11" s="1820"/>
      <c r="E11" s="61" t="s">
        <v>639</v>
      </c>
      <c r="F11" s="791">
        <f ca="1">INDIRECT("'数据-取费表'!w"&amp;$G$1)</f>
        <v>0</v>
      </c>
      <c r="G11" s="1588"/>
      <c r="H11" s="2502"/>
      <c r="I11" s="3457"/>
      <c r="J11" s="785"/>
      <c r="K11" s="786"/>
      <c r="L11" s="792" t="s">
        <v>1741</v>
      </c>
      <c r="M11" s="793">
        <f ca="1">INDIRECT("'数据-取费表'!ab"&amp;$G$1)</f>
        <v>0</v>
      </c>
    </row>
    <row r="12" spans="1:25" ht="18" customHeight="1">
      <c r="A12" s="1827" t="s">
        <v>1825</v>
      </c>
      <c r="B12" s="2491" t="s">
        <v>2461</v>
      </c>
      <c r="C12" s="796">
        <f ca="1">ROUND(IF(F12="押一",C8/12*F13,IF(F12="押二",C8/12*2*F13,IF(F12="押三",C8/12*3*F13,C13*F13))),0)</f>
        <v>0</v>
      </c>
      <c r="D12" s="2498" t="s">
        <v>2974</v>
      </c>
      <c r="E12" s="2495" t="s">
        <v>2466</v>
      </c>
      <c r="F12" s="2618"/>
      <c r="G12" s="1588"/>
      <c r="H12" s="2558" t="s">
        <v>1825</v>
      </c>
      <c r="I12" s="2563" t="s">
        <v>2461</v>
      </c>
      <c r="J12" s="780">
        <f ca="1">ROUND(IF(M12="押一",J8/12*M13,IF(M12="押二",J8/12*2*M13,IF(M12="押三",J8/12*3*M13,J13*M13))),0)</f>
        <v>0</v>
      </c>
      <c r="K12" s="2498" t="s">
        <v>2974</v>
      </c>
      <c r="L12" s="2495" t="s">
        <v>2466</v>
      </c>
      <c r="M12" s="2618"/>
    </row>
    <row r="13" spans="1:25" ht="18" customHeight="1">
      <c r="A13" s="787"/>
      <c r="B13" s="2492" t="s">
        <v>2575</v>
      </c>
      <c r="C13" s="2496"/>
      <c r="D13" s="786"/>
      <c r="E13" s="2495" t="s">
        <v>2458</v>
      </c>
      <c r="F13" s="793">
        <f ca="1">'数据-取费表'!B39</f>
        <v>1.4999999999999999E-2</v>
      </c>
      <c r="G13" s="1588"/>
      <c r="H13" s="2559"/>
      <c r="I13" s="2492" t="s">
        <v>2575</v>
      </c>
      <c r="J13" s="2496"/>
      <c r="K13" s="2560"/>
      <c r="L13" s="2495" t="s">
        <v>2458</v>
      </c>
      <c r="M13" s="2489">
        <f ca="1">'数据-取费表'!B39</f>
        <v>1.4999999999999999E-2</v>
      </c>
    </row>
    <row r="14" spans="1:25" ht="18" customHeight="1" thickBot="1">
      <c r="A14" s="2534" t="s">
        <v>2469</v>
      </c>
      <c r="B14" s="2535" t="s">
        <v>2462</v>
      </c>
      <c r="C14" s="2536"/>
      <c r="D14" s="2537"/>
      <c r="E14" s="2538"/>
      <c r="F14" s="2539"/>
      <c r="G14" s="1588"/>
      <c r="H14" s="2548" t="s">
        <v>2469</v>
      </c>
      <c r="I14" s="2561" t="s">
        <v>2462</v>
      </c>
      <c r="J14" s="2562"/>
      <c r="K14" s="2537"/>
      <c r="L14" s="2538"/>
      <c r="M14" s="2551"/>
    </row>
    <row r="15" spans="1:25" ht="18" customHeight="1" thickTop="1">
      <c r="A15" s="1826" t="s">
        <v>1874</v>
      </c>
      <c r="B15" s="1824" t="s">
        <v>640</v>
      </c>
      <c r="C15" s="789">
        <f ca="1">ROUND(C31*F15,0)</f>
        <v>0</v>
      </c>
      <c r="D15" s="1831" t="s">
        <v>641</v>
      </c>
      <c r="E15" s="792" t="s">
        <v>642</v>
      </c>
      <c r="F15" s="797">
        <f ca="1">INDIRECT("'数据-取费表'!y"&amp;$G$1)</f>
        <v>0</v>
      </c>
      <c r="G15" s="1588"/>
      <c r="H15" s="1826" t="s">
        <v>1826</v>
      </c>
      <c r="I15" s="1824" t="s">
        <v>643</v>
      </c>
      <c r="J15" s="1816">
        <f ca="1">ROUND(J16*J17,0)</f>
        <v>0</v>
      </c>
      <c r="K15" s="1818" t="s">
        <v>641</v>
      </c>
      <c r="L15" s="798"/>
      <c r="M15" s="799"/>
    </row>
    <row r="16" spans="1:25" ht="18" customHeight="1">
      <c r="A16" s="800" t="s">
        <v>1875</v>
      </c>
      <c r="B16" s="781" t="s">
        <v>644</v>
      </c>
      <c r="C16" s="801">
        <f ca="1">INDIRECT("'数据-取费表'!m"&amp;$G$1)+INDIRECT("'数据-取费表'!t"&amp;$G$1)</f>
        <v>0</v>
      </c>
      <c r="D16" s="1976" t="s">
        <v>645</v>
      </c>
      <c r="E16" s="1977"/>
      <c r="F16" s="802"/>
      <c r="G16" s="1588"/>
      <c r="H16" s="800" t="s">
        <v>2071</v>
      </c>
      <c r="I16" s="2228" t="s">
        <v>2826</v>
      </c>
      <c r="J16" s="53">
        <f ca="1">C31</f>
        <v>0</v>
      </c>
      <c r="K16" s="26"/>
      <c r="L16" s="798"/>
      <c r="M16" s="799"/>
    </row>
    <row r="17" spans="1:25" s="2061" customFormat="1" ht="18" customHeight="1">
      <c r="A17" s="800" t="s">
        <v>1849</v>
      </c>
      <c r="B17" s="781" t="s">
        <v>646</v>
      </c>
      <c r="C17" s="53">
        <f ca="1">ROUND(C16*F17,0)</f>
        <v>0</v>
      </c>
      <c r="D17" s="803" t="s">
        <v>647</v>
      </c>
      <c r="E17" s="803" t="s">
        <v>648</v>
      </c>
      <c r="F17" s="804">
        <f>'数据-取费表'!B33</f>
        <v>0.03</v>
      </c>
      <c r="G17" s="1589"/>
      <c r="H17" s="800" t="s">
        <v>2072</v>
      </c>
      <c r="I17" s="781" t="s">
        <v>642</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8"/>
      <c r="H18" s="794" t="s">
        <v>1827</v>
      </c>
      <c r="I18" s="795" t="s">
        <v>650</v>
      </c>
      <c r="J18" s="796">
        <f ca="1">ROUND(J19+J24+J25+J26,0)</f>
        <v>0</v>
      </c>
      <c r="K18" s="26" t="s">
        <v>651</v>
      </c>
      <c r="L18" s="1979"/>
      <c r="M18" s="56"/>
    </row>
    <row r="19" spans="1:25" s="2061" customFormat="1" ht="18" customHeight="1">
      <c r="A19" s="800" t="s">
        <v>1851</v>
      </c>
      <c r="B19" s="781" t="s">
        <v>652</v>
      </c>
      <c r="C19" s="53">
        <f ca="1">ROUND(F19*(INDIRECT("'数据-取费表'!k"&amp;$G$1)+INDIRECT("'数据-取费表'!S"&amp;$G$1))/10000,0)</f>
        <v>0</v>
      </c>
      <c r="D19" s="781" t="s">
        <v>653</v>
      </c>
      <c r="E19" s="781" t="s">
        <v>654</v>
      </c>
      <c r="F19" s="56">
        <f>'数据-取费表'!B35</f>
        <v>200</v>
      </c>
      <c r="G19" s="1589"/>
      <c r="H19" s="800" t="s">
        <v>2071</v>
      </c>
      <c r="I19" s="781" t="s">
        <v>655</v>
      </c>
      <c r="J19" s="53">
        <f ca="1">ROUND(IF(项目基本情况!B11="自然人",J7*M19,J20+J21+J22),0)</f>
        <v>0</v>
      </c>
      <c r="K19" s="1976" t="s">
        <v>656</v>
      </c>
      <c r="L19" s="1974" t="s">
        <v>657</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1852</v>
      </c>
      <c r="B20" s="781" t="s">
        <v>658</v>
      </c>
      <c r="C20" s="53">
        <f ca="1">ROUND(C16*F20,0)</f>
        <v>0</v>
      </c>
      <c r="D20" s="781" t="s">
        <v>647</v>
      </c>
      <c r="E20" s="781" t="s">
        <v>648</v>
      </c>
      <c r="F20" s="806">
        <f>'数据-取费表'!B36</f>
        <v>1.4999999999999999E-2</v>
      </c>
      <c r="G20" s="1589"/>
      <c r="H20" s="800" t="s">
        <v>1831</v>
      </c>
      <c r="I20" s="781" t="s">
        <v>659</v>
      </c>
      <c r="J20" s="53">
        <f ca="1">ROUND(J7*M20/1.05,1)</f>
        <v>0</v>
      </c>
      <c r="K20" s="1974" t="s">
        <v>660</v>
      </c>
      <c r="L20" s="781" t="s">
        <v>648</v>
      </c>
      <c r="M20" s="806">
        <f>'数据-取费表'!B41</f>
        <v>5.5000000000000007E-2</v>
      </c>
      <c r="N20" s="2060"/>
      <c r="O20" s="2060"/>
      <c r="P20" s="2060"/>
      <c r="Q20" s="2060"/>
      <c r="R20" s="2060"/>
      <c r="S20" s="2060"/>
      <c r="T20" s="2060"/>
      <c r="U20" s="2060"/>
      <c r="V20" s="2060"/>
      <c r="W20" s="2060"/>
      <c r="X20" s="2060"/>
      <c r="Y20" s="2060"/>
    </row>
    <row r="21" spans="1:25" ht="18" customHeight="1">
      <c r="A21" s="800" t="s">
        <v>1876</v>
      </c>
      <c r="B21" s="781" t="s">
        <v>661</v>
      </c>
      <c r="C21" s="53">
        <f ca="1">SUM(C16:C20)</f>
        <v>0</v>
      </c>
      <c r="D21" s="258" t="s">
        <v>662</v>
      </c>
      <c r="E21" s="1979"/>
      <c r="F21" s="56"/>
      <c r="G21" s="1588"/>
      <c r="H21" s="1827" t="s">
        <v>1849</v>
      </c>
      <c r="I21" s="781" t="s">
        <v>663</v>
      </c>
      <c r="J21" s="53">
        <f ca="1">IF(K21="按租金收入计税",ROUND(J7*M21,1),ROUND(C31*F35*0.7,1))</f>
        <v>0</v>
      </c>
      <c r="K21" s="808" t="s">
        <v>664</v>
      </c>
      <c r="L21" s="781" t="s">
        <v>648</v>
      </c>
      <c r="M21" s="806">
        <f>IF(K21="按租金收入计税",'数据-取费表'!B51,'数据-取费表'!B50)</f>
        <v>1.2E-2</v>
      </c>
    </row>
    <row r="22" spans="1:25" s="2061" customFormat="1" ht="18" customHeight="1">
      <c r="A22" s="800" t="s">
        <v>1877</v>
      </c>
      <c r="B22" s="781" t="s">
        <v>665</v>
      </c>
      <c r="C22" s="53">
        <f ca="1">ROUND(C21*F22,0)</f>
        <v>0</v>
      </c>
      <c r="D22" s="809" t="s">
        <v>666</v>
      </c>
      <c r="E22" s="781" t="s">
        <v>648</v>
      </c>
      <c r="F22" s="806">
        <f>'数据-取费表'!B37</f>
        <v>0.02</v>
      </c>
      <c r="G22" s="1589"/>
      <c r="H22" s="1829" t="s">
        <v>1850</v>
      </c>
      <c r="I22" s="1819" t="s">
        <v>667</v>
      </c>
      <c r="J22" s="54">
        <f ca="1">ROUND(M22*M23/10000,0)</f>
        <v>0</v>
      </c>
      <c r="K22" s="811" t="s">
        <v>668</v>
      </c>
      <c r="L22" s="781" t="s">
        <v>669</v>
      </c>
      <c r="M22" s="637">
        <f>'数据-取费表'!B52</f>
        <v>1.5</v>
      </c>
      <c r="N22" s="2060"/>
      <c r="O22" s="2060"/>
      <c r="P22" s="2060"/>
      <c r="Q22" s="2060"/>
      <c r="R22" s="2060"/>
      <c r="S22" s="2060"/>
      <c r="T22" s="2060"/>
      <c r="U22" s="2060"/>
      <c r="V22" s="2060"/>
      <c r="W22" s="2060"/>
      <c r="X22" s="2060"/>
      <c r="Y22" s="2060"/>
    </row>
    <row r="23" spans="1:25" s="2061" customFormat="1" ht="18" customHeight="1">
      <c r="A23" s="800" t="s">
        <v>1878</v>
      </c>
      <c r="B23" s="781" t="s">
        <v>670</v>
      </c>
      <c r="C23" s="53" t="s">
        <v>1</v>
      </c>
      <c r="D23" s="809" t="s">
        <v>671</v>
      </c>
      <c r="E23" s="781" t="s">
        <v>672</v>
      </c>
      <c r="F23" s="806">
        <f>'数据-取费表'!B38</f>
        <v>0.02</v>
      </c>
      <c r="G23" s="1589"/>
      <c r="H23" s="1830"/>
      <c r="I23" s="1821"/>
      <c r="J23" s="69"/>
      <c r="K23" s="813"/>
      <c r="L23" s="781" t="s">
        <v>673</v>
      </c>
      <c r="M23" s="782">
        <f ca="1">INDIRECT("'数据-取费表'!r"&amp;$G$1)</f>
        <v>0</v>
      </c>
      <c r="N23" s="2060"/>
      <c r="O23" s="2060"/>
      <c r="P23" s="2060"/>
      <c r="Q23" s="2060"/>
      <c r="R23" s="2060"/>
      <c r="S23" s="2060"/>
      <c r="T23" s="2060"/>
      <c r="U23" s="2060"/>
      <c r="V23" s="2060"/>
      <c r="W23" s="2060"/>
      <c r="X23" s="2060"/>
      <c r="Y23" s="2060"/>
    </row>
    <row r="24" spans="1:25" ht="18" customHeight="1">
      <c r="A24" s="800" t="s">
        <v>1879</v>
      </c>
      <c r="B24" s="781" t="s">
        <v>674</v>
      </c>
      <c r="C24" s="53"/>
      <c r="D24" s="2569" t="str">
        <f>IF(F25&lt;=1,"单利计息。","复利计息。")&amp;"建造成本、管理费用、销售费用产生的利息。"</f>
        <v>复利计息。建造成本、管理费用、销售费用产生的利息。</v>
      </c>
      <c r="E24" s="1979"/>
      <c r="F24" s="56"/>
      <c r="G24" s="1588"/>
      <c r="H24" s="1828" t="s">
        <v>2072</v>
      </c>
      <c r="I24" s="781" t="s">
        <v>675</v>
      </c>
      <c r="J24" s="53">
        <f ca="1">ROUND(J16*M24,0)</f>
        <v>0</v>
      </c>
      <c r="K24" s="1974" t="s">
        <v>676</v>
      </c>
      <c r="L24" s="781" t="s">
        <v>648</v>
      </c>
      <c r="M24" s="814">
        <f ca="1">INDIRECT("'数据-取费表'!Ak"&amp;$G$1)</f>
        <v>0</v>
      </c>
    </row>
    <row r="25" spans="1:25" s="2061" customFormat="1" ht="18" customHeight="1">
      <c r="A25" s="800" t="s">
        <v>1875</v>
      </c>
      <c r="B25" s="781" t="s">
        <v>2439</v>
      </c>
      <c r="C25" s="53">
        <f ca="1">ROUND(IF('数据-取费表'!B22&lt;=1,(C21+C22)*F26*F25/2,(C21+C22)*(POWER((1+F26),F25/2)-1)),0)</f>
        <v>0</v>
      </c>
      <c r="D25" s="2568" t="str">
        <f>IF(F25&lt;=1,"(建造成本+管理费用)×利率×(建设周期÷2)","(建造成本+管理费用)×((1+利率)^(建设周期÷2)-1)")</f>
        <v>(建造成本+管理费用)×((1+利率)^(建设周期÷2)-1)</v>
      </c>
      <c r="E25" s="781" t="s">
        <v>677</v>
      </c>
      <c r="F25" s="637">
        <f>'数据-取费表'!B20</f>
        <v>2</v>
      </c>
      <c r="G25" s="1589"/>
      <c r="H25" s="800" t="s">
        <v>1878</v>
      </c>
      <c r="I25" s="781" t="s">
        <v>678</v>
      </c>
      <c r="J25" s="53">
        <f ca="1">ROUND(J15*M25,0)</f>
        <v>0</v>
      </c>
      <c r="K25" s="1974" t="s">
        <v>679</v>
      </c>
      <c r="L25" s="781" t="s">
        <v>648</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1849</v>
      </c>
      <c r="B26" s="781" t="s">
        <v>680</v>
      </c>
      <c r="C26" s="53">
        <f ca="1">ROUND(IF('数据-取费表'!B22&lt;=1,F23*F26*F25/2,F23*(POWER((1+F26),F25/2)-1)),4)</f>
        <v>1E-3</v>
      </c>
      <c r="D26" s="2568" t="str">
        <f>IF(F25&lt;=1,"销售费用×利率×(建设周期÷2)","销售费用×((1+利率)^(建设周期÷2)-1)")</f>
        <v>销售费用×((1+利率)^(建设周期÷2)-1)</v>
      </c>
      <c r="E26" s="781" t="s">
        <v>681</v>
      </c>
      <c r="F26" s="816">
        <f ca="1">'数据-取费表'!B40</f>
        <v>4.7500000000000001E-2</v>
      </c>
      <c r="G26" s="1589"/>
      <c r="H26" s="800" t="s">
        <v>1879</v>
      </c>
      <c r="I26" s="781" t="s">
        <v>665</v>
      </c>
      <c r="J26" s="53">
        <f ca="1">ROUND(J7*M26,0)</f>
        <v>0</v>
      </c>
      <c r="K26" s="1974" t="s">
        <v>682</v>
      </c>
      <c r="L26" s="781" t="s">
        <v>648</v>
      </c>
      <c r="M26" s="791">
        <f ca="1">INDIRECT("'数据-取费表'!Am"&amp;$G$1)</f>
        <v>0</v>
      </c>
      <c r="N26" s="2060"/>
      <c r="O26" s="2060"/>
      <c r="P26" s="2060"/>
      <c r="Q26" s="2060"/>
      <c r="R26" s="2060"/>
      <c r="S26" s="2060"/>
      <c r="T26" s="2060"/>
      <c r="U26" s="2060"/>
      <c r="V26" s="2060"/>
      <c r="W26" s="2060"/>
      <c r="X26" s="2060"/>
      <c r="Y26" s="2060"/>
    </row>
    <row r="27" spans="1:25" ht="18" customHeight="1">
      <c r="A27" s="800" t="s">
        <v>1881</v>
      </c>
      <c r="B27" s="781" t="s">
        <v>683</v>
      </c>
      <c r="C27" s="53"/>
      <c r="D27" s="258" t="s">
        <v>684</v>
      </c>
      <c r="E27" s="1979"/>
      <c r="F27" s="56"/>
      <c r="G27" s="1588"/>
      <c r="H27" s="794" t="s">
        <v>1828</v>
      </c>
      <c r="I27" s="3007" t="s">
        <v>2823</v>
      </c>
      <c r="J27" s="796">
        <f ca="1">J7-J18</f>
        <v>0</v>
      </c>
      <c r="K27" s="1976" t="s">
        <v>699</v>
      </c>
      <c r="L27" s="1978"/>
      <c r="M27" s="817"/>
    </row>
    <row r="28" spans="1:25" ht="18" customHeight="1">
      <c r="A28" s="800" t="s">
        <v>1875</v>
      </c>
      <c r="B28" s="781" t="s">
        <v>2440</v>
      </c>
      <c r="C28" s="53">
        <f ca="1">ROUND((C21+C22)*F28,0)</f>
        <v>0</v>
      </c>
      <c r="D28" s="809" t="s">
        <v>700</v>
      </c>
      <c r="E28" s="792" t="s">
        <v>701</v>
      </c>
      <c r="F28" s="791">
        <f ca="1">INDIRECT("'数据-取费表'!q"&amp;$G$1)</f>
        <v>0</v>
      </c>
      <c r="G28" s="1588"/>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8"/>
      <c r="H29" s="783"/>
      <c r="I29" s="784"/>
      <c r="J29" s="785"/>
      <c r="K29" s="818" t="s">
        <v>706</v>
      </c>
      <c r="L29" s="781" t="s">
        <v>707</v>
      </c>
      <c r="M29" s="819">
        <f ca="1">INDIRECT("'数据-取费表'!ag"&amp;$G$1)</f>
        <v>0</v>
      </c>
    </row>
    <row r="30" spans="1:25" s="2061" customFormat="1" ht="18" customHeight="1">
      <c r="A30" s="800" t="s">
        <v>1882</v>
      </c>
      <c r="B30" s="781" t="s">
        <v>686</v>
      </c>
      <c r="C30" s="53">
        <f>ROUND(F30/(1+'数据-取费表'!C42),4)</f>
        <v>5.2400000000000002E-2</v>
      </c>
      <c r="D30" s="809" t="s">
        <v>708</v>
      </c>
      <c r="E30" s="781" t="s">
        <v>648</v>
      </c>
      <c r="F30" s="806">
        <f>'数据-取费表'!B41</f>
        <v>5.5000000000000007E-2</v>
      </c>
      <c r="G30" s="1589"/>
      <c r="H30" s="787"/>
      <c r="I30" s="788"/>
      <c r="J30" s="789"/>
      <c r="K30" s="813"/>
      <c r="L30" s="781" t="s">
        <v>709</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1883</v>
      </c>
      <c r="B31" s="2538" t="s">
        <v>2824</v>
      </c>
      <c r="C31" s="2541">
        <f ca="1">ROUND((C21+C22+C25+C28)/(1-F23-C26-C29-C30),0)</f>
        <v>0</v>
      </c>
      <c r="D31" s="2542"/>
      <c r="E31" s="2543"/>
      <c r="F31" s="2544"/>
      <c r="G31" s="1589"/>
      <c r="H31" s="820" t="s">
        <v>1872</v>
      </c>
      <c r="I31" s="3008" t="s">
        <v>2825</v>
      </c>
      <c r="J31" s="822">
        <f ca="1">ROUND(J28/(1+F45)^F46,0)</f>
        <v>0</v>
      </c>
      <c r="K31" s="823" t="s">
        <v>687</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89">
        <f ca="1">ROUND(C33+C38+C39+C40,0)</f>
        <v>0</v>
      </c>
      <c r="D32" s="1818" t="s">
        <v>651</v>
      </c>
      <c r="E32" s="2484"/>
      <c r="F32" s="2488"/>
      <c r="G32" s="2059"/>
      <c r="H32" s="2062"/>
      <c r="I32" s="2063"/>
      <c r="J32" s="2064"/>
      <c r="K32" s="2065"/>
      <c r="L32" s="2066"/>
      <c r="M32" s="2067"/>
    </row>
    <row r="33" spans="1:18" ht="18" customHeight="1">
      <c r="A33" s="800" t="s">
        <v>1876</v>
      </c>
      <c r="B33" s="781" t="s">
        <v>655</v>
      </c>
      <c r="C33" s="53">
        <f ca="1">ROUND(IF(项目基本情况!B11="自然人",C7*F33,C34+C35+C36),1)</f>
        <v>0</v>
      </c>
      <c r="D33" s="1976" t="s">
        <v>656</v>
      </c>
      <c r="E33" s="1974" t="s">
        <v>689</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1875</v>
      </c>
      <c r="B34" s="781" t="s">
        <v>659</v>
      </c>
      <c r="C34" s="53">
        <f ca="1">ROUND(C7*F34/1.05,1)</f>
        <v>0</v>
      </c>
      <c r="D34" s="1974" t="s">
        <v>660</v>
      </c>
      <c r="E34" s="781" t="s">
        <v>648</v>
      </c>
      <c r="F34" s="806">
        <f>'数据-取费表'!B41</f>
        <v>5.5000000000000007E-2</v>
      </c>
      <c r="G34" s="2059"/>
      <c r="H34" s="2068"/>
      <c r="I34" s="2069"/>
      <c r="J34" s="2070"/>
      <c r="K34" s="2071"/>
      <c r="L34" s="2072"/>
      <c r="M34" s="2073"/>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9"/>
      <c r="H35" s="2074"/>
      <c r="I35" s="2074"/>
      <c r="J35" s="2074"/>
      <c r="K35" s="2075"/>
      <c r="L35" s="2074"/>
      <c r="M35" s="2074"/>
    </row>
    <row r="36" spans="1:18" ht="18" customHeight="1">
      <c r="A36" s="810" t="s">
        <v>1880</v>
      </c>
      <c r="B36" s="338" t="s">
        <v>667</v>
      </c>
      <c r="C36" s="54">
        <f ca="1">ROUND(F36*F37/10000,1)</f>
        <v>0</v>
      </c>
      <c r="D36" s="811" t="s">
        <v>668</v>
      </c>
      <c r="E36" s="781" t="s">
        <v>669</v>
      </c>
      <c r="F36" s="637">
        <f>'数据-取费表'!B52</f>
        <v>1.5</v>
      </c>
      <c r="G36" s="2059"/>
      <c r="H36" s="2062"/>
      <c r="I36" s="3454"/>
      <c r="J36" s="2076"/>
      <c r="K36" s="2077"/>
      <c r="L36" s="2076"/>
      <c r="M36" s="2076"/>
    </row>
    <row r="37" spans="1:18" ht="18" customHeight="1">
      <c r="A37" s="812"/>
      <c r="B37" s="790"/>
      <c r="C37" s="69"/>
      <c r="D37" s="813"/>
      <c r="E37" s="781" t="s">
        <v>673</v>
      </c>
      <c r="F37" s="782">
        <f ca="1">INDIRECT("'数据-取费表'!r"&amp;$G$1)</f>
        <v>0</v>
      </c>
      <c r="G37" s="2059"/>
      <c r="H37" s="2062"/>
      <c r="I37" s="3454"/>
      <c r="J37" s="2074"/>
      <c r="K37" s="2075"/>
      <c r="L37" s="2074"/>
      <c r="M37" s="2074"/>
    </row>
    <row r="38" spans="1:18" ht="18" customHeight="1">
      <c r="A38" s="800" t="s">
        <v>1877</v>
      </c>
      <c r="B38" s="781" t="s">
        <v>675</v>
      </c>
      <c r="C38" s="53">
        <f ca="1">ROUND(C31*F38,1)</f>
        <v>0</v>
      </c>
      <c r="D38" s="1974" t="s">
        <v>690</v>
      </c>
      <c r="E38" s="781" t="s">
        <v>648</v>
      </c>
      <c r="F38" s="814">
        <f ca="1">INDIRECT("'数据-取费表'!Ak"&amp;$G$1)</f>
        <v>0</v>
      </c>
      <c r="G38" s="2059"/>
      <c r="H38" s="2074"/>
      <c r="I38" s="2078"/>
      <c r="J38" s="1985"/>
      <c r="K38" s="2079"/>
      <c r="L38" s="2074"/>
      <c r="M38" s="2074"/>
    </row>
    <row r="39" spans="1:18" ht="18" customHeight="1">
      <c r="A39" s="800" t="s">
        <v>1878</v>
      </c>
      <c r="B39" s="781" t="s">
        <v>678</v>
      </c>
      <c r="C39" s="53">
        <f ca="1">ROUND(C15*F39,1)</f>
        <v>0</v>
      </c>
      <c r="D39" s="1974" t="s">
        <v>679</v>
      </c>
      <c r="E39" s="781" t="s">
        <v>648</v>
      </c>
      <c r="F39" s="815">
        <f ca="1">INDIRECT("'数据-取费表'!Al"&amp;$G$1)</f>
        <v>0</v>
      </c>
      <c r="G39" s="2059"/>
      <c r="H39" s="2074"/>
      <c r="I39" s="2078"/>
      <c r="J39" s="1985"/>
      <c r="K39" s="2079"/>
      <c r="L39" s="2074"/>
      <c r="M39" s="2074"/>
    </row>
    <row r="40" spans="1:18" ht="18" customHeight="1" thickBot="1">
      <c r="A40" s="2557" t="s">
        <v>1879</v>
      </c>
      <c r="B40" s="2543" t="s">
        <v>665</v>
      </c>
      <c r="C40" s="2541">
        <f ca="1">ROUND(C7*F40,1)</f>
        <v>0</v>
      </c>
      <c r="D40" s="2542" t="s">
        <v>682</v>
      </c>
      <c r="E40" s="2543" t="s">
        <v>648</v>
      </c>
      <c r="F40" s="2539">
        <f ca="1">INDIRECT("'数据-取费表'!Am"&amp;$G$1)</f>
        <v>0</v>
      </c>
      <c r="G40" s="2059"/>
      <c r="H40" s="2074"/>
      <c r="I40" s="2078"/>
      <c r="J40" s="1985"/>
      <c r="K40" s="2080"/>
      <c r="L40" s="2074"/>
      <c r="M40" s="2074"/>
    </row>
    <row r="41" spans="1:18" ht="18" customHeight="1" thickTop="1">
      <c r="A41" s="1826">
        <v>4</v>
      </c>
      <c r="B41" s="1824" t="s">
        <v>691</v>
      </c>
      <c r="C41" s="1350"/>
      <c r="D41" s="1351"/>
      <c r="E41" s="1351"/>
      <c r="F41" s="1352"/>
      <c r="G41" s="2059"/>
      <c r="H41" s="2059"/>
      <c r="I41" s="2059"/>
      <c r="J41" s="2059"/>
      <c r="K41" s="2080"/>
      <c r="L41" s="2059"/>
      <c r="M41" s="2059"/>
    </row>
    <row r="42" spans="1:18" ht="18" customHeight="1">
      <c r="A42" s="800" t="s">
        <v>1876</v>
      </c>
      <c r="B42" s="832" t="s">
        <v>692</v>
      </c>
      <c r="C42" s="826">
        <f ca="1">C7-C32</f>
        <v>0</v>
      </c>
      <c r="D42" s="1976" t="s">
        <v>693</v>
      </c>
      <c r="E42" s="1978"/>
      <c r="F42" s="817"/>
      <c r="G42" s="2059"/>
      <c r="H42" s="2059"/>
      <c r="I42" s="2059"/>
      <c r="J42" s="2059"/>
      <c r="K42" s="2080"/>
      <c r="L42" s="2059"/>
      <c r="M42" s="2059"/>
    </row>
    <row r="43" spans="1:18" ht="18" customHeight="1">
      <c r="A43" s="800" t="s">
        <v>1877</v>
      </c>
      <c r="B43" s="832" t="s">
        <v>710</v>
      </c>
      <c r="C43" s="833">
        <f ca="1">ROUND(C15*F43,0)</f>
        <v>0</v>
      </c>
      <c r="D43" s="1353" t="s">
        <v>711</v>
      </c>
      <c r="E43" s="3115" t="s">
        <v>2962</v>
      </c>
      <c r="F43" s="3116">
        <f ca="1">INDIRECT("'数据-取费表'!j"&amp;$G$1)</f>
        <v>0</v>
      </c>
      <c r="G43" s="2059"/>
      <c r="H43" s="2059"/>
      <c r="I43" s="2059"/>
      <c r="J43" s="2059"/>
      <c r="K43" s="2080"/>
      <c r="L43" s="2059"/>
      <c r="M43" s="2059"/>
    </row>
    <row r="44" spans="1:18" ht="18" customHeight="1">
      <c r="A44" s="800" t="s">
        <v>1878</v>
      </c>
      <c r="B44" s="832" t="s">
        <v>712</v>
      </c>
      <c r="C44" s="1354">
        <f ca="1">C42-C43</f>
        <v>0</v>
      </c>
      <c r="D44" s="460" t="s">
        <v>713</v>
      </c>
      <c r="E44" s="461"/>
      <c r="F44" s="462"/>
      <c r="G44" s="2059"/>
      <c r="H44" s="2059"/>
      <c r="I44" s="2059"/>
      <c r="J44" s="2059"/>
      <c r="K44" s="2080"/>
      <c r="L44" s="2059"/>
      <c r="M44" s="2059"/>
    </row>
    <row r="45" spans="1:18" ht="18" customHeight="1">
      <c r="A45" s="800" t="s">
        <v>1879</v>
      </c>
      <c r="B45" s="1353" t="s">
        <v>714</v>
      </c>
      <c r="C45" s="3031">
        <f ca="1">ROUND(-PV(F45,F46,C44,0),0)</f>
        <v>0</v>
      </c>
      <c r="D45" s="1355" t="s">
        <v>715</v>
      </c>
      <c r="E45" s="803" t="s">
        <v>716</v>
      </c>
      <c r="F45" s="827">
        <f ca="1">INDIRECT("'数据-取费表'!h"&amp;$G$1)</f>
        <v>0</v>
      </c>
      <c r="G45" s="2059"/>
      <c r="H45" s="2059"/>
      <c r="I45" s="2059"/>
      <c r="J45" s="2059"/>
      <c r="K45" s="2080"/>
      <c r="L45" s="2059"/>
      <c r="M45" s="2059"/>
    </row>
    <row r="46" spans="1:18" ht="18" customHeight="1" thickBot="1">
      <c r="A46" s="828"/>
      <c r="B46" s="1356"/>
      <c r="C46" s="1357"/>
      <c r="D46" s="1358"/>
      <c r="E46" s="3117" t="s">
        <v>2965</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2345</v>
      </c>
      <c r="J47" s="2376"/>
      <c r="K47" s="2377"/>
      <c r="L47" s="3153" t="str">
        <f ca="1">IF(M48="住宅",0,IF(L49&gt;J52,L61,J61))</f>
        <v>0</v>
      </c>
      <c r="O47" s="2391" t="s">
        <v>2412</v>
      </c>
      <c r="P47" s="1588"/>
      <c r="Q47" s="1600"/>
      <c r="R47" s="1588"/>
    </row>
    <row r="48" spans="1:18" s="2056" customFormat="1" ht="18" customHeight="1" thickBot="1">
      <c r="A48" s="2081"/>
      <c r="C48" s="2084"/>
      <c r="D48" s="2085"/>
      <c r="E48" s="2085"/>
      <c r="F48" s="2086"/>
      <c r="G48" s="2087"/>
      <c r="I48" s="3143" t="s">
        <v>2346</v>
      </c>
      <c r="J48" s="2378"/>
      <c r="K48" s="3150" t="s">
        <v>2351</v>
      </c>
      <c r="L48" s="3154">
        <f ca="1">INDIRECT("'数据-取费表'!d"&amp;$G$1)</f>
        <v>0</v>
      </c>
      <c r="M48" s="3114" t="str">
        <f>IF(ISNUMBER(FIND("住宅",C1)),"住宅","非住宅")</f>
        <v>非住宅</v>
      </c>
      <c r="O48" s="2392" t="s">
        <v>2377</v>
      </c>
      <c r="P48" s="2393" t="s">
        <v>2378</v>
      </c>
      <c r="Q48" s="2394" t="s">
        <v>2379</v>
      </c>
      <c r="R48" s="2393" t="s">
        <v>2380</v>
      </c>
    </row>
    <row r="49" spans="1:18" s="2056" customFormat="1" ht="18" customHeight="1" thickBot="1">
      <c r="A49" s="2081"/>
      <c r="D49" s="2088"/>
      <c r="E49" s="2089"/>
      <c r="F49" s="2086"/>
      <c r="G49" s="2087"/>
      <c r="H49" s="2090"/>
      <c r="I49" s="3119" t="s">
        <v>2347</v>
      </c>
      <c r="J49" s="2379"/>
      <c r="K49" s="3151" t="s">
        <v>2353</v>
      </c>
      <c r="L49" s="1905">
        <f ca="1">INDIRECT("'数据-取费表'!f"&amp;$G$1)</f>
        <v>0</v>
      </c>
      <c r="O49" s="2395" t="s">
        <v>2381</v>
      </c>
      <c r="P49" s="2396" t="s">
        <v>2407</v>
      </c>
      <c r="Q49" s="2397">
        <f ca="1">C41+J31</f>
        <v>0</v>
      </c>
      <c r="R49" s="2396" t="s">
        <v>2382</v>
      </c>
    </row>
    <row r="50" spans="1:18" s="2056" customFormat="1" ht="18" customHeight="1" thickBot="1">
      <c r="A50" s="2081"/>
      <c r="D50" s="2091"/>
      <c r="E50" s="2091"/>
      <c r="F50" s="2085"/>
      <c r="G50" s="2092"/>
      <c r="H50" s="2090"/>
      <c r="I50" s="3119" t="s">
        <v>2348</v>
      </c>
      <c r="J50" s="2380"/>
      <c r="K50" s="3152" t="s">
        <v>2354</v>
      </c>
      <c r="L50" s="2381"/>
      <c r="O50" s="2395" t="s">
        <v>2383</v>
      </c>
      <c r="P50" s="2396" t="s">
        <v>2408</v>
      </c>
      <c r="Q50" s="2397" t="str">
        <f ca="1">J61</f>
        <v>0</v>
      </c>
      <c r="R50" s="2396" t="s">
        <v>2384</v>
      </c>
    </row>
    <row r="51" spans="1:18" s="2056" customFormat="1" ht="18" customHeight="1" thickBot="1">
      <c r="A51" s="2093"/>
      <c r="D51" s="2091"/>
      <c r="E51" s="2091"/>
      <c r="F51" s="2082"/>
      <c r="H51" s="2090"/>
      <c r="I51" s="3119" t="s">
        <v>2349</v>
      </c>
      <c r="J51" s="3147">
        <f>SUMPRODUCT((I64:I66=J48)*(J63:L63=J49)*(J64:L66))</f>
        <v>0</v>
      </c>
      <c r="K51" s="3152" t="s">
        <v>2355</v>
      </c>
      <c r="L51" s="2381"/>
      <c r="O51" s="2398" t="s">
        <v>2385</v>
      </c>
      <c r="P51" s="2396" t="s">
        <v>2409</v>
      </c>
      <c r="Q51" s="2397">
        <f ca="1">C31</f>
        <v>0</v>
      </c>
      <c r="R51" s="2396" t="s">
        <v>2382</v>
      </c>
    </row>
    <row r="52" spans="1:18" s="2056" customFormat="1" ht="18" customHeight="1" thickBot="1">
      <c r="A52" s="2093"/>
      <c r="F52" s="2082"/>
      <c r="I52" s="3144" t="s">
        <v>2350</v>
      </c>
      <c r="J52" s="3148">
        <f>IF(J50="",J51,J50+J51-YEAR('数据-取费表'!B3))</f>
        <v>0</v>
      </c>
      <c r="K52" s="3119" t="s">
        <v>2356</v>
      </c>
      <c r="L52" s="3155">
        <f ca="1">ROUND(-PV(INDIRECT("'数据-取费表'!h"&amp;$G$1),L49,(C40-C14*J36),0),0)</f>
        <v>0</v>
      </c>
      <c r="O52" s="2398" t="s">
        <v>2386</v>
      </c>
      <c r="P52" s="2396" t="s">
        <v>2387</v>
      </c>
      <c r="Q52" s="2399" t="e">
        <f ca="1">J59</f>
        <v>#VALUE!</v>
      </c>
      <c r="R52" s="2400"/>
    </row>
    <row r="53" spans="1:18" s="2056" customFormat="1" ht="18" customHeight="1" thickBot="1">
      <c r="A53" s="2093"/>
      <c r="F53" s="2082"/>
      <c r="I53" s="3145" t="s">
        <v>2423</v>
      </c>
      <c r="J53" s="2382"/>
      <c r="K53" s="3145" t="s">
        <v>2422</v>
      </c>
      <c r="L53" s="2382"/>
      <c r="O53" s="2398" t="s">
        <v>2388</v>
      </c>
      <c r="P53" s="2396" t="s">
        <v>2389</v>
      </c>
      <c r="Q53" s="2399">
        <f>J53</f>
        <v>0</v>
      </c>
      <c r="R53" s="2400"/>
    </row>
    <row r="54" spans="1:18" s="2056" customFormat="1" ht="29.25" thickBot="1">
      <c r="A54" s="2093"/>
      <c r="I54" s="3146" t="s">
        <v>2979</v>
      </c>
      <c r="J54" s="3149">
        <f ca="1">IF(M48="住宅",MAX(J52,L49-'数据-取费表'!B20),MIN(J52,L49-'数据-取费表'!B20))</f>
        <v>-2</v>
      </c>
      <c r="K54" s="3459"/>
      <c r="L54" s="3460"/>
      <c r="O54" s="2398" t="s">
        <v>2390</v>
      </c>
      <c r="P54" s="2396" t="s">
        <v>2391</v>
      </c>
      <c r="Q54" s="2397">
        <f ca="1">J54</f>
        <v>-2</v>
      </c>
      <c r="R54" s="2396" t="s">
        <v>2392</v>
      </c>
    </row>
    <row r="55" spans="1:18" s="2056" customFormat="1" ht="18" customHeight="1" thickBot="1">
      <c r="A55" s="2093"/>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5" t="s">
        <v>2393</v>
      </c>
      <c r="P55" s="2396" t="s">
        <v>2410</v>
      </c>
      <c r="Q55" s="2397">
        <f ca="1">Q49+Q50</f>
        <v>0</v>
      </c>
      <c r="R55" s="2400" t="s">
        <v>2394</v>
      </c>
    </row>
    <row r="56" spans="1:18" s="2056" customFormat="1" ht="16.5" thickBot="1">
      <c r="A56" s="2093"/>
      <c r="B56" s="2094"/>
      <c r="C56" s="2094"/>
      <c r="I56" s="3158" t="s">
        <v>2357</v>
      </c>
      <c r="J56" s="3094" t="e">
        <f ca="1">ROUND(IF(J48="钢混",J58/J51,1-(1-2%)*(J51-J58)/J51),3)</f>
        <v>#VALUE!</v>
      </c>
      <c r="K56" s="3159" t="s">
        <v>2358</v>
      </c>
      <c r="L56" s="2383"/>
      <c r="O56" s="2401" t="s">
        <v>2413</v>
      </c>
      <c r="P56" s="1588"/>
      <c r="Q56" s="1600"/>
      <c r="R56" s="1588"/>
    </row>
    <row r="57" spans="1:18" s="2056" customFormat="1" ht="43.5" thickBot="1">
      <c r="A57" s="2093"/>
      <c r="B57" s="2094"/>
      <c r="C57" s="2094"/>
      <c r="I57" s="3160" t="s">
        <v>2359</v>
      </c>
      <c r="J57" s="3170" t="s">
        <v>1678</v>
      </c>
      <c r="K57" s="3119" t="s">
        <v>2364</v>
      </c>
      <c r="L57" s="1905">
        <f ca="1">IF(L49&lt;J52,"——",L49-J52)</f>
        <v>0</v>
      </c>
      <c r="O57" s="2392" t="s">
        <v>2377</v>
      </c>
      <c r="P57" s="2393" t="s">
        <v>2378</v>
      </c>
      <c r="Q57" s="2394" t="s">
        <v>2379</v>
      </c>
      <c r="R57" s="2393" t="s">
        <v>2380</v>
      </c>
    </row>
    <row r="58" spans="1:18" s="2056" customFormat="1" ht="29.25" thickBot="1">
      <c r="A58" s="2093"/>
      <c r="B58" s="2094"/>
      <c r="C58" s="2094"/>
      <c r="I58" s="3161" t="s">
        <v>2360</v>
      </c>
      <c r="J58" s="3162" t="str">
        <f ca="1">IF(OR(M48="住宅",J52&lt;L49,J57="是"),"——",J52-L49)</f>
        <v>——</v>
      </c>
      <c r="K58" s="3119" t="s">
        <v>2365</v>
      </c>
      <c r="L58" s="1905">
        <f ca="1">IF(L49&lt;J52,"——",IF(L56="比较法",L50,IF(L56="基准地价",L51,L52)))</f>
        <v>0</v>
      </c>
      <c r="O58" s="2395" t="s">
        <v>2381</v>
      </c>
      <c r="P58" s="2396" t="s">
        <v>2407</v>
      </c>
      <c r="Q58" s="2397">
        <f ca="1">C41+J31</f>
        <v>0</v>
      </c>
      <c r="R58" s="2396" t="s">
        <v>2382</v>
      </c>
    </row>
    <row r="59" spans="1:18" s="2056" customFormat="1" ht="29.25" thickBot="1">
      <c r="A59" s="2093"/>
      <c r="B59" s="2094"/>
      <c r="C59" s="2094"/>
      <c r="I59" s="3161" t="s">
        <v>2361</v>
      </c>
      <c r="J59" s="3095" t="e">
        <f ca="1">IF(J56&lt;0.4,0.4,J56)</f>
        <v>#VALUE!</v>
      </c>
      <c r="K59" s="3119" t="s">
        <v>2366</v>
      </c>
      <c r="L59" s="1905">
        <f ca="1">IF(ISERROR(POWER(1+L53,L48-L49)*(POWER(1+L53,L49)-1)/(POWER(1+L53,L48)-1)),0,POWER(1+L53,L48-L49)*(POWER(1+L53,L49)-1)/(POWER(1+L53,L48)-1))</f>
        <v>0</v>
      </c>
      <c r="O59" s="2395" t="s">
        <v>2383</v>
      </c>
      <c r="P59" s="2396" t="s">
        <v>2414</v>
      </c>
      <c r="Q59" s="2397" t="e">
        <f ca="1">L61</f>
        <v>#DIV/0!</v>
      </c>
      <c r="R59" s="2400" t="s">
        <v>2416</v>
      </c>
    </row>
    <row r="60" spans="1:18" s="2056" customFormat="1" ht="29.25" thickBot="1">
      <c r="A60" s="2093"/>
      <c r="B60" s="2094"/>
      <c r="C60" s="2094"/>
      <c r="I60" s="3161" t="s">
        <v>2362</v>
      </c>
      <c r="J60" s="3162" t="str">
        <f ca="1">IF(OR(M48="住宅",J52&lt;L49,J57="是"),"——",ROUND(C30*J59,0))</f>
        <v>——</v>
      </c>
      <c r="K60" s="3119" t="s">
        <v>2367</v>
      </c>
      <c r="L60" s="1905">
        <f ca="1">IF(ISERROR(POWER(1+L53,L48-J52)*(POWER(1+L53,J52)-1)/(POWER(1+L53,L48)-1)),0,POWER(1+L53,L48-J52)*(POWER(1+L53,J52)-1)/(POWER(1+L53,L48)-1))</f>
        <v>0</v>
      </c>
      <c r="O60" s="2398" t="s">
        <v>2385</v>
      </c>
      <c r="P60" s="2396" t="s">
        <v>2415</v>
      </c>
      <c r="Q60" s="2397">
        <f>IF(L56="比较法",L50,IF(L56="基准地价",L51,0))</f>
        <v>0</v>
      </c>
      <c r="R60" s="2396" t="s">
        <v>2382</v>
      </c>
    </row>
    <row r="61" spans="1:18" s="2056" customFormat="1" ht="15.75" thickBot="1">
      <c r="A61" s="2093"/>
      <c r="B61" s="2094"/>
      <c r="C61" s="2094"/>
      <c r="I61" s="3163" t="s">
        <v>2363</v>
      </c>
      <c r="J61" s="3164" t="str">
        <f ca="1">IF(OR(M48="住宅",J52&lt;L49,J57="是"),"0",ROUND(J60/(1+J53)^J54,0))</f>
        <v>0</v>
      </c>
      <c r="K61" s="3165" t="s">
        <v>2368</v>
      </c>
      <c r="L61" s="3164" t="e">
        <f ca="1">IF(OR(M48="住宅",L49&lt;J52),0,ROUND(L58*(L59/L60-1),0))</f>
        <v>#DIV/0!</v>
      </c>
      <c r="O61" s="2398" t="s">
        <v>2386</v>
      </c>
      <c r="P61" s="2396" t="s">
        <v>2395</v>
      </c>
      <c r="Q61" s="2399">
        <f>L53</f>
        <v>0</v>
      </c>
      <c r="R61" s="2400"/>
    </row>
    <row r="62" spans="1:18" s="2056" customFormat="1" ht="20.25" thickBot="1">
      <c r="A62" s="2093"/>
      <c r="B62" s="2094"/>
      <c r="C62" s="2094"/>
      <c r="K62" s="2083"/>
      <c r="O62" s="2398" t="s">
        <v>2388</v>
      </c>
      <c r="P62" s="2396" t="s">
        <v>2396</v>
      </c>
      <c r="Q62" s="2397">
        <f ca="1">L59</f>
        <v>0</v>
      </c>
      <c r="R62" s="2400" t="s">
        <v>2397</v>
      </c>
    </row>
    <row r="63" spans="1:18" s="2056" customFormat="1" ht="20.25" thickBot="1">
      <c r="A63" s="2093"/>
      <c r="B63" s="2094"/>
      <c r="C63" s="2094"/>
      <c r="I63" s="3166" t="s">
        <v>2369</v>
      </c>
      <c r="J63" s="3167" t="s">
        <v>2370</v>
      </c>
      <c r="K63" s="3167" t="s">
        <v>2371</v>
      </c>
      <c r="L63" s="3167" t="s">
        <v>2352</v>
      </c>
      <c r="M63" s="3168" t="s">
        <v>2942</v>
      </c>
      <c r="O63" s="2398" t="s">
        <v>2390</v>
      </c>
      <c r="P63" s="2396" t="s">
        <v>2398</v>
      </c>
      <c r="Q63" s="2397">
        <f ca="1">L60</f>
        <v>0</v>
      </c>
      <c r="R63" s="2400" t="s">
        <v>2399</v>
      </c>
    </row>
    <row r="64" spans="1:18" s="2056" customFormat="1" ht="15.75" thickBot="1">
      <c r="A64" s="2093"/>
      <c r="B64" s="2094"/>
      <c r="C64" s="2094"/>
      <c r="I64" s="3166" t="s">
        <v>2372</v>
      </c>
      <c r="J64" s="3167">
        <v>70</v>
      </c>
      <c r="K64" s="3167">
        <v>50</v>
      </c>
      <c r="L64" s="3167">
        <v>80</v>
      </c>
      <c r="M64" s="3169">
        <v>0.02</v>
      </c>
      <c r="O64" s="2395" t="s">
        <v>2393</v>
      </c>
      <c r="P64" s="2396" t="s">
        <v>2410</v>
      </c>
      <c r="Q64" s="2397" t="e">
        <f ca="1">Q58+Q59</f>
        <v>#DIV/0!</v>
      </c>
      <c r="R64" s="2400" t="s">
        <v>2394</v>
      </c>
    </row>
    <row r="65" spans="1:18" s="2056" customFormat="1" ht="16.5" thickBot="1">
      <c r="A65" s="2093"/>
      <c r="B65" s="2094"/>
      <c r="C65" s="2094"/>
      <c r="I65" s="3166" t="s">
        <v>2373</v>
      </c>
      <c r="J65" s="3167">
        <v>50</v>
      </c>
      <c r="K65" s="3167">
        <v>35</v>
      </c>
      <c r="L65" s="3167">
        <v>60</v>
      </c>
      <c r="M65" s="843">
        <v>0</v>
      </c>
      <c r="O65" s="2401" t="s">
        <v>2417</v>
      </c>
      <c r="P65" s="1588"/>
      <c r="Q65" s="1600"/>
      <c r="R65" s="1588"/>
    </row>
    <row r="66" spans="1:18" s="2056" customFormat="1" ht="15.75" thickBot="1">
      <c r="A66" s="2093"/>
      <c r="B66" s="2094"/>
      <c r="C66" s="2094"/>
      <c r="I66" s="3166" t="s">
        <v>2374</v>
      </c>
      <c r="J66" s="3167">
        <v>40</v>
      </c>
      <c r="K66" s="3167">
        <v>30</v>
      </c>
      <c r="L66" s="3167">
        <v>50</v>
      </c>
      <c r="M66" s="3169">
        <v>0.02</v>
      </c>
      <c r="O66" s="2392" t="s">
        <v>2377</v>
      </c>
      <c r="P66" s="2393" t="s">
        <v>2378</v>
      </c>
      <c r="Q66" s="2394" t="s">
        <v>2379</v>
      </c>
      <c r="R66" s="2393" t="s">
        <v>2380</v>
      </c>
    </row>
    <row r="67" spans="1:18" s="2056" customFormat="1" ht="15.75" thickBot="1">
      <c r="A67" s="2093"/>
      <c r="B67" s="2094"/>
      <c r="C67" s="2094"/>
      <c r="K67" s="2083"/>
      <c r="O67" s="2395" t="s">
        <v>2381</v>
      </c>
      <c r="P67" s="2396" t="s">
        <v>2407</v>
      </c>
      <c r="Q67" s="2397">
        <f ca="1">C41+J31</f>
        <v>0</v>
      </c>
      <c r="R67" s="2396" t="s">
        <v>2382</v>
      </c>
    </row>
    <row r="68" spans="1:18" s="2056" customFormat="1" ht="20.25" thickBot="1">
      <c r="A68" s="2093"/>
      <c r="B68" s="2094"/>
      <c r="C68" s="2094"/>
      <c r="K68" s="2083"/>
      <c r="O68" s="2395" t="s">
        <v>2383</v>
      </c>
      <c r="P68" s="2396" t="s">
        <v>2414</v>
      </c>
      <c r="Q68" s="2397" t="e">
        <f ca="1">L61</f>
        <v>#DIV/0!</v>
      </c>
      <c r="R68" s="2400" t="s">
        <v>2416</v>
      </c>
    </row>
    <row r="69" spans="1:18" s="2056" customFormat="1" ht="21.75" thickBot="1">
      <c r="A69" s="2093"/>
      <c r="B69" s="2094"/>
      <c r="C69" s="2094"/>
      <c r="K69" s="2083"/>
      <c r="O69" s="2398" t="s">
        <v>2385</v>
      </c>
      <c r="P69" s="2396" t="s">
        <v>2415</v>
      </c>
      <c r="Q69" s="2402">
        <f ca="1">L52</f>
        <v>0</v>
      </c>
      <c r="R69" s="2403" t="s">
        <v>2418</v>
      </c>
    </row>
    <row r="70" spans="1:18" s="2056" customFormat="1" ht="20.25" thickBot="1">
      <c r="A70" s="2093"/>
      <c r="B70" s="2094"/>
      <c r="C70" s="2094"/>
      <c r="K70" s="2083"/>
      <c r="O70" s="2398" t="s">
        <v>2386</v>
      </c>
      <c r="P70" s="2404" t="s">
        <v>2400</v>
      </c>
      <c r="Q70" s="2397">
        <f ca="1">ROUND(Q71-Q72*Q73,0)</f>
        <v>0</v>
      </c>
      <c r="R70" s="2400"/>
    </row>
    <row r="71" spans="1:18" s="2056" customFormat="1" ht="15.75" thickBot="1">
      <c r="A71" s="2093"/>
      <c r="B71" s="2094"/>
      <c r="C71" s="2094"/>
      <c r="K71" s="2083"/>
      <c r="O71" s="2398" t="s">
        <v>2401</v>
      </c>
      <c r="P71" s="2404" t="s">
        <v>2402</v>
      </c>
      <c r="Q71" s="2397">
        <f ca="1">C42</f>
        <v>0</v>
      </c>
      <c r="R71" s="2396" t="s">
        <v>2382</v>
      </c>
    </row>
    <row r="72" spans="1:18" s="2056" customFormat="1" ht="15.75" thickBot="1">
      <c r="A72" s="2093"/>
      <c r="B72" s="2094"/>
      <c r="C72" s="2094"/>
      <c r="K72" s="2083"/>
      <c r="O72" s="2398" t="s">
        <v>2403</v>
      </c>
      <c r="P72" s="2404" t="s">
        <v>2404</v>
      </c>
      <c r="Q72" s="2397">
        <f ca="1">C15</f>
        <v>0</v>
      </c>
      <c r="R72" s="2396" t="s">
        <v>2382</v>
      </c>
    </row>
    <row r="73" spans="1:18" s="2056" customFormat="1" ht="15.75" thickBot="1">
      <c r="A73" s="2093"/>
      <c r="B73" s="2094"/>
      <c r="C73" s="2094"/>
      <c r="K73" s="2083"/>
      <c r="O73" s="2398" t="s">
        <v>2405</v>
      </c>
      <c r="P73" s="2404" t="s">
        <v>2406</v>
      </c>
      <c r="Q73" s="2399">
        <f ca="1">F43</f>
        <v>0</v>
      </c>
      <c r="R73" s="2400"/>
    </row>
    <row r="74" spans="1:18" s="2056" customFormat="1" ht="15.75" thickBot="1">
      <c r="A74" s="2093"/>
      <c r="B74" s="2094"/>
      <c r="C74" s="2094"/>
      <c r="K74" s="2083"/>
      <c r="O74" s="2398" t="s">
        <v>2388</v>
      </c>
      <c r="P74" s="2396" t="s">
        <v>2395</v>
      </c>
      <c r="Q74" s="2399">
        <f>L53</f>
        <v>0</v>
      </c>
      <c r="R74" s="2400"/>
    </row>
    <row r="75" spans="1:18" s="2056" customFormat="1" ht="20.25" thickBot="1">
      <c r="A75" s="2093"/>
      <c r="B75" s="2094"/>
      <c r="C75" s="2094"/>
      <c r="K75" s="2083"/>
      <c r="O75" s="2398" t="s">
        <v>2390</v>
      </c>
      <c r="P75" s="2396" t="s">
        <v>2396</v>
      </c>
      <c r="Q75" s="2397">
        <f ca="1">L59</f>
        <v>0</v>
      </c>
      <c r="R75" s="2400" t="s">
        <v>2397</v>
      </c>
    </row>
    <row r="76" spans="1:18" s="2056" customFormat="1" ht="20.25" thickBot="1">
      <c r="A76" s="2093"/>
      <c r="B76" s="2094"/>
      <c r="C76" s="2094"/>
      <c r="K76" s="2083"/>
      <c r="O76" s="2398" t="s">
        <v>2419</v>
      </c>
      <c r="P76" s="2396" t="s">
        <v>2398</v>
      </c>
      <c r="Q76" s="2397">
        <f ca="1">L60</f>
        <v>0</v>
      </c>
      <c r="R76" s="2400" t="s">
        <v>2399</v>
      </c>
    </row>
    <row r="77" spans="1:18" s="2056" customFormat="1" ht="15.75" thickBot="1">
      <c r="A77" s="2093"/>
      <c r="B77" s="2094"/>
      <c r="C77" s="2094"/>
      <c r="K77" s="2083"/>
      <c r="O77" s="2395" t="s">
        <v>2393</v>
      </c>
      <c r="P77" s="2396" t="s">
        <v>2410</v>
      </c>
      <c r="Q77" s="2397" t="e">
        <f ca="1">Q67+Q68</f>
        <v>#DIV/0!</v>
      </c>
      <c r="R77" s="2400"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147515.15平方米。根据《建设工程规划许可证》[]、《出让合同》[]，估价对象规划建筑面积为317024.16平方米。</v>
      </c>
    </row>
    <row r="7" spans="1:4" ht="56.25">
      <c r="A7" s="1792" t="s">
        <v>2748</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2018年10月30日（评估专业人员勘察现场之日）</v>
      </c>
    </row>
    <row r="12" spans="1:4" ht="18.75">
      <c r="A12" s="1794" t="s">
        <v>2027</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根据《国有土地使用证》[]，估价对象（分摊）出让国有建设用地使用权面积为147515.15平方米。根据《建设工程规划许可证》[]、《出让合同》[]，估价对象规划建筑面积为317024.16平方米。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7月16日地下车库2068年7月16日、地下仓储2068年7月16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63" t="s">
        <v>2578</v>
      </c>
      <c r="C1" s="3463"/>
      <c r="D1" s="3463"/>
      <c r="E1" s="3463"/>
      <c r="F1" s="3463"/>
      <c r="G1" s="3462" t="s">
        <v>2579</v>
      </c>
      <c r="H1" s="3462"/>
      <c r="I1" s="3462"/>
      <c r="J1" s="3462"/>
      <c r="K1" s="3462"/>
      <c r="L1" s="3462"/>
      <c r="N1" s="3462" t="s">
        <v>2580</v>
      </c>
      <c r="O1" s="3462"/>
      <c r="P1" s="3462"/>
      <c r="Q1" s="3462"/>
      <c r="R1" s="2651"/>
      <c r="S1" s="3462" t="s">
        <v>2581</v>
      </c>
      <c r="T1" s="3462"/>
      <c r="U1" s="3462"/>
      <c r="V1" s="3462"/>
      <c r="X1" s="3461" t="s">
        <v>2641</v>
      </c>
      <c r="Y1" s="3462"/>
      <c r="Z1" s="3462"/>
      <c r="AA1" s="3462"/>
      <c r="AB1" s="3462"/>
      <c r="AD1" s="3461" t="s">
        <v>2645</v>
      </c>
      <c r="AE1" s="3462"/>
      <c r="AF1" s="3462"/>
      <c r="AG1" s="3462"/>
      <c r="AH1" s="3462"/>
    </row>
    <row r="2" spans="1:34" s="2753" customFormat="1" ht="14.25" thickBot="1">
      <c r="B2" s="2761" t="s">
        <v>2582</v>
      </c>
      <c r="C2" s="2761" t="s">
        <v>2643</v>
      </c>
      <c r="D2" s="2754" t="s">
        <v>1644</v>
      </c>
      <c r="E2" s="2754" t="s">
        <v>1951</v>
      </c>
      <c r="F2" s="2761" t="s">
        <v>2644</v>
      </c>
      <c r="G2" s="2757"/>
      <c r="H2" s="2756"/>
      <c r="I2" s="2761" t="s">
        <v>2956</v>
      </c>
      <c r="J2" s="2754" t="s">
        <v>2958</v>
      </c>
      <c r="K2" s="2754" t="s">
        <v>2959</v>
      </c>
      <c r="L2" s="2761" t="s">
        <v>2960</v>
      </c>
      <c r="N2" s="2761" t="s">
        <v>2582</v>
      </c>
      <c r="O2" s="2754" t="s">
        <v>2957</v>
      </c>
      <c r="P2" s="2754" t="s">
        <v>1951</v>
      </c>
      <c r="Q2" s="2761" t="s">
        <v>2644</v>
      </c>
      <c r="R2" s="2755"/>
      <c r="S2" s="2761" t="s">
        <v>2582</v>
      </c>
      <c r="T2" s="2754" t="s">
        <v>2957</v>
      </c>
      <c r="U2" s="2754" t="s">
        <v>1951</v>
      </c>
      <c r="V2" s="2761" t="s">
        <v>2644</v>
      </c>
      <c r="X2" s="2761" t="s">
        <v>2582</v>
      </c>
      <c r="Y2" s="2761" t="s">
        <v>2643</v>
      </c>
      <c r="Z2" s="2754" t="s">
        <v>1644</v>
      </c>
      <c r="AA2" s="2754" t="s">
        <v>1951</v>
      </c>
      <c r="AB2" s="2761" t="s">
        <v>2644</v>
      </c>
      <c r="AD2" s="2761" t="s">
        <v>2582</v>
      </c>
      <c r="AE2" s="2761" t="s">
        <v>2643</v>
      </c>
      <c r="AF2" s="2754" t="s">
        <v>1644</v>
      </c>
      <c r="AG2" s="2754" t="s">
        <v>1951</v>
      </c>
      <c r="AH2" s="2761" t="s">
        <v>2644</v>
      </c>
    </row>
    <row r="3" spans="1:34" s="3127" customFormat="1" ht="14.25">
      <c r="A3" s="3139" t="s">
        <v>2969</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6" customFormat="1" ht="14.25">
      <c r="B4" s="2747"/>
      <c r="C4" s="2747"/>
      <c r="D4" s="2748"/>
      <c r="E4" s="2748"/>
      <c r="F4" s="2747"/>
      <c r="G4" s="2752"/>
      <c r="H4" s="2749"/>
      <c r="I4" s="3120"/>
      <c r="J4" s="3120"/>
      <c r="K4" s="3120"/>
      <c r="L4" s="3120"/>
      <c r="N4" s="2752"/>
      <c r="O4" s="2750"/>
      <c r="P4" s="2750"/>
      <c r="Q4" s="2750"/>
      <c r="R4" s="2750"/>
      <c r="S4" s="2752"/>
      <c r="T4" s="2750"/>
      <c r="U4" s="2750"/>
      <c r="V4" s="2750"/>
      <c r="W4" s="3136"/>
      <c r="X4" s="2751"/>
      <c r="Y4" s="2751"/>
      <c r="Z4" s="2751"/>
      <c r="AA4" s="2751"/>
      <c r="AB4" s="2751"/>
      <c r="AD4" s="2671"/>
      <c r="AE4" s="2671"/>
      <c r="AF4" s="2671"/>
      <c r="AG4" s="2671"/>
      <c r="AH4" s="2671"/>
    </row>
    <row r="5" spans="1:34" s="3108" customFormat="1">
      <c r="A5" s="3106" t="s">
        <v>2982</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07">
        <v>4</v>
      </c>
      <c r="I5" s="3121">
        <v>0</v>
      </c>
      <c r="J5" s="3121">
        <v>0</v>
      </c>
      <c r="K5" s="3121">
        <v>0</v>
      </c>
      <c r="L5" s="3121">
        <v>0</v>
      </c>
      <c r="N5" s="2759">
        <f t="shared" ref="N5" si="6">I5/100</f>
        <v>0</v>
      </c>
      <c r="O5" s="2759">
        <f t="shared" ref="O5" si="7">J5/100</f>
        <v>0</v>
      </c>
      <c r="P5" s="2759">
        <f t="shared" ref="P5" si="8">K5/100</f>
        <v>0</v>
      </c>
      <c r="Q5" s="2759">
        <f t="shared" ref="Q5" si="9">L5/100</f>
        <v>0</v>
      </c>
      <c r="R5" s="3109"/>
      <c r="S5" s="3110"/>
      <c r="T5" s="3109"/>
      <c r="U5" s="3109"/>
      <c r="V5" s="3109"/>
      <c r="W5" s="3137" t="s">
        <v>2970</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8" customFormat="1" ht="13.5" thickBot="1">
      <c r="A6" s="2652" t="s">
        <v>2980</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26"/>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2981</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26"/>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2976</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26"/>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2967</v>
      </c>
      <c r="B9" s="3141">
        <v>439</v>
      </c>
      <c r="C9" s="3141">
        <v>327</v>
      </c>
      <c r="D9" s="3141">
        <f t="shared" si="33"/>
        <v>327</v>
      </c>
      <c r="E9" s="3141">
        <v>627</v>
      </c>
      <c r="F9" s="3142">
        <v>283</v>
      </c>
      <c r="G9" s="3124">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2971</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26"/>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2583</v>
      </c>
      <c r="B11" s="2666">
        <f t="shared" si="45"/>
        <v>419.31181600000002</v>
      </c>
      <c r="C11" s="2666">
        <f t="shared" si="45"/>
        <v>313.95436800000004</v>
      </c>
      <c r="D11" s="2666">
        <f t="shared" si="33"/>
        <v>313.95436800000004</v>
      </c>
      <c r="E11" s="2666">
        <f t="shared" si="46"/>
        <v>596.63028431999999</v>
      </c>
      <c r="F11" s="2666">
        <f t="shared" si="46"/>
        <v>274.74220703999998</v>
      </c>
      <c r="G11" s="3125"/>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2584</v>
      </c>
      <c r="B12" s="2666">
        <f t="shared" si="45"/>
        <v>405.524</v>
      </c>
      <c r="C12" s="2666">
        <f t="shared" si="45"/>
        <v>307.79840000000002</v>
      </c>
      <c r="D12" s="2666">
        <f t="shared" si="33"/>
        <v>307.79840000000002</v>
      </c>
      <c r="E12" s="2666">
        <f t="shared" si="46"/>
        <v>574.67759999999998</v>
      </c>
      <c r="F12" s="2666">
        <f t="shared" si="46"/>
        <v>270.20280000000002</v>
      </c>
      <c r="G12" s="3126"/>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970</v>
      </c>
      <c r="B13" s="2658">
        <v>392</v>
      </c>
      <c r="C13" s="2658">
        <v>302</v>
      </c>
      <c r="D13" s="2658">
        <f t="shared" si="33"/>
        <v>302</v>
      </c>
      <c r="E13" s="2658">
        <v>553</v>
      </c>
      <c r="F13" s="2659">
        <v>266</v>
      </c>
      <c r="G13" s="3470">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969</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65"/>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959</v>
      </c>
      <c r="B15" s="2666">
        <f t="shared" si="54"/>
        <v>360.06949782209392</v>
      </c>
      <c r="C15" s="2666">
        <f t="shared" si="54"/>
        <v>289.84672674747821</v>
      </c>
      <c r="D15" s="2666">
        <f t="shared" si="55"/>
        <v>289.84672674747821</v>
      </c>
      <c r="E15" s="2666">
        <f t="shared" si="56"/>
        <v>501.06543001181495</v>
      </c>
      <c r="F15" s="2666">
        <f t="shared" si="56"/>
        <v>256.82882500744967</v>
      </c>
      <c r="G15" s="3465"/>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968</v>
      </c>
      <c r="B16" s="2666">
        <f t="shared" si="54"/>
        <v>346.720748986128</v>
      </c>
      <c r="C16" s="2666">
        <f t="shared" si="54"/>
        <v>284.30282172386285</v>
      </c>
      <c r="D16" s="2666">
        <f t="shared" si="55"/>
        <v>284.30282172386285</v>
      </c>
      <c r="E16" s="2666">
        <f t="shared" si="56"/>
        <v>479.58023546306947</v>
      </c>
      <c r="F16" s="2666">
        <f t="shared" si="56"/>
        <v>253.25788877571213</v>
      </c>
      <c r="G16" s="3466"/>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967</v>
      </c>
      <c r="B17" s="2658">
        <v>333</v>
      </c>
      <c r="C17" s="2658">
        <v>277</v>
      </c>
      <c r="D17" s="2658">
        <f t="shared" si="55"/>
        <v>277</v>
      </c>
      <c r="E17" s="2658">
        <v>459</v>
      </c>
      <c r="F17" s="2659">
        <v>249</v>
      </c>
      <c r="G17" s="3464">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966</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65"/>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965</v>
      </c>
      <c r="B19" s="2666">
        <f t="shared" si="58"/>
        <v>322.34053690220776</v>
      </c>
      <c r="C19" s="2666">
        <f t="shared" si="58"/>
        <v>271.46160770422546</v>
      </c>
      <c r="D19" s="2666">
        <f t="shared" si="55"/>
        <v>271.46160770422546</v>
      </c>
      <c r="E19" s="2666">
        <f t="shared" si="59"/>
        <v>442.69434542172456</v>
      </c>
      <c r="F19" s="2666">
        <f t="shared" si="59"/>
        <v>241.34030753190925</v>
      </c>
      <c r="G19" s="3465"/>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964</v>
      </c>
      <c r="B20" s="2666">
        <f t="shared" si="58"/>
        <v>319.87748030386797</v>
      </c>
      <c r="C20" s="2666">
        <f t="shared" si="58"/>
        <v>269.60135833173649</v>
      </c>
      <c r="D20" s="2666">
        <f t="shared" si="55"/>
        <v>269.60135833173649</v>
      </c>
      <c r="E20" s="2666">
        <f t="shared" si="59"/>
        <v>439.18089823583784</v>
      </c>
      <c r="F20" s="2666">
        <f t="shared" si="59"/>
        <v>239.23503918706311</v>
      </c>
      <c r="G20" s="3466"/>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963</v>
      </c>
      <c r="B21" s="2680">
        <v>318</v>
      </c>
      <c r="C21" s="2680">
        <v>268</v>
      </c>
      <c r="D21" s="2680">
        <f t="shared" si="55"/>
        <v>268</v>
      </c>
      <c r="E21" s="2680">
        <v>437</v>
      </c>
      <c r="F21" s="2681">
        <v>237</v>
      </c>
      <c r="G21" s="3464">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962</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65"/>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961</v>
      </c>
      <c r="B23" s="2666">
        <f t="shared" si="60"/>
        <v>314.72141172386546</v>
      </c>
      <c r="C23" s="2666">
        <f t="shared" si="60"/>
        <v>263.03901319069001</v>
      </c>
      <c r="D23" s="2666">
        <f t="shared" si="55"/>
        <v>263.03901319069001</v>
      </c>
      <c r="E23" s="2666">
        <f t="shared" si="61"/>
        <v>433.65745506782821</v>
      </c>
      <c r="F23" s="2666">
        <f t="shared" si="61"/>
        <v>233.23005080045735</v>
      </c>
      <c r="G23" s="3465"/>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960</v>
      </c>
      <c r="B24" s="2685">
        <f t="shared" si="60"/>
        <v>307.34512863658733</v>
      </c>
      <c r="C24" s="2685">
        <f t="shared" si="60"/>
        <v>257.80556031626975</v>
      </c>
      <c r="D24" s="2685">
        <f t="shared" si="55"/>
        <v>257.80556031626975</v>
      </c>
      <c r="E24" s="2685">
        <f t="shared" si="61"/>
        <v>422.70928459677179</v>
      </c>
      <c r="F24" s="2685">
        <f t="shared" si="61"/>
        <v>229.73803270336617</v>
      </c>
      <c r="G24" s="3466"/>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2642</v>
      </c>
      <c r="X24" s="2762">
        <v>1</v>
      </c>
      <c r="Y24" s="2762">
        <v>1</v>
      </c>
      <c r="Z24" s="2762">
        <v>1</v>
      </c>
      <c r="AA24" s="2762">
        <v>1</v>
      </c>
      <c r="AB24" s="2762">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2" t="s">
        <v>2585</v>
      </c>
      <c r="B25" s="2658">
        <v>299</v>
      </c>
      <c r="C25" s="2658">
        <v>252</v>
      </c>
      <c r="D25" s="2658">
        <f t="shared" si="55"/>
        <v>252</v>
      </c>
      <c r="E25" s="2658">
        <v>409</v>
      </c>
      <c r="F25" s="2659">
        <v>227</v>
      </c>
      <c r="G25" s="3467">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2586</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68"/>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2587</v>
      </c>
      <c r="B27" s="2666">
        <f t="shared" si="64"/>
        <v>288.2649053828776</v>
      </c>
      <c r="C27" s="2666">
        <f t="shared" si="64"/>
        <v>243.64564425013293</v>
      </c>
      <c r="D27" s="2666">
        <f t="shared" si="55"/>
        <v>243.64564425013293</v>
      </c>
      <c r="E27" s="2666">
        <f t="shared" si="65"/>
        <v>393.31080825986544</v>
      </c>
      <c r="F27" s="2666">
        <f t="shared" si="65"/>
        <v>223.07903790551154</v>
      </c>
      <c r="G27" s="3468"/>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2588</v>
      </c>
      <c r="B28" s="2666">
        <f t="shared" si="64"/>
        <v>282.50186729015837</v>
      </c>
      <c r="C28" s="2666">
        <f t="shared" si="64"/>
        <v>238.09796174155468</v>
      </c>
      <c r="D28" s="2666">
        <f t="shared" si="55"/>
        <v>238.09796174155468</v>
      </c>
      <c r="E28" s="2666">
        <f t="shared" si="65"/>
        <v>385.33438646014054</v>
      </c>
      <c r="F28" s="2666">
        <f t="shared" si="65"/>
        <v>221.55034055567739</v>
      </c>
      <c r="G28" s="3469"/>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2589</v>
      </c>
      <c r="B29" s="2696">
        <v>278</v>
      </c>
      <c r="C29" s="2696">
        <v>234</v>
      </c>
      <c r="D29" s="2696">
        <f t="shared" si="55"/>
        <v>234</v>
      </c>
      <c r="E29" s="2696">
        <v>379</v>
      </c>
      <c r="F29" s="2697">
        <v>220</v>
      </c>
      <c r="G29" s="3464">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2590</v>
      </c>
      <c r="B30" s="2666">
        <f>B29/(1+N29)</f>
        <v>275.49301357645425</v>
      </c>
      <c r="C30" s="2666">
        <f>C29/(1+O29)</f>
        <v>232.41954707985698</v>
      </c>
      <c r="D30" s="2666">
        <f t="shared" si="55"/>
        <v>232.41954707985698</v>
      </c>
      <c r="E30" s="2666">
        <f t="shared" ref="E30:F32" si="66">E29/(1+P29)</f>
        <v>375.32184591008121</v>
      </c>
      <c r="F30" s="2666">
        <f t="shared" si="66"/>
        <v>218.03766105054513</v>
      </c>
      <c r="G30" s="3465"/>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2591</v>
      </c>
      <c r="B31" s="2666">
        <f>B30/(1+N30)</f>
        <v>275.24529281292263</v>
      </c>
      <c r="C31" s="2666">
        <f>C30/(1+O30)</f>
        <v>231.74747938962707</v>
      </c>
      <c r="D31" s="2666">
        <f t="shared" si="55"/>
        <v>231.74747938962707</v>
      </c>
      <c r="E31" s="2666">
        <f t="shared" si="66"/>
        <v>375.35938184826603</v>
      </c>
      <c r="F31" s="2666">
        <f t="shared" si="66"/>
        <v>216.78033510692495</v>
      </c>
      <c r="G31" s="3465"/>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2592</v>
      </c>
      <c r="B32" s="2666">
        <f>B31/(1+N31)</f>
        <v>275.19025476197027</v>
      </c>
      <c r="C32" s="2698">
        <v>232</v>
      </c>
      <c r="D32" s="2698">
        <f t="shared" si="55"/>
        <v>232</v>
      </c>
      <c r="E32" s="2666">
        <f t="shared" si="66"/>
        <v>375.65990977608692</v>
      </c>
      <c r="F32" s="2666">
        <f t="shared" si="66"/>
        <v>214.12518283971252</v>
      </c>
      <c r="G32" s="3466"/>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2593</v>
      </c>
      <c r="B33" s="2658">
        <v>275</v>
      </c>
      <c r="C33" s="2658">
        <v>232</v>
      </c>
      <c r="D33" s="2658">
        <f t="shared" si="55"/>
        <v>232</v>
      </c>
      <c r="E33" s="2658">
        <v>376</v>
      </c>
      <c r="F33" s="2659">
        <v>213</v>
      </c>
      <c r="G33" s="3464">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2594</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65">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2595</v>
      </c>
      <c r="B35" s="2666">
        <f t="shared" si="67"/>
        <v>275.19335084830601</v>
      </c>
      <c r="C35" s="2666">
        <f t="shared" si="67"/>
        <v>230.18088050139744</v>
      </c>
      <c r="D35" s="2666">
        <f t="shared" si="55"/>
        <v>230.18088050139744</v>
      </c>
      <c r="E35" s="2666">
        <f t="shared" si="68"/>
        <v>377.58482925212331</v>
      </c>
      <c r="F35" s="2666">
        <f t="shared" si="68"/>
        <v>210.90687997847917</v>
      </c>
      <c r="G35" s="3465">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2596</v>
      </c>
      <c r="B36" s="2666">
        <f t="shared" si="67"/>
        <v>276.29854502841971</v>
      </c>
      <c r="C36" s="2666">
        <f t="shared" si="67"/>
        <v>229.79023709833027</v>
      </c>
      <c r="D36" s="2666">
        <f t="shared" si="55"/>
        <v>229.79023709833027</v>
      </c>
      <c r="E36" s="2666">
        <f t="shared" si="68"/>
        <v>379.78759731655936</v>
      </c>
      <c r="F36" s="2666">
        <f t="shared" si="68"/>
        <v>211.32953905659235</v>
      </c>
      <c r="G36" s="3466">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2597</v>
      </c>
      <c r="B37" s="2658">
        <v>269</v>
      </c>
      <c r="C37" s="2658">
        <v>221</v>
      </c>
      <c r="D37" s="2658">
        <f t="shared" si="55"/>
        <v>221</v>
      </c>
      <c r="E37" s="2658">
        <v>373</v>
      </c>
      <c r="F37" s="2659">
        <v>196</v>
      </c>
      <c r="G37" s="3464">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2598</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65">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2599</v>
      </c>
      <c r="B39" s="2666">
        <f t="shared" si="69"/>
        <v>242.95398227588385</v>
      </c>
      <c r="C39" s="2666">
        <f t="shared" si="69"/>
        <v>199.59137053614126</v>
      </c>
      <c r="D39" s="2666">
        <f t="shared" si="55"/>
        <v>199.59137053614126</v>
      </c>
      <c r="E39" s="2666">
        <f t="shared" si="70"/>
        <v>335.92189522342125</v>
      </c>
      <c r="F39" s="2666">
        <f t="shared" si="70"/>
        <v>183.10139991109489</v>
      </c>
      <c r="G39" s="3465">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2600</v>
      </c>
      <c r="B40" s="2666">
        <f t="shared" si="69"/>
        <v>232.06990378821649</v>
      </c>
      <c r="C40" s="2666">
        <f t="shared" si="69"/>
        <v>192.74878854286936</v>
      </c>
      <c r="D40" s="2666">
        <f t="shared" si="55"/>
        <v>192.74878854286936</v>
      </c>
      <c r="E40" s="2666">
        <f t="shared" si="70"/>
        <v>319.71247284992984</v>
      </c>
      <c r="F40" s="2666">
        <f t="shared" si="70"/>
        <v>175.67053622862409</v>
      </c>
      <c r="G40" s="3466">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2601</v>
      </c>
      <c r="B41" s="2658">
        <v>220</v>
      </c>
      <c r="C41" s="2658">
        <v>187</v>
      </c>
      <c r="D41" s="2658">
        <f t="shared" si="55"/>
        <v>187</v>
      </c>
      <c r="E41" s="2658">
        <v>301</v>
      </c>
      <c r="F41" s="2659">
        <v>168</v>
      </c>
      <c r="G41" s="3464">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2602</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65">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2603</v>
      </c>
      <c r="B43" s="2666">
        <f t="shared" si="71"/>
        <v>210.630522469011</v>
      </c>
      <c r="C43" s="2666">
        <f t="shared" si="71"/>
        <v>181.69567812247232</v>
      </c>
      <c r="D43" s="2666">
        <f t="shared" si="55"/>
        <v>181.69567812247232</v>
      </c>
      <c r="E43" s="2666">
        <f t="shared" si="72"/>
        <v>286.13517466736738</v>
      </c>
      <c r="F43" s="2666">
        <f t="shared" si="72"/>
        <v>165.47535084591149</v>
      </c>
      <c r="G43" s="3465">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2604</v>
      </c>
      <c r="B44" s="2666">
        <f t="shared" si="71"/>
        <v>208.83454537875372</v>
      </c>
      <c r="C44" s="2666">
        <f t="shared" si="71"/>
        <v>183.77230517090351</v>
      </c>
      <c r="D44" s="2666">
        <f t="shared" si="55"/>
        <v>183.77230517090351</v>
      </c>
      <c r="E44" s="2666">
        <f t="shared" si="72"/>
        <v>281.10342338870947</v>
      </c>
      <c r="F44" s="2666">
        <f t="shared" si="72"/>
        <v>168.97309388942256</v>
      </c>
      <c r="G44" s="3466">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2605</v>
      </c>
      <c r="B45" s="2696">
        <v>214</v>
      </c>
      <c r="C45" s="2696">
        <v>188</v>
      </c>
      <c r="D45" s="2696">
        <f t="shared" si="55"/>
        <v>188</v>
      </c>
      <c r="E45" s="2696">
        <v>289</v>
      </c>
      <c r="F45" s="2697">
        <v>166</v>
      </c>
      <c r="G45" s="3464">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2606</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65">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2607</v>
      </c>
      <c r="B47" s="2666">
        <f t="shared" si="73"/>
        <v>206.31694671589116</v>
      </c>
      <c r="C47" s="2666">
        <f t="shared" si="73"/>
        <v>183.61041121036101</v>
      </c>
      <c r="D47" s="2666">
        <f t="shared" si="55"/>
        <v>183.61041121036101</v>
      </c>
      <c r="E47" s="2666">
        <f t="shared" si="74"/>
        <v>276.66850301795557</v>
      </c>
      <c r="F47" s="2666">
        <f t="shared" si="74"/>
        <v>165.1360938278614</v>
      </c>
      <c r="G47" s="3465">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2608</v>
      </c>
      <c r="B48" s="2699">
        <f t="shared" si="73"/>
        <v>196.62341248059772</v>
      </c>
      <c r="C48" s="2699">
        <f t="shared" si="73"/>
        <v>170.99125648199012</v>
      </c>
      <c r="D48" s="2699">
        <f t="shared" si="55"/>
        <v>170.99125648199012</v>
      </c>
      <c r="E48" s="2699">
        <f t="shared" si="74"/>
        <v>266.07857570490052</v>
      </c>
      <c r="F48" s="2699">
        <f t="shared" si="74"/>
        <v>154.53499328828505</v>
      </c>
      <c r="G48" s="3466">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2609</v>
      </c>
      <c r="B49" s="2658">
        <v>188</v>
      </c>
      <c r="C49" s="2658">
        <v>165</v>
      </c>
      <c r="D49" s="2658">
        <f t="shared" si="55"/>
        <v>165</v>
      </c>
      <c r="E49" s="2658">
        <v>254</v>
      </c>
      <c r="F49" s="2659">
        <v>148</v>
      </c>
      <c r="G49" s="3464">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2610</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65">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2611</v>
      </c>
      <c r="B51" s="2666">
        <f t="shared" si="77"/>
        <v>168.82017748715555</v>
      </c>
      <c r="C51" s="2666">
        <f t="shared" si="77"/>
        <v>148.06267029972753</v>
      </c>
      <c r="D51" s="2666">
        <f t="shared" si="55"/>
        <v>148.06267029972753</v>
      </c>
      <c r="E51" s="2666">
        <f t="shared" si="78"/>
        <v>216.46288379323747</v>
      </c>
      <c r="F51" s="2666">
        <f t="shared" si="78"/>
        <v>134.23529411764704</v>
      </c>
      <c r="G51" s="3465">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2612</v>
      </c>
      <c r="B52" s="2666">
        <f t="shared" si="77"/>
        <v>163.84913591779542</v>
      </c>
      <c r="C52" s="2666">
        <f t="shared" si="77"/>
        <v>145.0283378746594</v>
      </c>
      <c r="D52" s="2666">
        <f t="shared" si="55"/>
        <v>145.0283378746594</v>
      </c>
      <c r="E52" s="2666">
        <f t="shared" si="78"/>
        <v>204.95180722891567</v>
      </c>
      <c r="F52" s="2666">
        <f t="shared" si="78"/>
        <v>125.95920303605313</v>
      </c>
      <c r="G52" s="3466">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2613</v>
      </c>
      <c r="B53" s="2680">
        <v>159</v>
      </c>
      <c r="C53" s="2680">
        <v>141</v>
      </c>
      <c r="D53" s="2680">
        <f t="shared" si="55"/>
        <v>141</v>
      </c>
      <c r="E53" s="2680">
        <v>195</v>
      </c>
      <c r="F53" s="2681">
        <v>122</v>
      </c>
      <c r="G53" s="3464">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2614</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65">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2615</v>
      </c>
      <c r="B55" s="2666">
        <f t="shared" si="81"/>
        <v>146.57412060301507</v>
      </c>
      <c r="C55" s="2666">
        <f t="shared" si="81"/>
        <v>136.46831955922866</v>
      </c>
      <c r="D55" s="2666">
        <f t="shared" si="55"/>
        <v>136.46831955922866</v>
      </c>
      <c r="E55" s="2666">
        <f t="shared" si="82"/>
        <v>166.73864894795128</v>
      </c>
      <c r="F55" s="2666">
        <f t="shared" si="82"/>
        <v>115.05882352941177</v>
      </c>
      <c r="G55" s="3465">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2616</v>
      </c>
      <c r="B56" s="2666">
        <f t="shared" si="81"/>
        <v>144.04145728643215</v>
      </c>
      <c r="C56" s="2666">
        <f t="shared" si="81"/>
        <v>136.12396694214877</v>
      </c>
      <c r="D56" s="2666">
        <f t="shared" si="55"/>
        <v>136.12396694214877</v>
      </c>
      <c r="E56" s="2666">
        <f t="shared" si="82"/>
        <v>158.32225913621264</v>
      </c>
      <c r="F56" s="2666">
        <f t="shared" si="82"/>
        <v>114.04278074866311</v>
      </c>
      <c r="G56" s="3466">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2617</v>
      </c>
      <c r="B57" s="2680">
        <v>138</v>
      </c>
      <c r="C57" s="2680">
        <v>131</v>
      </c>
      <c r="D57" s="2680">
        <f t="shared" si="55"/>
        <v>131</v>
      </c>
      <c r="E57" s="2680">
        <v>155</v>
      </c>
      <c r="F57" s="2681">
        <v>114</v>
      </c>
      <c r="G57" s="3464">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2618</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65">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2619</v>
      </c>
      <c r="B59" s="2666">
        <f t="shared" si="85"/>
        <v>124.29032258064517</v>
      </c>
      <c r="C59" s="2666">
        <f t="shared" si="85"/>
        <v>123.8968609865471</v>
      </c>
      <c r="D59" s="2666">
        <f t="shared" si="55"/>
        <v>123.8968609865471</v>
      </c>
      <c r="E59" s="2666">
        <f t="shared" si="86"/>
        <v>138.00507614213197</v>
      </c>
      <c r="F59" s="2666">
        <f t="shared" si="86"/>
        <v>107.96106557377048</v>
      </c>
      <c r="G59" s="3465">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2620</v>
      </c>
      <c r="B60" s="2666">
        <f t="shared" si="85"/>
        <v>122.57204301075269</v>
      </c>
      <c r="C60" s="2666">
        <f t="shared" si="85"/>
        <v>123.4932735426009</v>
      </c>
      <c r="D60" s="2666">
        <f t="shared" si="55"/>
        <v>123.4932735426009</v>
      </c>
      <c r="E60" s="2666">
        <f t="shared" si="86"/>
        <v>129.82233502538071</v>
      </c>
      <c r="F60" s="2666">
        <f t="shared" si="86"/>
        <v>107.39446721311475</v>
      </c>
      <c r="G60" s="3466">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2621</v>
      </c>
      <c r="B61" s="2696">
        <v>121</v>
      </c>
      <c r="C61" s="2696">
        <v>122</v>
      </c>
      <c r="D61" s="2696">
        <f t="shared" si="55"/>
        <v>122</v>
      </c>
      <c r="E61" s="2696">
        <v>124</v>
      </c>
      <c r="F61" s="2697">
        <v>107</v>
      </c>
      <c r="G61" s="3464">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2622</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65">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2623</v>
      </c>
      <c r="B63" s="2666">
        <f t="shared" si="89"/>
        <v>116.99099099099099</v>
      </c>
      <c r="C63" s="2666">
        <f t="shared" si="89"/>
        <v>118.84848484848486</v>
      </c>
      <c r="D63" s="2666">
        <f t="shared" si="55"/>
        <v>118.84848484848486</v>
      </c>
      <c r="E63" s="2666">
        <f t="shared" si="90"/>
        <v>117.60960960960961</v>
      </c>
      <c r="F63" s="2666">
        <f t="shared" si="90"/>
        <v>104</v>
      </c>
      <c r="G63" s="3465">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2624</v>
      </c>
      <c r="B64" s="2699">
        <f t="shared" si="89"/>
        <v>112.48648648648648</v>
      </c>
      <c r="C64" s="2699">
        <f t="shared" si="89"/>
        <v>115.21212121212122</v>
      </c>
      <c r="D64" s="2699">
        <f t="shared" si="55"/>
        <v>115.21212121212122</v>
      </c>
      <c r="E64" s="2699">
        <f t="shared" si="90"/>
        <v>110.4024024024024</v>
      </c>
      <c r="F64" s="2699">
        <f t="shared" si="90"/>
        <v>104</v>
      </c>
      <c r="G64" s="3466">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2625</v>
      </c>
      <c r="B65" s="2717">
        <v>111</v>
      </c>
      <c r="C65" s="2717">
        <v>114</v>
      </c>
      <c r="D65" s="2717">
        <f t="shared" si="55"/>
        <v>114</v>
      </c>
      <c r="E65" s="2717">
        <v>108</v>
      </c>
      <c r="F65" s="2718">
        <v>104</v>
      </c>
      <c r="G65" s="3464">
        <v>2003</v>
      </c>
      <c r="H65" s="2707">
        <v>4</v>
      </c>
      <c r="I65" s="2719"/>
      <c r="J65" s="2719"/>
      <c r="K65" s="2719"/>
      <c r="L65" s="2719"/>
      <c r="N65" s="2720"/>
      <c r="O65" s="2719"/>
      <c r="P65" s="2719"/>
      <c r="Q65" s="2719"/>
      <c r="S65" s="2720"/>
      <c r="T65" s="2719"/>
      <c r="U65" s="2719"/>
      <c r="V65" s="2719"/>
      <c r="X65" s="2711"/>
      <c r="Y65" s="2711"/>
      <c r="Z65" s="2711"/>
    </row>
    <row r="66" spans="1:26">
      <c r="A66" s="2652" t="s">
        <v>2626</v>
      </c>
      <c r="B66" s="2721">
        <f t="shared" ref="B66:C68" si="91">B67+(B$65-B$69)/4</f>
        <v>109.75</v>
      </c>
      <c r="C66" s="2721">
        <f t="shared" si="91"/>
        <v>112.25</v>
      </c>
      <c r="D66" s="2721">
        <f t="shared" si="55"/>
        <v>112.25</v>
      </c>
      <c r="E66" s="2721">
        <f t="shared" ref="E66:F68" si="92">E67+(E$65-E$69)/4</f>
        <v>107.25</v>
      </c>
      <c r="F66" s="2721">
        <f t="shared" si="92"/>
        <v>103.5</v>
      </c>
      <c r="G66" s="3465">
        <v>2003</v>
      </c>
      <c r="H66" s="2677">
        <v>3</v>
      </c>
      <c r="I66" s="2719"/>
      <c r="J66" s="2719"/>
      <c r="K66" s="2719"/>
      <c r="L66" s="2719"/>
      <c r="X66" s="2711"/>
      <c r="Y66" s="2711"/>
      <c r="Z66" s="2711"/>
    </row>
    <row r="67" spans="1:26">
      <c r="A67" s="2652" t="s">
        <v>2627</v>
      </c>
      <c r="B67" s="2721">
        <f t="shared" si="91"/>
        <v>108.5</v>
      </c>
      <c r="C67" s="2721">
        <f t="shared" si="91"/>
        <v>110.5</v>
      </c>
      <c r="D67" s="2721">
        <f t="shared" si="55"/>
        <v>110.5</v>
      </c>
      <c r="E67" s="2721">
        <f t="shared" si="92"/>
        <v>106.5</v>
      </c>
      <c r="F67" s="2721">
        <f t="shared" si="92"/>
        <v>103</v>
      </c>
      <c r="G67" s="3465">
        <v>2003</v>
      </c>
      <c r="H67" s="2657">
        <v>2</v>
      </c>
      <c r="I67" s="2719"/>
      <c r="J67" s="2719"/>
      <c r="K67" s="2719"/>
      <c r="L67" s="2719"/>
      <c r="X67" s="2711"/>
      <c r="Y67" s="2711"/>
      <c r="Z67" s="2711"/>
    </row>
    <row r="68" spans="1:26" ht="13.5" thickBot="1">
      <c r="A68" s="2652" t="s">
        <v>2628</v>
      </c>
      <c r="B68" s="2721">
        <f t="shared" si="91"/>
        <v>107.25</v>
      </c>
      <c r="C68" s="2721">
        <f t="shared" si="91"/>
        <v>108.75</v>
      </c>
      <c r="D68" s="2721">
        <f t="shared" si="55"/>
        <v>108.75</v>
      </c>
      <c r="E68" s="2721">
        <f t="shared" si="92"/>
        <v>105.75</v>
      </c>
      <c r="F68" s="2721">
        <f t="shared" si="92"/>
        <v>102.5</v>
      </c>
      <c r="G68" s="3466">
        <v>2003</v>
      </c>
      <c r="H68" s="2722">
        <v>1</v>
      </c>
      <c r="I68" s="2719"/>
      <c r="J68" s="2719"/>
      <c r="K68" s="2719"/>
      <c r="L68" s="2719"/>
      <c r="S68" s="2661"/>
      <c r="T68" s="2662"/>
      <c r="U68" s="2662"/>
      <c r="X68" s="2711"/>
      <c r="Y68" s="2711"/>
      <c r="Z68" s="2711"/>
    </row>
    <row r="69" spans="1:26" ht="13.5" thickBot="1">
      <c r="A69" s="2652" t="s">
        <v>2629</v>
      </c>
      <c r="B69" s="2723">
        <v>106</v>
      </c>
      <c r="C69" s="2723">
        <v>107</v>
      </c>
      <c r="D69" s="2723">
        <f t="shared" si="55"/>
        <v>107</v>
      </c>
      <c r="E69" s="2723">
        <v>105</v>
      </c>
      <c r="F69" s="2724">
        <v>102</v>
      </c>
      <c r="G69" s="3464">
        <v>2002</v>
      </c>
      <c r="H69" s="2672">
        <v>4</v>
      </c>
      <c r="I69" s="2719"/>
      <c r="J69" s="2719"/>
      <c r="K69" s="2719"/>
      <c r="L69" s="2719"/>
      <c r="N69" s="2720"/>
      <c r="O69" s="2719"/>
      <c r="P69" s="2719"/>
      <c r="Q69" s="2719"/>
      <c r="S69" s="2720"/>
      <c r="T69" s="2719"/>
      <c r="U69" s="2719"/>
      <c r="V69" s="2719"/>
      <c r="X69" s="2711"/>
      <c r="Y69" s="2711"/>
      <c r="Z69" s="2711"/>
    </row>
    <row r="70" spans="1:26">
      <c r="A70" s="2652" t="s">
        <v>2630</v>
      </c>
      <c r="B70" s="2721">
        <f t="shared" ref="B70:C72" si="93">B71+(B$69-B$73)/4</f>
        <v>105</v>
      </c>
      <c r="C70" s="2721">
        <f t="shared" si="93"/>
        <v>106</v>
      </c>
      <c r="D70" s="2721">
        <f t="shared" si="55"/>
        <v>106</v>
      </c>
      <c r="E70" s="2721">
        <f t="shared" ref="E70:F72" si="94">E71+(E$69-E$73)/4</f>
        <v>104.5</v>
      </c>
      <c r="F70" s="2721">
        <f t="shared" si="94"/>
        <v>101.5</v>
      </c>
      <c r="G70" s="3465">
        <v>2002</v>
      </c>
      <c r="H70" s="2677">
        <v>3</v>
      </c>
      <c r="I70" s="2719"/>
      <c r="J70" s="2719"/>
      <c r="K70" s="2719"/>
      <c r="L70" s="2719"/>
      <c r="X70" s="2711"/>
      <c r="Y70" s="2711"/>
      <c r="Z70" s="2711"/>
    </row>
    <row r="71" spans="1:26">
      <c r="A71" s="2652" t="s">
        <v>2631</v>
      </c>
      <c r="B71" s="2721">
        <f t="shared" si="93"/>
        <v>104</v>
      </c>
      <c r="C71" s="2721">
        <f t="shared" si="93"/>
        <v>105</v>
      </c>
      <c r="D71" s="2721">
        <f t="shared" si="55"/>
        <v>105</v>
      </c>
      <c r="E71" s="2721">
        <f t="shared" si="94"/>
        <v>104</v>
      </c>
      <c r="F71" s="2721">
        <f t="shared" si="94"/>
        <v>101</v>
      </c>
      <c r="G71" s="3465">
        <v>2002</v>
      </c>
      <c r="H71" s="2657">
        <v>2</v>
      </c>
      <c r="I71" s="2719"/>
      <c r="J71" s="2719"/>
      <c r="K71" s="2719"/>
      <c r="L71" s="2719"/>
      <c r="X71" s="2711"/>
      <c r="Y71" s="2711"/>
      <c r="Z71" s="2711"/>
    </row>
    <row r="72" spans="1:26" s="2688" customFormat="1" ht="13.5" thickBot="1">
      <c r="A72" s="2684" t="s">
        <v>2632</v>
      </c>
      <c r="B72" s="2725">
        <f t="shared" si="93"/>
        <v>103</v>
      </c>
      <c r="C72" s="2725">
        <f t="shared" si="93"/>
        <v>104</v>
      </c>
      <c r="D72" s="2725">
        <f t="shared" si="55"/>
        <v>104</v>
      </c>
      <c r="E72" s="2725">
        <f t="shared" si="94"/>
        <v>103.5</v>
      </c>
      <c r="F72" s="2725">
        <f t="shared" si="94"/>
        <v>100.5</v>
      </c>
      <c r="G72" s="3466">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2633</v>
      </c>
      <c r="G75" s="2735"/>
      <c r="N75" s="2735"/>
      <c r="S75" s="2735"/>
    </row>
    <row r="76" spans="1:26" s="2734" customFormat="1">
      <c r="A76" s="2734" t="s">
        <v>2634</v>
      </c>
      <c r="G76" s="2735"/>
      <c r="N76" s="2735"/>
      <c r="S76" s="2735"/>
    </row>
    <row r="77" spans="1:26" s="2734" customFormat="1">
      <c r="A77" s="2734" t="s">
        <v>2635</v>
      </c>
      <c r="G77" s="2735"/>
      <c r="I77" s="2736"/>
      <c r="J77" s="2736"/>
      <c r="K77" s="2736"/>
      <c r="L77" s="2736"/>
      <c r="N77" s="2737"/>
      <c r="O77" s="2736"/>
      <c r="P77" s="2736"/>
      <c r="Q77" s="2736"/>
      <c r="S77" s="2737"/>
      <c r="T77" s="2736"/>
      <c r="U77" s="2736"/>
      <c r="V77" s="2736"/>
    </row>
    <row r="78" spans="1:26" s="2734" customFormat="1">
      <c r="A78" s="2734" t="s">
        <v>2636</v>
      </c>
      <c r="G78" s="2735"/>
      <c r="N78" s="2735"/>
      <c r="S78" s="2735"/>
    </row>
    <row r="85" spans="7:22" ht="13.5" thickBot="1"/>
    <row r="86" spans="7:22">
      <c r="G86" s="2660"/>
      <c r="S86" s="2738" t="s">
        <v>2637</v>
      </c>
      <c r="T86" s="2739" t="s">
        <v>2638</v>
      </c>
      <c r="U86" s="2739" t="s">
        <v>2639</v>
      </c>
      <c r="V86" s="2739" t="s">
        <v>2640</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3192</v>
      </c>
      <c r="D1" s="3118" t="s">
        <v>3269</v>
      </c>
      <c r="E1" s="2384" t="s">
        <v>2376</v>
      </c>
      <c r="F1" s="2385">
        <f ca="1">J53</f>
        <v>47.74</v>
      </c>
      <c r="G1" s="771">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-8846</v>
      </c>
      <c r="C2" s="2054"/>
      <c r="D2" s="2052"/>
      <c r="E2" s="2053"/>
      <c r="F2" s="2053"/>
      <c r="G2" s="1586"/>
      <c r="H2" s="2054"/>
      <c r="I2" s="2054"/>
      <c r="J2" s="2054"/>
      <c r="K2" s="2055"/>
      <c r="L2" s="2054"/>
      <c r="M2" s="2054"/>
    </row>
    <row r="3" spans="1:33" ht="18" customHeight="1" thickBot="1">
      <c r="A3" s="830" t="s">
        <v>1727</v>
      </c>
      <c r="B3" s="831">
        <f ca="1">IF(ISERROR(B2*10000/F43),0,ROUND(B2*10000/F43,0))</f>
        <v>-1108</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0</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0</v>
      </c>
      <c r="D6" s="2494" t="s">
        <v>2464</v>
      </c>
      <c r="E6" s="781" t="s">
        <v>636</v>
      </c>
      <c r="F6" s="782">
        <f ca="1">INDIRECT("'数据-取费表'!u"&amp;$G$1)</f>
        <v>0</v>
      </c>
      <c r="G6" s="1588"/>
      <c r="H6" s="2501" t="s">
        <v>1830</v>
      </c>
      <c r="I6" s="3455" t="s">
        <v>2465</v>
      </c>
      <c r="J6" s="780">
        <f ca="1">ROUND(M6*M8*M7*(1-M9)/10000,0)</f>
        <v>0</v>
      </c>
      <c r="K6" s="338" t="s">
        <v>1737</v>
      </c>
      <c r="L6" s="781" t="s">
        <v>636</v>
      </c>
      <c r="M6" s="782">
        <f ca="1">INDIRECT("'数据-取费表'!z"&amp;$G$1)</f>
        <v>0</v>
      </c>
    </row>
    <row r="7" spans="1:33" ht="18" customHeight="1">
      <c r="A7" s="2497"/>
      <c r="B7" s="3456"/>
      <c r="C7" s="785"/>
      <c r="D7" s="786"/>
      <c r="E7" s="781" t="s">
        <v>1739</v>
      </c>
      <c r="F7" s="782">
        <f ca="1">IF(INDIRECT("'数据-取费表'!ah"&amp;$G$1)="",INDIRECT("'数据-取费表'!k"&amp;$G$1),INDIRECT("'数据-取费表'!ah"&amp;$G$1))</f>
        <v>79869.01999999996</v>
      </c>
      <c r="G7" s="1588"/>
      <c r="H7" s="2486"/>
      <c r="I7" s="3456"/>
      <c r="J7" s="785"/>
      <c r="K7" s="786"/>
      <c r="L7" s="781" t="s">
        <v>1739</v>
      </c>
      <c r="M7" s="782">
        <f ca="1">F7</f>
        <v>79869.01999999996</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v>
      </c>
      <c r="G9" s="1588"/>
      <c r="H9" s="2502"/>
      <c r="I9" s="3457"/>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2974</v>
      </c>
      <c r="E10" s="2495" t="s">
        <v>2466</v>
      </c>
      <c r="F10" s="2618" t="s">
        <v>3268</v>
      </c>
      <c r="G10" s="1588"/>
      <c r="H10" s="2558" t="s">
        <v>1825</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29349</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21554</v>
      </c>
      <c r="D14" s="3177" t="s">
        <v>1745</v>
      </c>
      <c r="E14" s="3178"/>
      <c r="F14" s="802"/>
      <c r="G14" s="1588"/>
      <c r="H14" s="1645" t="s">
        <v>1830</v>
      </c>
      <c r="I14" s="2228" t="s">
        <v>2826</v>
      </c>
      <c r="J14" s="53">
        <f ca="1">C29</f>
        <v>29349</v>
      </c>
      <c r="K14" s="26"/>
      <c r="L14" s="798"/>
      <c r="M14" s="799"/>
    </row>
    <row r="15" spans="1:33" s="2061" customFormat="1" ht="18" customHeight="1" thickBot="1">
      <c r="A15" s="1644" t="s">
        <v>1885</v>
      </c>
      <c r="B15" s="781" t="s">
        <v>646</v>
      </c>
      <c r="C15" s="53">
        <f ca="1">ROUND(C14*F15,0)</f>
        <v>647</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2911</v>
      </c>
      <c r="K16" s="1818" t="s">
        <v>651</v>
      </c>
      <c r="L16" s="3179"/>
      <c r="M16" s="2488"/>
    </row>
    <row r="17" spans="1:33" s="2061" customFormat="1" ht="18" customHeight="1">
      <c r="A17" s="1644" t="s">
        <v>1887</v>
      </c>
      <c r="B17" s="781" t="s">
        <v>652</v>
      </c>
      <c r="C17" s="53">
        <f ca="1">ROUND(F17*(F43+INDIRECT("'数据-取费表'!S"&amp;$G$1))/10000,0)</f>
        <v>1742</v>
      </c>
      <c r="D17" s="781" t="s">
        <v>1751</v>
      </c>
      <c r="E17" s="781" t="s">
        <v>654</v>
      </c>
      <c r="F17" s="56">
        <f>'数据-取费表'!B35</f>
        <v>200</v>
      </c>
      <c r="G17" s="1589"/>
      <c r="H17" s="1645" t="s">
        <v>1830</v>
      </c>
      <c r="I17" s="781" t="s">
        <v>655</v>
      </c>
      <c r="J17" s="53">
        <f ca="1">ROUND(IF(项目基本情况!B11="自然人",J5*M17,J18+J19+J20),0)</f>
        <v>2471</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323</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24266</v>
      </c>
      <c r="D19" s="258" t="s">
        <v>662</v>
      </c>
      <c r="E19" s="3181"/>
      <c r="F19" s="56"/>
      <c r="G19" s="1588"/>
      <c r="H19" s="1644" t="s">
        <v>1885</v>
      </c>
      <c r="I19" s="781" t="s">
        <v>663</v>
      </c>
      <c r="J19" s="53">
        <f ca="1">IF(K19="按租金收入计税",ROUND(J5*M19,1),ROUND(C29*F33*0.7,1))</f>
        <v>2465.3000000000002</v>
      </c>
      <c r="K19" s="808" t="s">
        <v>664</v>
      </c>
      <c r="L19" s="781" t="s">
        <v>648</v>
      </c>
      <c r="M19" s="806">
        <f>IF(K19="按租金收入计税",'数据-取费表'!B51,'数据-取费表'!B50)</f>
        <v>1.2E-2</v>
      </c>
    </row>
    <row r="20" spans="1:33" s="2061" customFormat="1" ht="18" customHeight="1">
      <c r="A20" s="1645" t="s">
        <v>1889</v>
      </c>
      <c r="B20" s="781" t="s">
        <v>665</v>
      </c>
      <c r="C20" s="53">
        <f ca="1">ROUND(C19*F20,0)</f>
        <v>485</v>
      </c>
      <c r="D20" s="809" t="s">
        <v>1759</v>
      </c>
      <c r="E20" s="781" t="s">
        <v>648</v>
      </c>
      <c r="F20" s="806">
        <f>'数据-取费表'!B37</f>
        <v>0.02</v>
      </c>
      <c r="G20" s="1589"/>
      <c r="H20" s="1647" t="s">
        <v>1833</v>
      </c>
      <c r="I20" s="338" t="s">
        <v>667</v>
      </c>
      <c r="J20" s="54">
        <f ca="1">ROUND(M20*M21/10000,0)</f>
        <v>6</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40520.130000000005</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440</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1176</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2823</v>
      </c>
      <c r="J25" s="789">
        <f ca="1">J5-J16</f>
        <v>-2911</v>
      </c>
      <c r="K25" s="2545" t="s">
        <v>699</v>
      </c>
      <c r="L25" s="2546"/>
      <c r="M25" s="2547"/>
    </row>
    <row r="26" spans="1:33" ht="18" customHeight="1">
      <c r="A26" s="1644" t="s">
        <v>1831</v>
      </c>
      <c r="B26" s="781" t="s">
        <v>2440</v>
      </c>
      <c r="C26" s="53">
        <f ca="1">ROUND((C19+C20)*F26,0)</f>
        <v>1238</v>
      </c>
      <c r="D26" s="809" t="s">
        <v>1778</v>
      </c>
      <c r="E26" s="792" t="s">
        <v>1779</v>
      </c>
      <c r="F26" s="791">
        <f ca="1">INDIRECT("'数据-取费表'!q"&amp;$G$1)</f>
        <v>0.05</v>
      </c>
      <c r="G26" s="1588"/>
      <c r="H26" s="2499" t="s">
        <v>1780</v>
      </c>
      <c r="I26" s="2229" t="s">
        <v>2828</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1E-3</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29349</v>
      </c>
      <c r="D29" s="2542"/>
      <c r="E29" s="2543"/>
      <c r="F29" s="2544"/>
      <c r="G29" s="1589"/>
      <c r="H29" s="820" t="s">
        <v>1787</v>
      </c>
      <c r="I29" s="821" t="s">
        <v>1788</v>
      </c>
      <c r="J29" s="822">
        <f ca="1">ROUND(J26/(1+F40)^F41,0)</f>
        <v>0</v>
      </c>
      <c r="K29" s="823" t="s">
        <v>687</v>
      </c>
      <c r="L29" s="824"/>
      <c r="M29" s="825">
        <f ca="1">INDIRECT("'数据-取费表'!k"&amp;$G$1)</f>
        <v>79869.01999999996</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490</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6.1</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0</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0</v>
      </c>
      <c r="D33" s="808" t="s">
        <v>3267</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6.1</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40520.130000000005</v>
      </c>
      <c r="G35" s="2059"/>
      <c r="H35" s="2062"/>
      <c r="I35" s="834" t="s">
        <v>1814</v>
      </c>
      <c r="J35" s="835">
        <f ca="1">ROUND(C13*J36,0)</f>
        <v>2348</v>
      </c>
      <c r="K35" s="2075"/>
      <c r="L35" s="2074"/>
      <c r="M35" s="2074"/>
    </row>
    <row r="36" spans="1:18" ht="18" customHeight="1">
      <c r="A36" s="1645" t="s">
        <v>1889</v>
      </c>
      <c r="B36" s="781" t="s">
        <v>1802</v>
      </c>
      <c r="C36" s="53">
        <f ca="1">ROUND(C29*F36,1)</f>
        <v>440.2</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44</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0</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-490</v>
      </c>
      <c r="D39" s="2545" t="s">
        <v>1806</v>
      </c>
      <c r="E39" s="2546"/>
      <c r="F39" s="2547"/>
      <c r="G39" s="2059"/>
      <c r="H39" s="2074"/>
      <c r="I39" s="834" t="s">
        <v>1818</v>
      </c>
      <c r="J39" s="842">
        <f ca="1">ROUND(J35/C39,3)</f>
        <v>-4.7919999999999998</v>
      </c>
      <c r="K39" s="2080"/>
      <c r="L39" s="2074"/>
      <c r="M39" s="2074"/>
    </row>
    <row r="40" spans="1:18" ht="18" customHeight="1">
      <c r="A40" s="778" t="s">
        <v>1895</v>
      </c>
      <c r="B40" s="2229" t="s">
        <v>2303</v>
      </c>
      <c r="C40" s="780">
        <f ca="1">ROUND(C39*(1-((1+F42)/(1+F40))^F41)/(F40-F42),0)</f>
        <v>-8846</v>
      </c>
      <c r="D40" s="811" t="s">
        <v>703</v>
      </c>
      <c r="E40" s="781" t="s">
        <v>2421</v>
      </c>
      <c r="F40" s="791">
        <f ca="1">INDIRECT("'数据-取费表'!I"&amp;$G$1)</f>
        <v>0.05</v>
      </c>
      <c r="G40" s="2059"/>
      <c r="H40" s="2059"/>
      <c r="I40" s="834" t="s">
        <v>1819</v>
      </c>
      <c r="J40" s="842">
        <f ca="1">1-J39</f>
        <v>5.7919999999999998</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47.74</v>
      </c>
      <c r="G41" s="2059"/>
      <c r="H41" s="1985"/>
      <c r="I41" s="840" t="s">
        <v>1820</v>
      </c>
      <c r="J41" s="843"/>
      <c r="K41" s="2079"/>
      <c r="L41" s="1985"/>
      <c r="M41" s="1985"/>
    </row>
    <row r="42" spans="1:18" ht="18" customHeight="1">
      <c r="A42" s="787"/>
      <c r="B42" s="788"/>
      <c r="C42" s="789"/>
      <c r="D42" s="813"/>
      <c r="E42" s="781" t="s">
        <v>1809</v>
      </c>
      <c r="F42" s="791">
        <f ca="1">INDIRECT("'数据-取费表'!v"&amp;$G$1)</f>
        <v>0</v>
      </c>
      <c r="G42" s="2059"/>
      <c r="H42" s="1985"/>
      <c r="I42" s="844" t="s">
        <v>1821</v>
      </c>
      <c r="J42" s="842">
        <f ca="1">ROUND(C13/C40,3)</f>
        <v>-3.3180000000000001</v>
      </c>
      <c r="K42" s="2079"/>
      <c r="L42" s="1985"/>
      <c r="M42" s="1985"/>
    </row>
    <row r="43" spans="1:18" ht="18" customHeight="1" thickBot="1">
      <c r="A43" s="820" t="s">
        <v>1787</v>
      </c>
      <c r="B43" s="821" t="s">
        <v>1810</v>
      </c>
      <c r="C43" s="822">
        <f ca="1">ROUND(C40*10000/F43,0)</f>
        <v>-1108</v>
      </c>
      <c r="D43" s="823" t="s">
        <v>1811</v>
      </c>
      <c r="E43" s="824" t="s">
        <v>1812</v>
      </c>
      <c r="F43" s="825">
        <f ca="1">INDIRECT("'数据-取费表'!k"&amp;$G$1)</f>
        <v>79869.01999999996</v>
      </c>
      <c r="G43" s="2059"/>
      <c r="H43" s="1985"/>
      <c r="I43" s="844" t="s">
        <v>1822</v>
      </c>
      <c r="J43" s="845">
        <f ca="1">1-J42</f>
        <v>4.3179999999999996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0</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3266</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49.74</v>
      </c>
      <c r="O48" s="2395" t="s">
        <v>2381</v>
      </c>
      <c r="P48" s="2396" t="s">
        <v>2407</v>
      </c>
      <c r="Q48" s="2397">
        <f ca="1">C40+J29</f>
        <v>-8846</v>
      </c>
      <c r="R48" s="2396" t="s">
        <v>2382</v>
      </c>
    </row>
    <row r="49" spans="1:18" s="2056" customFormat="1" ht="18" customHeight="1" thickBot="1">
      <c r="A49" s="783"/>
      <c r="B49" s="784"/>
      <c r="C49" s="785"/>
      <c r="D49" s="786"/>
      <c r="E49" s="781" t="s">
        <v>1739</v>
      </c>
      <c r="F49" s="782">
        <f ca="1">F7</f>
        <v>79869.01999999996</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29349</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-56003</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47.74</v>
      </c>
      <c r="K53" s="3471" t="s">
        <v>2966</v>
      </c>
      <c r="L53" s="3472"/>
      <c r="O53" s="2398" t="s">
        <v>2390</v>
      </c>
      <c r="P53" s="2396" t="s">
        <v>2391</v>
      </c>
      <c r="Q53" s="2397">
        <f ca="1">J53</f>
        <v>47.74</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-8846</v>
      </c>
      <c r="R54" s="2400" t="s">
        <v>2394</v>
      </c>
    </row>
    <row r="55" spans="1:18" s="2056" customFormat="1" ht="18" customHeight="1" thickTop="1" thickBot="1">
      <c r="A55" s="794">
        <v>2</v>
      </c>
      <c r="B55" s="795" t="s">
        <v>643</v>
      </c>
      <c r="C55" s="796">
        <f ca="1">C13</f>
        <v>29349</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29349</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490</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-8846</v>
      </c>
      <c r="R57" s="2396" t="s">
        <v>2382</v>
      </c>
    </row>
    <row r="58" spans="1:18" s="2056" customFormat="1" ht="28.5" customHeight="1" thickBot="1">
      <c r="A58" s="1645" t="s">
        <v>1824</v>
      </c>
      <c r="B58" s="781" t="s">
        <v>655</v>
      </c>
      <c r="C58" s="53">
        <f ca="1">ROUND(IF(项目基本情况!B11="自然人",C47*F58,C59+C60+C61),1)</f>
        <v>6.1</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6.1</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40520.130000000005</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440.2</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-8846</v>
      </c>
      <c r="R63" s="2400" t="s">
        <v>2394</v>
      </c>
    </row>
    <row r="64" spans="1:18" s="2056" customFormat="1" ht="16.5" thickBot="1">
      <c r="A64" s="1645" t="s">
        <v>1890</v>
      </c>
      <c r="B64" s="781" t="s">
        <v>678</v>
      </c>
      <c r="C64" s="53">
        <f ca="1">ROUND(C55*F64,1)</f>
        <v>44</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-490</v>
      </c>
      <c r="D66" s="3177" t="s">
        <v>699</v>
      </c>
      <c r="E66" s="3180"/>
      <c r="F66" s="817"/>
      <c r="K66" s="2083"/>
      <c r="O66" s="2395" t="s">
        <v>2381</v>
      </c>
      <c r="P66" s="2396" t="s">
        <v>2407</v>
      </c>
      <c r="Q66" s="2397">
        <f ca="1">C40+J29</f>
        <v>-8846</v>
      </c>
      <c r="R66" s="2396" t="s">
        <v>2382</v>
      </c>
    </row>
    <row r="67" spans="1:18" s="2056" customFormat="1" ht="20.25" thickBot="1">
      <c r="A67" s="778" t="s">
        <v>1780</v>
      </c>
      <c r="B67" s="2229" t="s">
        <v>2303</v>
      </c>
      <c r="C67" s="780">
        <f ca="1">ROUND(C66*(1-((1+F69)/(1+F67))^F68)/(F67-F69),0)</f>
        <v>-8846</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47.74</v>
      </c>
      <c r="O68" s="2398" t="s">
        <v>2385</v>
      </c>
      <c r="P68" s="2396" t="s">
        <v>2415</v>
      </c>
      <c r="Q68" s="2402">
        <f ca="1">L51</f>
        <v>-56003</v>
      </c>
      <c r="R68" s="2403" t="s">
        <v>2418</v>
      </c>
    </row>
    <row r="69" spans="1:18" ht="20.25" thickBot="1">
      <c r="A69" s="787"/>
      <c r="B69" s="788"/>
      <c r="C69" s="789"/>
      <c r="D69" s="813"/>
      <c r="E69" s="781" t="s">
        <v>709</v>
      </c>
      <c r="F69" s="2368"/>
      <c r="O69" s="2398" t="s">
        <v>2386</v>
      </c>
      <c r="P69" s="2404" t="s">
        <v>2400</v>
      </c>
      <c r="Q69" s="2397">
        <f ca="1">ROUND(Q70-Q71*Q72,0)</f>
        <v>-2838</v>
      </c>
      <c r="R69" s="2400"/>
    </row>
    <row r="70" spans="1:18" ht="15.75" thickBot="1">
      <c r="A70" s="820" t="s">
        <v>1787</v>
      </c>
      <c r="B70" s="821" t="s">
        <v>1810</v>
      </c>
      <c r="C70" s="822">
        <f ca="1">ROUND(C67*10000/F70,0)</f>
        <v>-1108</v>
      </c>
      <c r="D70" s="823" t="s">
        <v>1811</v>
      </c>
      <c r="E70" s="824" t="s">
        <v>1812</v>
      </c>
      <c r="F70" s="825">
        <f ca="1">F43</f>
        <v>79869.01999999996</v>
      </c>
      <c r="O70" s="2398" t="s">
        <v>2401</v>
      </c>
      <c r="P70" s="2404" t="s">
        <v>2402</v>
      </c>
      <c r="Q70" s="2397">
        <f ca="1">C39</f>
        <v>-490</v>
      </c>
      <c r="R70" s="2396" t="s">
        <v>2382</v>
      </c>
    </row>
    <row r="71" spans="1:18" ht="15.75" thickBot="1">
      <c r="O71" s="2398" t="s">
        <v>2403</v>
      </c>
      <c r="P71" s="2404" t="s">
        <v>2404</v>
      </c>
      <c r="Q71" s="2397">
        <f ca="1">C13</f>
        <v>29349</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-8846</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B2" sqref="B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35</v>
      </c>
      <c r="D1" s="3118" t="s">
        <v>3269</v>
      </c>
      <c r="E1" s="2384" t="s">
        <v>2376</v>
      </c>
      <c r="F1" s="2385">
        <f ca="1">J53</f>
        <v>47.74</v>
      </c>
      <c r="G1" s="771">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25645</v>
      </c>
      <c r="C2" s="2054"/>
      <c r="D2" s="2052"/>
      <c r="E2" s="2053"/>
      <c r="F2" s="2053"/>
      <c r="G2" s="1586"/>
      <c r="H2" s="2054"/>
      <c r="I2" s="2054"/>
      <c r="J2" s="2054"/>
      <c r="K2" s="2055"/>
      <c r="L2" s="2054"/>
      <c r="M2" s="2054"/>
    </row>
    <row r="3" spans="1:33" ht="18" customHeight="1" thickBot="1">
      <c r="A3" s="830" t="s">
        <v>1727</v>
      </c>
      <c r="B3" s="831">
        <f ca="1">IF(ISERROR(B2*10000/F43),0,ROUND(B2*10000/F43,0))</f>
        <v>4394</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1534</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1534</v>
      </c>
      <c r="D6" s="2494" t="s">
        <v>2464</v>
      </c>
      <c r="E6" s="781" t="s">
        <v>636</v>
      </c>
      <c r="F6" s="782">
        <f ca="1">INDIRECT("'数据-取费表'!u"&amp;$G$1)</f>
        <v>0.8</v>
      </c>
      <c r="G6" s="1588"/>
      <c r="H6" s="2501" t="s">
        <v>1830</v>
      </c>
      <c r="I6" s="3455" t="s">
        <v>2465</v>
      </c>
      <c r="J6" s="780">
        <f ca="1">ROUND(M6*M8*M7*(1-M9)/10000,0)</f>
        <v>0</v>
      </c>
      <c r="K6" s="338" t="s">
        <v>1737</v>
      </c>
      <c r="L6" s="781" t="s">
        <v>636</v>
      </c>
      <c r="M6" s="782">
        <f ca="1">INDIRECT("'数据-取费表'!z"&amp;$G$1)</f>
        <v>0</v>
      </c>
    </row>
    <row r="7" spans="1:33" ht="18" customHeight="1">
      <c r="A7" s="2497"/>
      <c r="B7" s="3456"/>
      <c r="C7" s="785"/>
      <c r="D7" s="786"/>
      <c r="E7" s="781" t="s">
        <v>1739</v>
      </c>
      <c r="F7" s="782">
        <f ca="1">IF(INDIRECT("'数据-取费表'!ah"&amp;$G$1)="",INDIRECT("'数据-取费表'!k"&amp;$G$1),INDIRECT("'数据-取费表'!ah"&amp;$G$1))</f>
        <v>58360.560000000005</v>
      </c>
      <c r="G7" s="1588"/>
      <c r="H7" s="2486"/>
      <c r="I7" s="3456"/>
      <c r="J7" s="785"/>
      <c r="K7" s="786"/>
      <c r="L7" s="781" t="s">
        <v>1739</v>
      </c>
      <c r="M7" s="782">
        <f ca="1">F7</f>
        <v>58360.560000000005</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0.1</v>
      </c>
      <c r="G9" s="1588"/>
      <c r="H9" s="2502"/>
      <c r="I9" s="3457"/>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2974</v>
      </c>
      <c r="E10" s="2495" t="s">
        <v>2466</v>
      </c>
      <c r="F10" s="2618" t="s">
        <v>3308</v>
      </c>
      <c r="G10" s="1588"/>
      <c r="H10" s="2558" t="s">
        <v>1825</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18873</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13998</v>
      </c>
      <c r="D14" s="3177" t="s">
        <v>1745</v>
      </c>
      <c r="E14" s="3178"/>
      <c r="F14" s="802"/>
      <c r="G14" s="1588"/>
      <c r="H14" s="1645" t="s">
        <v>1830</v>
      </c>
      <c r="I14" s="2228" t="s">
        <v>2826</v>
      </c>
      <c r="J14" s="53">
        <f ca="1">C29</f>
        <v>18873</v>
      </c>
      <c r="K14" s="26"/>
      <c r="L14" s="798"/>
      <c r="M14" s="799"/>
    </row>
    <row r="15" spans="1:33" s="2061" customFormat="1" ht="18" customHeight="1" thickBot="1">
      <c r="A15" s="1644" t="s">
        <v>1885</v>
      </c>
      <c r="B15" s="781" t="s">
        <v>646</v>
      </c>
      <c r="C15" s="53">
        <f ca="1">ROUND(C14*F15,0)</f>
        <v>420</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1872</v>
      </c>
      <c r="K16" s="1818" t="s">
        <v>651</v>
      </c>
      <c r="L16" s="3179"/>
      <c r="M16" s="2488"/>
    </row>
    <row r="17" spans="1:33" s="2061" customFormat="1" ht="18" customHeight="1">
      <c r="A17" s="1644" t="s">
        <v>1887</v>
      </c>
      <c r="B17" s="781" t="s">
        <v>652</v>
      </c>
      <c r="C17" s="53">
        <f ca="1">ROUND(F17*(F43+INDIRECT("'数据-取费表'!S"&amp;$G$1))/10000,0)</f>
        <v>1273</v>
      </c>
      <c r="D17" s="781" t="s">
        <v>1751</v>
      </c>
      <c r="E17" s="781" t="s">
        <v>654</v>
      </c>
      <c r="F17" s="56">
        <f>'数据-取费表'!B35</f>
        <v>200</v>
      </c>
      <c r="G17" s="1589"/>
      <c r="H17" s="1645" t="s">
        <v>1830</v>
      </c>
      <c r="I17" s="781" t="s">
        <v>655</v>
      </c>
      <c r="J17" s="53">
        <f ca="1">ROUND(IF(项目基本情况!B11="自然人",J5*M17,J18+J19+J20),0)</f>
        <v>1589</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210</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15901</v>
      </c>
      <c r="D19" s="258" t="s">
        <v>662</v>
      </c>
      <c r="E19" s="3181"/>
      <c r="F19" s="56"/>
      <c r="G19" s="1588"/>
      <c r="H19" s="1644" t="s">
        <v>1885</v>
      </c>
      <c r="I19" s="781" t="s">
        <v>663</v>
      </c>
      <c r="J19" s="53">
        <f ca="1">IF(K19="按租金收入计税",ROUND(J5*M19,1),ROUND(C29*F33*0.7,1))</f>
        <v>1585.3</v>
      </c>
      <c r="K19" s="808" t="s">
        <v>664</v>
      </c>
      <c r="L19" s="781" t="s">
        <v>648</v>
      </c>
      <c r="M19" s="806">
        <f>IF(K19="按租金收入计税",'数据-取费表'!B51,'数据-取费表'!B50)</f>
        <v>1.2E-2</v>
      </c>
    </row>
    <row r="20" spans="1:33" s="2061" customFormat="1" ht="18" customHeight="1">
      <c r="A20" s="1645" t="s">
        <v>1889</v>
      </c>
      <c r="B20" s="781" t="s">
        <v>665</v>
      </c>
      <c r="C20" s="53">
        <f ca="1">ROUND(C19*F20,0)</f>
        <v>318</v>
      </c>
      <c r="D20" s="809" t="s">
        <v>1759</v>
      </c>
      <c r="E20" s="781" t="s">
        <v>648</v>
      </c>
      <c r="F20" s="806">
        <f>'数据-取费表'!B37</f>
        <v>0.02</v>
      </c>
      <c r="G20" s="1589"/>
      <c r="H20" s="1647" t="s">
        <v>1833</v>
      </c>
      <c r="I20" s="338" t="s">
        <v>667</v>
      </c>
      <c r="J20" s="54">
        <f ca="1">ROUND(M20*M21/10000,0)</f>
        <v>4</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29608.199999999997</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283</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770</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2823</v>
      </c>
      <c r="J25" s="789">
        <f ca="1">J5-J16</f>
        <v>-1872</v>
      </c>
      <c r="K25" s="2545" t="s">
        <v>699</v>
      </c>
      <c r="L25" s="2546"/>
      <c r="M25" s="2547"/>
    </row>
    <row r="26" spans="1:33" ht="18" customHeight="1">
      <c r="A26" s="1644" t="s">
        <v>1831</v>
      </c>
      <c r="B26" s="781" t="s">
        <v>2440</v>
      </c>
      <c r="C26" s="53">
        <f ca="1">ROUND((C19+C20)*F26,0)</f>
        <v>487</v>
      </c>
      <c r="D26" s="809" t="s">
        <v>1778</v>
      </c>
      <c r="E26" s="792" t="s">
        <v>1779</v>
      </c>
      <c r="F26" s="791">
        <f ca="1">INDIRECT("'数据-取费表'!q"&amp;$G$1)</f>
        <v>0.03</v>
      </c>
      <c r="G26" s="1588"/>
      <c r="H26" s="2499" t="s">
        <v>1780</v>
      </c>
      <c r="I26" s="2229" t="s">
        <v>2828</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5.9999999999999995E-4</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18873</v>
      </c>
      <c r="D29" s="2542"/>
      <c r="E29" s="2543"/>
      <c r="F29" s="2544"/>
      <c r="G29" s="1589"/>
      <c r="H29" s="820" t="s">
        <v>1787</v>
      </c>
      <c r="I29" s="821" t="s">
        <v>1788</v>
      </c>
      <c r="J29" s="822">
        <f ca="1">ROUND(J26/(1+F40)^F41,0)</f>
        <v>0</v>
      </c>
      <c r="K29" s="823" t="s">
        <v>687</v>
      </c>
      <c r="L29" s="824"/>
      <c r="M29" s="825">
        <f ca="1">INDIRECT("'数据-取费表'!k"&amp;$G$1)</f>
        <v>58360.560000000005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596</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268.89999999999998</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80.400000000000006</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184.1</v>
      </c>
      <c r="D33" s="808" t="s">
        <v>3267</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4.4000000000000004</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29608.199999999997</v>
      </c>
      <c r="G35" s="2059"/>
      <c r="H35" s="2062"/>
      <c r="I35" s="834" t="s">
        <v>1814</v>
      </c>
      <c r="J35" s="835">
        <f ca="1">ROUND(C13*J36,0)</f>
        <v>1510</v>
      </c>
      <c r="K35" s="2075"/>
      <c r="L35" s="2074"/>
      <c r="M35" s="2074"/>
    </row>
    <row r="36" spans="1:18" ht="18" customHeight="1">
      <c r="A36" s="1645" t="s">
        <v>1889</v>
      </c>
      <c r="B36" s="781" t="s">
        <v>1802</v>
      </c>
      <c r="C36" s="53">
        <f ca="1">ROUND(C29*F36,1)</f>
        <v>283.10000000000002</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28.3</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15.3</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938</v>
      </c>
      <c r="D39" s="2545" t="s">
        <v>1806</v>
      </c>
      <c r="E39" s="2546"/>
      <c r="F39" s="2547"/>
      <c r="G39" s="2059"/>
      <c r="H39" s="2074"/>
      <c r="I39" s="834" t="s">
        <v>1818</v>
      </c>
      <c r="J39" s="842">
        <f ca="1">ROUND(J35/C39,3)</f>
        <v>1.61</v>
      </c>
      <c r="K39" s="2080"/>
      <c r="L39" s="2074"/>
      <c r="M39" s="2074"/>
    </row>
    <row r="40" spans="1:18" ht="18" customHeight="1">
      <c r="A40" s="778" t="s">
        <v>1895</v>
      </c>
      <c r="B40" s="2229" t="s">
        <v>2303</v>
      </c>
      <c r="C40" s="780">
        <f ca="1">ROUND(C39*(1-((1+F42)/(1+F40))^F41)/(F40-F42),0)</f>
        <v>25645</v>
      </c>
      <c r="D40" s="811" t="s">
        <v>703</v>
      </c>
      <c r="E40" s="781" t="s">
        <v>2421</v>
      </c>
      <c r="F40" s="791">
        <f ca="1">INDIRECT("'数据-取费表'!I"&amp;$G$1)</f>
        <v>0.05</v>
      </c>
      <c r="G40" s="2059"/>
      <c r="H40" s="2059"/>
      <c r="I40" s="834" t="s">
        <v>1819</v>
      </c>
      <c r="J40" s="842">
        <f ca="1">1-J39</f>
        <v>-0.6100000000000001</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47.74</v>
      </c>
      <c r="G41" s="2059"/>
      <c r="H41" s="1985"/>
      <c r="I41" s="840" t="s">
        <v>1820</v>
      </c>
      <c r="J41" s="843"/>
      <c r="K41" s="2079"/>
      <c r="L41" s="1985"/>
      <c r="M41" s="1985"/>
    </row>
    <row r="42" spans="1:18" ht="18" customHeight="1">
      <c r="A42" s="787"/>
      <c r="B42" s="788"/>
      <c r="C42" s="789"/>
      <c r="D42" s="813"/>
      <c r="E42" s="781" t="s">
        <v>1809</v>
      </c>
      <c r="F42" s="791">
        <f ca="1">INDIRECT("'数据-取费表'!v"&amp;$G$1)</f>
        <v>2.5000000000000001E-2</v>
      </c>
      <c r="G42" s="2059"/>
      <c r="H42" s="1985"/>
      <c r="I42" s="844" t="s">
        <v>1821</v>
      </c>
      <c r="J42" s="842">
        <f ca="1">ROUND(C13/C40,3)</f>
        <v>0.73599999999999999</v>
      </c>
      <c r="K42" s="2079"/>
      <c r="L42" s="1985"/>
      <c r="M42" s="1985"/>
    </row>
    <row r="43" spans="1:18" ht="18" customHeight="1" thickBot="1">
      <c r="A43" s="820" t="s">
        <v>1787</v>
      </c>
      <c r="B43" s="821" t="s">
        <v>1810</v>
      </c>
      <c r="C43" s="822">
        <f ca="1">ROUND(C40*10000/F43,0)</f>
        <v>4394</v>
      </c>
      <c r="D43" s="823" t="s">
        <v>1811</v>
      </c>
      <c r="E43" s="824" t="s">
        <v>1812</v>
      </c>
      <c r="F43" s="825">
        <f ca="1">INDIRECT("'数据-取费表'!k"&amp;$G$1)</f>
        <v>58360.560000000005</v>
      </c>
      <c r="G43" s="2059"/>
      <c r="H43" s="1985"/>
      <c r="I43" s="844" t="s">
        <v>1822</v>
      </c>
      <c r="J43" s="845">
        <f ca="1">1-J42</f>
        <v>0.26400000000000001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-31350</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3266</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49.74</v>
      </c>
      <c r="O48" s="2395" t="s">
        <v>2381</v>
      </c>
      <c r="P48" s="2396" t="s">
        <v>2407</v>
      </c>
      <c r="Q48" s="2397">
        <f ca="1">C40+J29</f>
        <v>25645</v>
      </c>
      <c r="R48" s="2396" t="s">
        <v>2382</v>
      </c>
    </row>
    <row r="49" spans="1:18" s="2056" customFormat="1" ht="18" customHeight="1" thickBot="1">
      <c r="A49" s="783"/>
      <c r="B49" s="784"/>
      <c r="C49" s="785"/>
      <c r="D49" s="786"/>
      <c r="E49" s="781" t="s">
        <v>1739</v>
      </c>
      <c r="F49" s="782">
        <f ca="1">F7</f>
        <v>58360.560000000005</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18873</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-11285</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47.74</v>
      </c>
      <c r="K53" s="3471" t="s">
        <v>2966</v>
      </c>
      <c r="L53" s="3472"/>
      <c r="O53" s="2398" t="s">
        <v>2390</v>
      </c>
      <c r="P53" s="2396" t="s">
        <v>2391</v>
      </c>
      <c r="Q53" s="2397">
        <f ca="1">J53</f>
        <v>47.74</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25645</v>
      </c>
      <c r="R54" s="2400" t="s">
        <v>2394</v>
      </c>
    </row>
    <row r="55" spans="1:18" s="2056" customFormat="1" ht="18" customHeight="1" thickTop="1" thickBot="1">
      <c r="A55" s="794">
        <v>2</v>
      </c>
      <c r="B55" s="795" t="s">
        <v>643</v>
      </c>
      <c r="C55" s="796">
        <f ca="1">C13</f>
        <v>18873</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18873</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316</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25645</v>
      </c>
      <c r="R57" s="2396" t="s">
        <v>2382</v>
      </c>
    </row>
    <row r="58" spans="1:18" s="2056" customFormat="1" ht="28.5" customHeight="1" thickBot="1">
      <c r="A58" s="1645" t="s">
        <v>1824</v>
      </c>
      <c r="B58" s="781" t="s">
        <v>655</v>
      </c>
      <c r="C58" s="53">
        <f ca="1">ROUND(IF(项目基本情况!B11="自然人",C47*F58,C59+C60+C61),1)</f>
        <v>4.4000000000000004</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4.4000000000000004</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29608.199999999997</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283.10000000000002</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25645</v>
      </c>
      <c r="R63" s="2400" t="s">
        <v>2394</v>
      </c>
    </row>
    <row r="64" spans="1:18" s="2056" customFormat="1" ht="16.5" thickBot="1">
      <c r="A64" s="1645" t="s">
        <v>1890</v>
      </c>
      <c r="B64" s="781" t="s">
        <v>678</v>
      </c>
      <c r="C64" s="53">
        <f ca="1">ROUND(C55*F64,1)</f>
        <v>28.3</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-316</v>
      </c>
      <c r="D66" s="3177" t="s">
        <v>699</v>
      </c>
      <c r="E66" s="3180"/>
      <c r="F66" s="817"/>
      <c r="K66" s="2083"/>
      <c r="O66" s="2395" t="s">
        <v>2381</v>
      </c>
      <c r="P66" s="2396" t="s">
        <v>2407</v>
      </c>
      <c r="Q66" s="2397">
        <f ca="1">C40+J29</f>
        <v>25645</v>
      </c>
      <c r="R66" s="2396" t="s">
        <v>2382</v>
      </c>
    </row>
    <row r="67" spans="1:18" s="2056" customFormat="1" ht="20.25" thickBot="1">
      <c r="A67" s="778" t="s">
        <v>1780</v>
      </c>
      <c r="B67" s="2229" t="s">
        <v>2303</v>
      </c>
      <c r="C67" s="780">
        <f ca="1">ROUND(C66*(1-((1+F69)/(1+F67))^F68)/(F67-F69),0)</f>
        <v>-5705</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47.74</v>
      </c>
      <c r="O68" s="2398" t="s">
        <v>2385</v>
      </c>
      <c r="P68" s="2396" t="s">
        <v>2415</v>
      </c>
      <c r="Q68" s="2402">
        <f ca="1">L51</f>
        <v>-11285</v>
      </c>
      <c r="R68" s="2403" t="s">
        <v>2418</v>
      </c>
    </row>
    <row r="69" spans="1:18" ht="20.25" thickBot="1">
      <c r="A69" s="787"/>
      <c r="B69" s="788"/>
      <c r="C69" s="789"/>
      <c r="D69" s="813"/>
      <c r="E69" s="781" t="s">
        <v>709</v>
      </c>
      <c r="F69" s="2368"/>
      <c r="O69" s="2398" t="s">
        <v>2386</v>
      </c>
      <c r="P69" s="2404" t="s">
        <v>2400</v>
      </c>
      <c r="Q69" s="2397">
        <f ca="1">ROUND(Q70-Q71*Q72,0)</f>
        <v>-572</v>
      </c>
      <c r="R69" s="2400"/>
    </row>
    <row r="70" spans="1:18" ht="15.75" thickBot="1">
      <c r="A70" s="820" t="s">
        <v>1787</v>
      </c>
      <c r="B70" s="821" t="s">
        <v>1810</v>
      </c>
      <c r="C70" s="822">
        <f ca="1">ROUND(C67*10000/F70,0)</f>
        <v>-978</v>
      </c>
      <c r="D70" s="823" t="s">
        <v>1811</v>
      </c>
      <c r="E70" s="824" t="s">
        <v>1812</v>
      </c>
      <c r="F70" s="825">
        <f ca="1">F43</f>
        <v>58360.560000000005</v>
      </c>
      <c r="O70" s="2398" t="s">
        <v>2401</v>
      </c>
      <c r="P70" s="2404" t="s">
        <v>2402</v>
      </c>
      <c r="Q70" s="2397">
        <f ca="1">C39</f>
        <v>938</v>
      </c>
      <c r="R70" s="2396" t="s">
        <v>2382</v>
      </c>
    </row>
    <row r="71" spans="1:18" ht="15.75" thickBot="1">
      <c r="O71" s="2398" t="s">
        <v>2403</v>
      </c>
      <c r="P71" s="2404" t="s">
        <v>2404</v>
      </c>
      <c r="Q71" s="2397">
        <f ca="1">C13</f>
        <v>18873</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25645</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3263</v>
      </c>
      <c r="D1" s="3118" t="s">
        <v>3269</v>
      </c>
      <c r="E1" s="2384" t="s">
        <v>2376</v>
      </c>
      <c r="F1" s="2385">
        <f ca="1">J53</f>
        <v>67.75</v>
      </c>
      <c r="G1" s="771">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112640</v>
      </c>
      <c r="C2" s="2054"/>
      <c r="D2" s="2052"/>
      <c r="E2" s="2053"/>
      <c r="F2" s="2053"/>
      <c r="G2" s="1586"/>
      <c r="H2" s="2054"/>
      <c r="I2" s="2054"/>
      <c r="J2" s="2054"/>
      <c r="K2" s="2055"/>
      <c r="L2" s="2054"/>
      <c r="M2" s="2054"/>
    </row>
    <row r="3" spans="1:33" ht="18" customHeight="1" thickBot="1">
      <c r="A3" s="830" t="s">
        <v>1727</v>
      </c>
      <c r="B3" s="831">
        <f ca="1">IF(ISERROR(B2*10000/F43),0,ROUND(B2*10000/F43,0))</f>
        <v>47592</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1731</v>
      </c>
      <c r="F4" s="777"/>
      <c r="G4" s="1588"/>
      <c r="H4" s="774" t="s">
        <v>1732</v>
      </c>
      <c r="I4" s="775" t="s">
        <v>1733</v>
      </c>
      <c r="J4" s="775" t="s">
        <v>1734</v>
      </c>
      <c r="K4" s="775" t="s">
        <v>1735</v>
      </c>
      <c r="L4" s="776" t="s">
        <v>1736</v>
      </c>
      <c r="M4" s="777"/>
    </row>
    <row r="5" spans="1:33" ht="18" customHeight="1">
      <c r="A5" s="778">
        <v>1</v>
      </c>
      <c r="B5" s="779" t="s">
        <v>2460</v>
      </c>
      <c r="C5" s="55">
        <f ca="1">C6+C10+C12</f>
        <v>3114</v>
      </c>
      <c r="D5" s="2493" t="s">
        <v>2463</v>
      </c>
      <c r="E5" s="2487"/>
      <c r="F5" s="2488"/>
      <c r="G5" s="1588"/>
      <c r="H5" s="778">
        <v>1</v>
      </c>
      <c r="I5" s="779" t="s">
        <v>2460</v>
      </c>
      <c r="J5" s="55">
        <f ca="1">J6+J10+J12</f>
        <v>0</v>
      </c>
      <c r="K5" s="2493" t="s">
        <v>2463</v>
      </c>
      <c r="L5" s="2487"/>
      <c r="M5" s="2488"/>
    </row>
    <row r="6" spans="1:33" ht="18" customHeight="1">
      <c r="A6" s="1827" t="s">
        <v>1824</v>
      </c>
      <c r="B6" s="3455" t="s">
        <v>2465</v>
      </c>
      <c r="C6" s="780">
        <f ca="1">ROUND(F6*F8*F7*(1-F9)/10000,0)</f>
        <v>3110</v>
      </c>
      <c r="D6" s="2494" t="s">
        <v>2464</v>
      </c>
      <c r="E6" s="781" t="s">
        <v>1738</v>
      </c>
      <c r="F6" s="782">
        <f ca="1">INDIRECT("'数据-取费表'!u"&amp;$G$1)</f>
        <v>4</v>
      </c>
      <c r="G6" s="1588"/>
      <c r="H6" s="2501" t="s">
        <v>2470</v>
      </c>
      <c r="I6" s="3455" t="s">
        <v>2465</v>
      </c>
      <c r="J6" s="780">
        <f ca="1">ROUND(M6*M8*M7*(1-M9)/10000,0)</f>
        <v>0</v>
      </c>
      <c r="K6" s="338" t="s">
        <v>1737</v>
      </c>
      <c r="L6" s="781" t="s">
        <v>1738</v>
      </c>
      <c r="M6" s="782">
        <f ca="1">INDIRECT("'数据-取费表'!z"&amp;$G$1)</f>
        <v>0</v>
      </c>
    </row>
    <row r="7" spans="1:33" ht="18" customHeight="1">
      <c r="A7" s="2497"/>
      <c r="B7" s="3456"/>
      <c r="C7" s="785"/>
      <c r="D7" s="786"/>
      <c r="E7" s="781" t="s">
        <v>1739</v>
      </c>
      <c r="F7" s="782">
        <f ca="1">IF(INDIRECT("'数据-取费表'!ah"&amp;$G$1)="",INDIRECT("'数据-取费表'!k"&amp;$G$1),INDIRECT("'数据-取费表'!ah"&amp;$G$1))</f>
        <v>23668.010000000002</v>
      </c>
      <c r="G7" s="1588"/>
      <c r="H7" s="2486"/>
      <c r="I7" s="3456"/>
      <c r="J7" s="785"/>
      <c r="K7" s="786"/>
      <c r="L7" s="781" t="s">
        <v>1739</v>
      </c>
      <c r="M7" s="782">
        <f ca="1">F7</f>
        <v>23668.010000000002</v>
      </c>
    </row>
    <row r="8" spans="1:33" ht="18" customHeight="1">
      <c r="A8" s="2490"/>
      <c r="B8" s="3457"/>
      <c r="C8" s="785"/>
      <c r="D8" s="786"/>
      <c r="E8" s="781" t="s">
        <v>1740</v>
      </c>
      <c r="F8" s="782">
        <f ca="1">INDIRECT("'数据-取费表'!ai"&amp;$G$1)</f>
        <v>365</v>
      </c>
      <c r="G8" s="1588"/>
      <c r="H8" s="2486"/>
      <c r="I8" s="3457"/>
      <c r="J8" s="785"/>
      <c r="K8" s="786"/>
      <c r="L8" s="781" t="s">
        <v>1740</v>
      </c>
      <c r="M8" s="782">
        <f ca="1">INDIRECT("'数据-取费表'!ai"&amp;$G$1)</f>
        <v>365</v>
      </c>
    </row>
    <row r="9" spans="1:33" ht="18" customHeight="1">
      <c r="A9" s="783"/>
      <c r="B9" s="3458"/>
      <c r="C9" s="785"/>
      <c r="D9" s="786"/>
      <c r="E9" s="781" t="s">
        <v>1741</v>
      </c>
      <c r="F9" s="791">
        <f ca="1">INDIRECT("'数据-取费表'!w"&amp;$G$1)</f>
        <v>0.1</v>
      </c>
      <c r="G9" s="1588"/>
      <c r="H9" s="2502"/>
      <c r="I9" s="3457"/>
      <c r="J9" s="785"/>
      <c r="K9" s="786"/>
      <c r="L9" s="792" t="s">
        <v>1741</v>
      </c>
      <c r="M9" s="793">
        <f ca="1">INDIRECT("'数据-取费表'!ab"&amp;$G$1)</f>
        <v>0</v>
      </c>
    </row>
    <row r="10" spans="1:33" ht="18" customHeight="1">
      <c r="A10" s="1827" t="s">
        <v>2468</v>
      </c>
      <c r="B10" s="2491" t="s">
        <v>2461</v>
      </c>
      <c r="C10" s="796">
        <f ca="1">ROUND(IF(F10="押一",C6/12*F11,IF(F10="押二",C6/12*2*F11,IF(F10="押三",C6/12*3*F11,C11*F11))),0)</f>
        <v>4</v>
      </c>
      <c r="D10" s="2498" t="s">
        <v>2974</v>
      </c>
      <c r="E10" s="2495" t="s">
        <v>2466</v>
      </c>
      <c r="F10" s="2618" t="s">
        <v>3268</v>
      </c>
      <c r="G10" s="1588"/>
      <c r="H10" s="2558" t="s">
        <v>2471</v>
      </c>
      <c r="I10" s="2563" t="s">
        <v>2461</v>
      </c>
      <c r="J10" s="780">
        <f ca="1">ROUND(IF(M10="押一",J6/12*M11,IF(M10="押二",J6/12*2*M11,IF(M10="押三",J6/12*3*M11,J11*M11))),0)</f>
        <v>0</v>
      </c>
      <c r="K10" s="2498" t="s">
        <v>2974</v>
      </c>
      <c r="L10" s="2495" t="s">
        <v>2466</v>
      </c>
      <c r="M10" s="2618"/>
    </row>
    <row r="11" spans="1:33" ht="18" customHeight="1">
      <c r="A11" s="787"/>
      <c r="B11" s="2492" t="s">
        <v>2575</v>
      </c>
      <c r="C11" s="2496"/>
      <c r="D11" s="786"/>
      <c r="E11" s="2495" t="s">
        <v>2467</v>
      </c>
      <c r="F11" s="793">
        <f ca="1">'数据-取费表'!B39</f>
        <v>1.4999999999999999E-2</v>
      </c>
      <c r="G11" s="1588"/>
      <c r="H11" s="2559"/>
      <c r="I11" s="2492" t="s">
        <v>2575</v>
      </c>
      <c r="J11" s="2496"/>
      <c r="K11" s="2560"/>
      <c r="L11" s="2495" t="s">
        <v>2467</v>
      </c>
      <c r="M11" s="2489">
        <f ca="1">'数据-取费表'!B39</f>
        <v>1.4999999999999999E-2</v>
      </c>
    </row>
    <row r="12" spans="1:33" ht="18" customHeight="1" thickBot="1">
      <c r="A12" s="2534" t="s">
        <v>2469</v>
      </c>
      <c r="B12" s="2535" t="s">
        <v>2462</v>
      </c>
      <c r="C12" s="2536"/>
      <c r="D12" s="2537"/>
      <c r="E12" s="2538"/>
      <c r="F12" s="2539"/>
      <c r="G12" s="1588"/>
      <c r="H12" s="2548" t="s">
        <v>2472</v>
      </c>
      <c r="I12" s="2561" t="s">
        <v>2462</v>
      </c>
      <c r="J12" s="2562"/>
      <c r="K12" s="2537"/>
      <c r="L12" s="2538"/>
      <c r="M12" s="2551"/>
    </row>
    <row r="13" spans="1:33" ht="18" customHeight="1" thickTop="1">
      <c r="A13" s="1826">
        <v>2</v>
      </c>
      <c r="B13" s="1824" t="s">
        <v>1742</v>
      </c>
      <c r="C13" s="789">
        <f ca="1">ROUND(C29*F13,0)</f>
        <v>11615</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7570</v>
      </c>
      <c r="D14" s="1976" t="s">
        <v>1745</v>
      </c>
      <c r="E14" s="1977"/>
      <c r="F14" s="802"/>
      <c r="G14" s="1588"/>
      <c r="H14" s="1645" t="s">
        <v>1830</v>
      </c>
      <c r="I14" s="2228" t="s">
        <v>2827</v>
      </c>
      <c r="J14" s="53">
        <f ca="1">C29</f>
        <v>11615</v>
      </c>
      <c r="K14" s="26"/>
      <c r="L14" s="798"/>
      <c r="M14" s="799"/>
    </row>
    <row r="15" spans="1:33" s="2061" customFormat="1" ht="18" customHeight="1" thickBot="1">
      <c r="A15" s="1644" t="s">
        <v>1885</v>
      </c>
      <c r="B15" s="781" t="s">
        <v>646</v>
      </c>
      <c r="C15" s="53">
        <f ca="1">ROUND(C14*F15,0)</f>
        <v>227</v>
      </c>
      <c r="D15" s="803" t="s">
        <v>1746</v>
      </c>
      <c r="E15" s="803" t="s">
        <v>1747</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355</v>
      </c>
      <c r="D16" s="781" t="s">
        <v>1746</v>
      </c>
      <c r="E16" s="781" t="s">
        <v>1747</v>
      </c>
      <c r="F16" s="806">
        <f ca="1">IF(INDIRECT("'数据-取费表'!c"&amp;$G$1)="住宅",'数据-取费表'!B34,0)</f>
        <v>0.05</v>
      </c>
      <c r="G16" s="1588"/>
      <c r="H16" s="1826" t="s">
        <v>1748</v>
      </c>
      <c r="I16" s="1824" t="s">
        <v>1749</v>
      </c>
      <c r="J16" s="789">
        <f ca="1">ROUND(J17+J22+J23+J24,0)</f>
        <v>1152</v>
      </c>
      <c r="K16" s="1818" t="s">
        <v>1750</v>
      </c>
      <c r="L16" s="2483"/>
      <c r="M16" s="2488"/>
    </row>
    <row r="17" spans="1:33" s="2061" customFormat="1" ht="18" customHeight="1">
      <c r="A17" s="1644" t="s">
        <v>1887</v>
      </c>
      <c r="B17" s="781" t="s">
        <v>652</v>
      </c>
      <c r="C17" s="53">
        <f ca="1">ROUND(F17*(F43+INDIRECT("'数据-取费表'!S"&amp;$G$1))/10000,0)</f>
        <v>516</v>
      </c>
      <c r="D17" s="781" t="s">
        <v>1751</v>
      </c>
      <c r="E17" s="781" t="s">
        <v>1752</v>
      </c>
      <c r="F17" s="56">
        <f>'数据-取费表'!B35</f>
        <v>200</v>
      </c>
      <c r="G17" s="1589"/>
      <c r="H17" s="1645" t="s">
        <v>1830</v>
      </c>
      <c r="I17" s="781" t="s">
        <v>655</v>
      </c>
      <c r="J17" s="53">
        <f ca="1">ROUND(IF(项目基本情况!B11="自然人",J5*M17,J18+J19+J20),0)</f>
        <v>978</v>
      </c>
      <c r="K17" s="2482" t="s">
        <v>1753</v>
      </c>
      <c r="L17" s="2481"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114</v>
      </c>
      <c r="D18" s="781" t="s">
        <v>1746</v>
      </c>
      <c r="E18" s="781" t="s">
        <v>1747</v>
      </c>
      <c r="F18" s="806">
        <f>'数据-取费表'!B36</f>
        <v>1.4999999999999999E-2</v>
      </c>
      <c r="G18" s="1589"/>
      <c r="H18" s="1644" t="s">
        <v>1884</v>
      </c>
      <c r="I18" s="781" t="s">
        <v>1755</v>
      </c>
      <c r="J18" s="53">
        <f ca="1">ROUND(J5*M18/1.05,1)</f>
        <v>0</v>
      </c>
      <c r="K18" s="2481" t="s">
        <v>1756</v>
      </c>
      <c r="L18" s="781" t="s">
        <v>1747</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8782</v>
      </c>
      <c r="D19" s="258" t="s">
        <v>1757</v>
      </c>
      <c r="E19" s="1979"/>
      <c r="F19" s="56"/>
      <c r="G19" s="1588"/>
      <c r="H19" s="1644" t="s">
        <v>1885</v>
      </c>
      <c r="I19" s="781" t="s">
        <v>1758</v>
      </c>
      <c r="J19" s="53">
        <f ca="1">IF(K19="按租金收入计税",ROUND(J5*M19,1),ROUND(C29*F33*0.7,1))</f>
        <v>975.7</v>
      </c>
      <c r="K19" s="808" t="s">
        <v>664</v>
      </c>
      <c r="L19" s="781" t="s">
        <v>1747</v>
      </c>
      <c r="M19" s="806">
        <f>IF(K19="按租金收入计税",'数据-取费表'!B51,'数据-取费表'!B50)</f>
        <v>1.2E-2</v>
      </c>
    </row>
    <row r="20" spans="1:33" s="2061" customFormat="1" ht="18" customHeight="1">
      <c r="A20" s="1645" t="s">
        <v>1889</v>
      </c>
      <c r="B20" s="781" t="s">
        <v>665</v>
      </c>
      <c r="C20" s="53">
        <f ca="1">ROUND(C19*F20,0)</f>
        <v>176</v>
      </c>
      <c r="D20" s="809" t="s">
        <v>1759</v>
      </c>
      <c r="E20" s="781" t="s">
        <v>1747</v>
      </c>
      <c r="F20" s="806">
        <f>'数据-取费表'!B37</f>
        <v>0.02</v>
      </c>
      <c r="G20" s="1589"/>
      <c r="H20" s="1647" t="s">
        <v>1880</v>
      </c>
      <c r="I20" s="338" t="s">
        <v>1760</v>
      </c>
      <c r="J20" s="54">
        <f ca="1">ROUND(M20*M21/10000,0)</f>
        <v>2</v>
      </c>
      <c r="K20" s="811" t="s">
        <v>1761</v>
      </c>
      <c r="L20" s="781" t="s">
        <v>1762</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03"/>
      <c r="I21" s="790"/>
      <c r="J21" s="69"/>
      <c r="K21" s="813"/>
      <c r="L21" s="781" t="s">
        <v>1766</v>
      </c>
      <c r="M21" s="782">
        <f ca="1">INDIRECT("'数据-取费表'!r"&amp;$G$1)</f>
        <v>12398.75</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69" t="str">
        <f>IF(F23&lt;=1,"单利计息。","复利计息。")&amp;"建造成本、管理费用、销售费用产生的利息。"</f>
        <v>复利计息。建造成本、管理费用、销售费用产生的利息。</v>
      </c>
      <c r="E22" s="1979"/>
      <c r="F22" s="56"/>
      <c r="G22" s="1588"/>
      <c r="H22" s="1645" t="s">
        <v>1889</v>
      </c>
      <c r="I22" s="781" t="s">
        <v>1768</v>
      </c>
      <c r="J22" s="53">
        <f ca="1">ROUND(J14*M22,0)</f>
        <v>174</v>
      </c>
      <c r="K22" s="2481" t="s">
        <v>1769</v>
      </c>
      <c r="L22" s="781" t="s">
        <v>1747</v>
      </c>
      <c r="M22" s="814">
        <f ca="1">INDIRECT("'数据-取费表'!Ak"&amp;$G$1)</f>
        <v>1.4999999999999999E-2</v>
      </c>
    </row>
    <row r="23" spans="1:33" s="2061" customFormat="1" ht="18" customHeight="1">
      <c r="A23" s="1644" t="s">
        <v>1831</v>
      </c>
      <c r="B23" s="781" t="s">
        <v>2537</v>
      </c>
      <c r="C23" s="53">
        <f ca="1">ROUND(IF('数据-取费表'!B22&lt;=1,(C19+C20)*F24*F23/2,(C19+C20)*(POWER((1+F24),F23/2)-1)),0)</f>
        <v>426</v>
      </c>
      <c r="D23" s="2568" t="str">
        <f>IF(F23&lt;=1,"(建造成本+管理费用)×利率×(建设周期÷2)","(建造成本+管理费用)×((1+利率)^(建设周期÷2)-1)")</f>
        <v>(建造成本+管理费用)×((1+利率)^(建设周期÷2)-1)</v>
      </c>
      <c r="E23" s="781" t="s">
        <v>1770</v>
      </c>
      <c r="F23" s="637">
        <f>'数据-取费表'!B20</f>
        <v>2</v>
      </c>
      <c r="G23" s="1589"/>
      <c r="H23" s="1645" t="s">
        <v>1890</v>
      </c>
      <c r="I23" s="781" t="s">
        <v>678</v>
      </c>
      <c r="J23" s="53">
        <f ca="1">ROUND(J13*M23,0)</f>
        <v>0</v>
      </c>
      <c r="K23" s="2481" t="s">
        <v>1771</v>
      </c>
      <c r="L23" s="781" t="s">
        <v>1747</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1774</v>
      </c>
      <c r="L24" s="2543" t="s">
        <v>1747</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1979"/>
      <c r="F25" s="56"/>
      <c r="G25" s="1588"/>
      <c r="H25" s="1826" t="s">
        <v>1776</v>
      </c>
      <c r="I25" s="3006" t="s">
        <v>2823</v>
      </c>
      <c r="J25" s="789">
        <f ca="1">J5-J16</f>
        <v>-1152</v>
      </c>
      <c r="K25" s="2545" t="s">
        <v>1777</v>
      </c>
      <c r="L25" s="2546"/>
      <c r="M25" s="2547"/>
    </row>
    <row r="26" spans="1:33" ht="18" customHeight="1">
      <c r="A26" s="1644" t="s">
        <v>1831</v>
      </c>
      <c r="B26" s="781" t="s">
        <v>2440</v>
      </c>
      <c r="C26" s="53">
        <f ca="1">ROUND((C19+C20)*F26,0)</f>
        <v>1344</v>
      </c>
      <c r="D26" s="809" t="s">
        <v>1778</v>
      </c>
      <c r="E26" s="792" t="s">
        <v>1779</v>
      </c>
      <c r="F26" s="791">
        <f ca="1">INDIRECT("'数据-取费表'!q"&amp;$G$1)</f>
        <v>0.15</v>
      </c>
      <c r="G26" s="1588"/>
      <c r="H26" s="2499" t="s">
        <v>1780</v>
      </c>
      <c r="I26" s="2229" t="s">
        <v>2828</v>
      </c>
      <c r="J26" s="780">
        <f ca="1">IF(J5&lt;&gt;0,ROUND(J25*(1-((1+M28)/(1+M26))^M27)/(M26-M28),0),0)</f>
        <v>0</v>
      </c>
      <c r="K26" s="811" t="s">
        <v>1781</v>
      </c>
      <c r="L26" s="781" t="s">
        <v>2421</v>
      </c>
      <c r="M26" s="791">
        <f ca="1">INDIRECT("'数据-取费表'!I"&amp;$G$1)</f>
        <v>4.4999999999999998E-2</v>
      </c>
    </row>
    <row r="27" spans="1:33" ht="18" customHeight="1">
      <c r="A27" s="1644" t="s">
        <v>1832</v>
      </c>
      <c r="B27" s="781" t="s">
        <v>685</v>
      </c>
      <c r="C27" s="53">
        <f ca="1">ROUND(F21*F26,4)</f>
        <v>3.0000000000000001E-3</v>
      </c>
      <c r="D27" s="809" t="s">
        <v>1782</v>
      </c>
      <c r="E27" s="803"/>
      <c r="F27" s="804"/>
      <c r="G27" s="1588"/>
      <c r="H27" s="2500"/>
      <c r="I27" s="784"/>
      <c r="J27" s="785"/>
      <c r="K27" s="818" t="s">
        <v>1783</v>
      </c>
      <c r="L27" s="781" t="s">
        <v>1784</v>
      </c>
      <c r="M27" s="819">
        <f ca="1">INDIRECT("'数据-取费表'!ag"&amp;$G$1)</f>
        <v>0</v>
      </c>
    </row>
    <row r="28" spans="1:33" s="2061" customFormat="1" ht="18" customHeight="1">
      <c r="A28" s="1646" t="s">
        <v>1841</v>
      </c>
      <c r="B28" s="781" t="s">
        <v>686</v>
      </c>
      <c r="C28" s="53">
        <f>ROUND(F28/(1+'数据-取费表'!C42),4)</f>
        <v>5.2400000000000002E-2</v>
      </c>
      <c r="D28" s="809" t="s">
        <v>2301</v>
      </c>
      <c r="E28" s="781" t="s">
        <v>1785</v>
      </c>
      <c r="F28" s="806">
        <f>'数据-取费表'!B41</f>
        <v>5.5000000000000007E-2</v>
      </c>
      <c r="G28" s="1589"/>
      <c r="H28" s="1826"/>
      <c r="I28" s="788"/>
      <c r="J28" s="789"/>
      <c r="K28" s="813"/>
      <c r="L28" s="781" t="s">
        <v>1786</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11615</v>
      </c>
      <c r="D29" s="2542"/>
      <c r="E29" s="2543"/>
      <c r="F29" s="2544"/>
      <c r="G29" s="1589"/>
      <c r="H29" s="820" t="s">
        <v>1787</v>
      </c>
      <c r="I29" s="821" t="s">
        <v>1788</v>
      </c>
      <c r="J29" s="822">
        <f ca="1">ROUND(J26/(1+F40)^F41,0)</f>
        <v>0</v>
      </c>
      <c r="K29" s="823" t="s">
        <v>1789</v>
      </c>
      <c r="L29" s="824"/>
      <c r="M29" s="825">
        <f ca="1">INDIRECT("'数据-取费表'!k"&amp;$G$1)</f>
        <v>23668.010000000002</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761</v>
      </c>
      <c r="D30" s="1818" t="s">
        <v>1791</v>
      </c>
      <c r="E30" s="2483"/>
      <c r="F30" s="2488"/>
      <c r="G30" s="2059"/>
      <c r="H30" s="2062"/>
      <c r="I30" s="2063"/>
      <c r="J30" s="2064"/>
      <c r="K30" s="2065"/>
      <c r="L30" s="2066"/>
      <c r="M30" s="2067"/>
    </row>
    <row r="31" spans="1:33" ht="18" customHeight="1">
      <c r="A31" s="1645" t="s">
        <v>1830</v>
      </c>
      <c r="B31" s="781" t="s">
        <v>655</v>
      </c>
      <c r="C31" s="53">
        <f ca="1">ROUND(IF(项目基本情况!B11="自然人",C5*F31,C32+C33+C34),1)</f>
        <v>538.70000000000005</v>
      </c>
      <c r="D31" s="1976" t="s">
        <v>1792</v>
      </c>
      <c r="E31" s="1974"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163.1</v>
      </c>
      <c r="D32" s="1974" t="s">
        <v>1795</v>
      </c>
      <c r="E32" s="781" t="s">
        <v>1796</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373.7</v>
      </c>
      <c r="D33" s="808" t="s">
        <v>3267</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1.9</v>
      </c>
      <c r="D34" s="811" t="s">
        <v>1799</v>
      </c>
      <c r="E34" s="781" t="s">
        <v>1800</v>
      </c>
      <c r="F34" s="637">
        <f>'数据-取费表'!B52</f>
        <v>1.5</v>
      </c>
      <c r="G34" s="2059"/>
      <c r="H34" s="2062"/>
      <c r="I34" s="832" t="s">
        <v>1813</v>
      </c>
      <c r="J34" s="833"/>
      <c r="K34" s="2077"/>
      <c r="L34" s="2076"/>
      <c r="M34" s="2076"/>
    </row>
    <row r="35" spans="1:18" ht="18" customHeight="1">
      <c r="A35" s="812"/>
      <c r="B35" s="790"/>
      <c r="C35" s="69"/>
      <c r="D35" s="813"/>
      <c r="E35" s="781" t="s">
        <v>1801</v>
      </c>
      <c r="F35" s="782">
        <f ca="1">INDIRECT("'数据-取费表'!r"&amp;$G$1)</f>
        <v>12398.75</v>
      </c>
      <c r="G35" s="2059"/>
      <c r="H35" s="2062"/>
      <c r="I35" s="834" t="s">
        <v>1814</v>
      </c>
      <c r="J35" s="835">
        <f ca="1">ROUND(C13*J36,0)</f>
        <v>929</v>
      </c>
      <c r="K35" s="2075"/>
      <c r="L35" s="2074"/>
      <c r="M35" s="2074"/>
    </row>
    <row r="36" spans="1:18" ht="18" customHeight="1">
      <c r="A36" s="1645" t="s">
        <v>1889</v>
      </c>
      <c r="B36" s="781" t="s">
        <v>1802</v>
      </c>
      <c r="C36" s="53">
        <f ca="1">ROUND(C29*F36,1)</f>
        <v>174.2</v>
      </c>
      <c r="D36" s="1974" t="s">
        <v>1803</v>
      </c>
      <c r="E36" s="781" t="s">
        <v>1796</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17.399999999999999</v>
      </c>
      <c r="D37" s="1974" t="s">
        <v>1804</v>
      </c>
      <c r="E37" s="781" t="s">
        <v>1796</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31.1</v>
      </c>
      <c r="D38" s="2542" t="s">
        <v>1805</v>
      </c>
      <c r="E38" s="2543" t="s">
        <v>1796</v>
      </c>
      <c r="F38" s="2539">
        <f ca="1">INDIRECT("'数据-取费表'!Am"&amp;$G$1)</f>
        <v>0.01</v>
      </c>
      <c r="G38" s="2059"/>
      <c r="H38" s="2074"/>
      <c r="I38" s="840" t="s">
        <v>1817</v>
      </c>
      <c r="J38" s="841"/>
      <c r="K38" s="2080"/>
      <c r="L38" s="2074"/>
      <c r="M38" s="2074"/>
    </row>
    <row r="39" spans="1:18" ht="24.6" customHeight="1" thickTop="1">
      <c r="A39" s="1826" t="s">
        <v>1894</v>
      </c>
      <c r="B39" s="3006" t="s">
        <v>2823</v>
      </c>
      <c r="C39" s="789">
        <f ca="1">C5-C30</f>
        <v>2353</v>
      </c>
      <c r="D39" s="2545" t="s">
        <v>1806</v>
      </c>
      <c r="E39" s="2546"/>
      <c r="F39" s="2547"/>
      <c r="G39" s="2059"/>
      <c r="H39" s="2074"/>
      <c r="I39" s="834" t="s">
        <v>1818</v>
      </c>
      <c r="J39" s="842">
        <f ca="1">ROUND(J35/C39,3)</f>
        <v>0.39500000000000002</v>
      </c>
      <c r="K39" s="2080"/>
      <c r="L39" s="2074"/>
      <c r="M39" s="2074"/>
    </row>
    <row r="40" spans="1:18" ht="18" customHeight="1">
      <c r="A40" s="778" t="s">
        <v>1895</v>
      </c>
      <c r="B40" s="2229" t="s">
        <v>2303</v>
      </c>
      <c r="C40" s="780">
        <f ca="1">ROUND(C39*(1-((1+F42)/(1+F40))^F41)/(F40-F42),0)</f>
        <v>112640</v>
      </c>
      <c r="D40" s="811" t="s">
        <v>1807</v>
      </c>
      <c r="E40" s="781" t="s">
        <v>2421</v>
      </c>
      <c r="F40" s="791">
        <f ca="1">INDIRECT("'数据-取费表'!I"&amp;$G$1)</f>
        <v>4.4999999999999998E-2</v>
      </c>
      <c r="G40" s="2059"/>
      <c r="H40" s="2059"/>
      <c r="I40" s="834" t="s">
        <v>1819</v>
      </c>
      <c r="J40" s="842">
        <f ca="1">1-J39</f>
        <v>0.60499999999999998</v>
      </c>
      <c r="K40" s="2080"/>
      <c r="L40" s="2059"/>
      <c r="M40" s="2059"/>
    </row>
    <row r="41" spans="1:18" ht="18" customHeight="1">
      <c r="A41" s="783"/>
      <c r="B41" s="784"/>
      <c r="C41" s="785"/>
      <c r="D41" s="818" t="s">
        <v>1808</v>
      </c>
      <c r="E41" s="781" t="s">
        <v>2964</v>
      </c>
      <c r="F41" s="819">
        <f ca="1">IF(INDIRECT("'数据-取费表'!af"&amp;$G$1)=0,INDIRECT("'数据-取费表'!ae"&amp;$G$1),INDIRECT("'数据-取费表'!af"&amp;$G$1))</f>
        <v>67.75</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0.10299999999999999</v>
      </c>
      <c r="K42" s="2079"/>
      <c r="L42" s="1985"/>
      <c r="M42" s="1985"/>
    </row>
    <row r="43" spans="1:18" ht="18" customHeight="1" thickBot="1">
      <c r="A43" s="820" t="s">
        <v>1787</v>
      </c>
      <c r="B43" s="821" t="s">
        <v>1810</v>
      </c>
      <c r="C43" s="822">
        <f ca="1">ROUND(C40*10000/F43,0)</f>
        <v>47592</v>
      </c>
      <c r="D43" s="823" t="s">
        <v>1811</v>
      </c>
      <c r="E43" s="824" t="s">
        <v>1812</v>
      </c>
      <c r="F43" s="825">
        <f ca="1">INDIRECT("'数据-取费表'!k"&amp;$G$1)</f>
        <v>23668.010000000002</v>
      </c>
      <c r="G43" s="2059"/>
      <c r="H43" s="1985"/>
      <c r="I43" s="844" t="s">
        <v>1822</v>
      </c>
      <c r="J43" s="845">
        <f ca="1">1-J42</f>
        <v>0.89700000000000002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-116733</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3266</v>
      </c>
      <c r="K47" s="3150" t="s">
        <v>2351</v>
      </c>
      <c r="L47" s="3154">
        <f ca="1">INDIRECT("'数据-取费表'!d"&amp;$G$1)</f>
        <v>70</v>
      </c>
      <c r="M47" s="1600" t="str">
        <f>IF(ISNUMBER(FIND("住宅",C1)),"住宅","非住宅")</f>
        <v>住宅</v>
      </c>
      <c r="O47" s="2392" t="s">
        <v>2377</v>
      </c>
      <c r="P47" s="2393" t="s">
        <v>2378</v>
      </c>
      <c r="Q47" s="2394" t="s">
        <v>2379</v>
      </c>
      <c r="R47" s="2393" t="s">
        <v>2380</v>
      </c>
    </row>
    <row r="48" spans="1:18" s="2056" customFormat="1" ht="18" customHeight="1" thickBot="1">
      <c r="A48" s="2639" t="s">
        <v>2539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69.75</v>
      </c>
      <c r="O48" s="2395" t="s">
        <v>2381</v>
      </c>
      <c r="P48" s="2396" t="s">
        <v>2407</v>
      </c>
      <c r="Q48" s="2397">
        <f ca="1">C40+J29</f>
        <v>112640</v>
      </c>
      <c r="R48" s="2396" t="s">
        <v>2382</v>
      </c>
    </row>
    <row r="49" spans="1:18" s="2056" customFormat="1" ht="18" customHeight="1" thickBot="1">
      <c r="A49" s="783"/>
      <c r="B49" s="784"/>
      <c r="C49" s="785"/>
      <c r="D49" s="786"/>
      <c r="E49" s="781" t="s">
        <v>1739</v>
      </c>
      <c r="F49" s="782">
        <f ca="1">F7</f>
        <v>23668.010000000002</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11615</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33287</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2975</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2979</v>
      </c>
      <c r="J53" s="3149">
        <f ca="1">IF(M47="住宅",IF(D1="——",MAX(J51,L48),MAX(J51,L48-'数据-取费表'!B20)),IF(D1="——",MIN(J51,L48),MIN(J51,L48-'数据-取费表'!B20)))</f>
        <v>67.75</v>
      </c>
      <c r="K53" s="3471" t="s">
        <v>2966</v>
      </c>
      <c r="L53" s="3472"/>
      <c r="O53" s="2398" t="s">
        <v>2390</v>
      </c>
      <c r="P53" s="2396" t="s">
        <v>2391</v>
      </c>
      <c r="Q53" s="2397">
        <f ca="1">J53</f>
        <v>67.75</v>
      </c>
      <c r="R53" s="2396" t="s">
        <v>2392</v>
      </c>
    </row>
    <row r="54" spans="1:18" s="2056" customFormat="1" ht="18" customHeight="1" thickBot="1">
      <c r="A54" s="2534" t="s">
        <v>2469</v>
      </c>
      <c r="B54" s="2535" t="s">
        <v>2462</v>
      </c>
      <c r="C54" s="2536"/>
      <c r="D54" s="2498"/>
      <c r="E54" s="2495"/>
      <c r="F54" s="797"/>
      <c r="I54" s="20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3"/>
      <c r="O54" s="2395" t="s">
        <v>2393</v>
      </c>
      <c r="P54" s="2396" t="s">
        <v>2410</v>
      </c>
      <c r="Q54" s="2397">
        <f ca="1">Q48+Q49</f>
        <v>112640</v>
      </c>
      <c r="R54" s="2400" t="s">
        <v>2394</v>
      </c>
    </row>
    <row r="55" spans="1:18" s="2056" customFormat="1" ht="18" customHeight="1" thickTop="1" thickBot="1">
      <c r="A55" s="794">
        <v>2</v>
      </c>
      <c r="B55" s="795" t="s">
        <v>643</v>
      </c>
      <c r="C55" s="796">
        <f ca="1">C13</f>
        <v>11615</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2304</v>
      </c>
      <c r="C56" s="53">
        <f ca="1">C29</f>
        <v>11615</v>
      </c>
      <c r="D56" s="2636"/>
      <c r="E56" s="781"/>
      <c r="F56" s="806"/>
      <c r="I56" s="3160" t="s">
        <v>2359</v>
      </c>
      <c r="J56" s="3170" t="s">
        <v>1678</v>
      </c>
      <c r="K56" s="3119" t="s">
        <v>2364</v>
      </c>
      <c r="L56" s="1905">
        <f ca="1">IF(L48&lt;J51,"——",L48-J51)</f>
        <v>9.75</v>
      </c>
      <c r="O56" s="2392" t="s">
        <v>2377</v>
      </c>
      <c r="P56" s="2393" t="s">
        <v>2378</v>
      </c>
      <c r="Q56" s="2394" t="s">
        <v>2379</v>
      </c>
      <c r="R56" s="2393" t="s">
        <v>2380</v>
      </c>
    </row>
    <row r="57" spans="1:18" s="2056" customFormat="1" ht="28.5" customHeight="1" thickBot="1">
      <c r="A57" s="794" t="s">
        <v>1748</v>
      </c>
      <c r="B57" s="795" t="s">
        <v>650</v>
      </c>
      <c r="C57" s="796">
        <f ca="1">ROUND(C58+C63+C64+C65,0)</f>
        <v>194</v>
      </c>
      <c r="D57" s="26" t="s">
        <v>1750</v>
      </c>
      <c r="E57" s="2637"/>
      <c r="F57" s="56"/>
      <c r="I57" s="3161" t="s">
        <v>2360</v>
      </c>
      <c r="J57" s="3162" t="str">
        <f ca="1">IF(OR(M47="住宅",J51&lt;L48,J56="是"),"——",J51-L48)</f>
        <v>——</v>
      </c>
      <c r="K57" s="3119" t="s">
        <v>2365</v>
      </c>
      <c r="L57" s="1905">
        <f ca="1">IF(L48&lt;J51,"——",IF(L55="比较法",L49,IF(L55="基准地价",L50,L51)))</f>
        <v>33287</v>
      </c>
      <c r="O57" s="2395" t="s">
        <v>2381</v>
      </c>
      <c r="P57" s="2396" t="s">
        <v>2411</v>
      </c>
      <c r="Q57" s="2397">
        <f ca="1">C40+J29</f>
        <v>112640</v>
      </c>
      <c r="R57" s="2396" t="s">
        <v>2382</v>
      </c>
    </row>
    <row r="58" spans="1:18" s="2056" customFormat="1" ht="28.5" customHeight="1" thickBot="1">
      <c r="A58" s="1645" t="s">
        <v>1824</v>
      </c>
      <c r="B58" s="781" t="s">
        <v>655</v>
      </c>
      <c r="C58" s="53">
        <f ca="1">ROUND(IF(项目基本情况!B11="自然人",C47*F58,C59+C60+C61),1)</f>
        <v>1.9</v>
      </c>
      <c r="D58" s="2635" t="s">
        <v>656</v>
      </c>
      <c r="E58" s="263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2636" t="s">
        <v>1756</v>
      </c>
      <c r="E59" s="781" t="s">
        <v>1747</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1758</v>
      </c>
      <c r="C60" s="53">
        <f ca="1">IF(D60="按租金收入计税",ROUND(C47*F60,1),IF(D60="按房产原值计税",ROUND(C56*F60*0.7,1),INDIRECT("'数据-取费表'!Aj"&amp;$G$1)))</f>
        <v>0</v>
      </c>
      <c r="D60" s="2636" t="str">
        <f>D33</f>
        <v>按租金收入计税</v>
      </c>
      <c r="E60" s="781" t="s">
        <v>1747</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1.9</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12398.75</v>
      </c>
      <c r="I62" s="3166" t="s">
        <v>2369</v>
      </c>
      <c r="J62" s="3167" t="s">
        <v>2370</v>
      </c>
      <c r="K62" s="3167" t="s">
        <v>2371</v>
      </c>
      <c r="L62" s="3167" t="s">
        <v>2352</v>
      </c>
      <c r="M62" s="3168" t="s">
        <v>2942</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174.2</v>
      </c>
      <c r="D63" s="2636" t="s">
        <v>1803</v>
      </c>
      <c r="E63" s="781" t="s">
        <v>1747</v>
      </c>
      <c r="F63" s="814">
        <f t="shared" ca="1" si="0"/>
        <v>1.4999999999999999E-2</v>
      </c>
      <c r="I63" s="3166" t="s">
        <v>2372</v>
      </c>
      <c r="J63" s="3167">
        <v>70</v>
      </c>
      <c r="K63" s="3167">
        <v>50</v>
      </c>
      <c r="L63" s="3167">
        <v>80</v>
      </c>
      <c r="M63" s="3169">
        <v>0.02</v>
      </c>
      <c r="O63" s="2395" t="s">
        <v>2393</v>
      </c>
      <c r="P63" s="2396" t="s">
        <v>2410</v>
      </c>
      <c r="Q63" s="2397">
        <f ca="1">Q57+Q58</f>
        <v>112640</v>
      </c>
      <c r="R63" s="2400" t="s">
        <v>2394</v>
      </c>
    </row>
    <row r="64" spans="1:18" s="2056" customFormat="1" ht="16.5" thickBot="1">
      <c r="A64" s="1645" t="s">
        <v>1890</v>
      </c>
      <c r="B64" s="781" t="s">
        <v>678</v>
      </c>
      <c r="C64" s="53">
        <f ca="1">ROUND(C55*F64,1)</f>
        <v>17.399999999999999</v>
      </c>
      <c r="D64" s="2636" t="s">
        <v>679</v>
      </c>
      <c r="E64" s="781" t="s">
        <v>1747</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2636" t="s">
        <v>682</v>
      </c>
      <c r="E65" s="781" t="s">
        <v>1747</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2823</v>
      </c>
      <c r="C66" s="796">
        <f ca="1">C47-C57</f>
        <v>-194</v>
      </c>
      <c r="D66" s="2635" t="s">
        <v>699</v>
      </c>
      <c r="E66" s="2634"/>
      <c r="F66" s="817"/>
      <c r="K66" s="2083"/>
      <c r="O66" s="2395" t="s">
        <v>2381</v>
      </c>
      <c r="P66" s="2396" t="s">
        <v>2411</v>
      </c>
      <c r="Q66" s="2397">
        <f ca="1">C40+J29</f>
        <v>112640</v>
      </c>
      <c r="R66" s="2396" t="s">
        <v>2382</v>
      </c>
    </row>
    <row r="67" spans="1:18" s="2056" customFormat="1" ht="20.25" thickBot="1">
      <c r="A67" s="778" t="s">
        <v>1780</v>
      </c>
      <c r="B67" s="2229" t="s">
        <v>2303</v>
      </c>
      <c r="C67" s="780">
        <f ca="1">ROUND(C66*(1-((1+F69)/(1+F67))^F68)/(F67-F69),0)</f>
        <v>-4093</v>
      </c>
      <c r="D67" s="811" t="s">
        <v>703</v>
      </c>
      <c r="E67" s="781" t="s">
        <v>704</v>
      </c>
      <c r="F67" s="791">
        <f ca="1">F40</f>
        <v>4.4999999999999998E-2</v>
      </c>
      <c r="K67" s="2083"/>
      <c r="O67" s="2395" t="s">
        <v>2383</v>
      </c>
      <c r="P67" s="2396" t="s">
        <v>2414</v>
      </c>
      <c r="Q67" s="2397">
        <f ca="1">L60</f>
        <v>0</v>
      </c>
      <c r="R67" s="2400" t="s">
        <v>2416</v>
      </c>
    </row>
    <row r="68" spans="1:18" ht="21.75" thickBot="1">
      <c r="A68" s="783"/>
      <c r="B68" s="784"/>
      <c r="C68" s="785"/>
      <c r="D68" s="818" t="s">
        <v>1808</v>
      </c>
      <c r="E68" s="781" t="s">
        <v>1784</v>
      </c>
      <c r="F68" s="819">
        <f ca="1">F41</f>
        <v>67.75</v>
      </c>
      <c r="O68" s="2398" t="s">
        <v>2385</v>
      </c>
      <c r="P68" s="2396" t="s">
        <v>2415</v>
      </c>
      <c r="Q68" s="2402">
        <f ca="1">L51</f>
        <v>33287</v>
      </c>
      <c r="R68" s="2403" t="s">
        <v>2418</v>
      </c>
    </row>
    <row r="69" spans="1:18" ht="20.25" thickBot="1">
      <c r="A69" s="787"/>
      <c r="B69" s="788"/>
      <c r="C69" s="789"/>
      <c r="D69" s="813"/>
      <c r="E69" s="781" t="s">
        <v>709</v>
      </c>
      <c r="F69" s="2368"/>
      <c r="O69" s="2398" t="s">
        <v>2386</v>
      </c>
      <c r="P69" s="2404" t="s">
        <v>2400</v>
      </c>
      <c r="Q69" s="2397">
        <f ca="1">ROUND(Q70-Q71*Q72,0)</f>
        <v>1424</v>
      </c>
      <c r="R69" s="2400"/>
    </row>
    <row r="70" spans="1:18" ht="15.75" thickBot="1">
      <c r="A70" s="820" t="s">
        <v>1787</v>
      </c>
      <c r="B70" s="821" t="s">
        <v>1810</v>
      </c>
      <c r="C70" s="822">
        <f ca="1">ROUND(C67*10000/F70,0)</f>
        <v>-1729</v>
      </c>
      <c r="D70" s="823" t="s">
        <v>1811</v>
      </c>
      <c r="E70" s="824" t="s">
        <v>1812</v>
      </c>
      <c r="F70" s="825">
        <f ca="1">F43</f>
        <v>23668.010000000002</v>
      </c>
      <c r="O70" s="2398" t="s">
        <v>2401</v>
      </c>
      <c r="P70" s="2404" t="s">
        <v>2402</v>
      </c>
      <c r="Q70" s="2397">
        <f ca="1">C39</f>
        <v>2353</v>
      </c>
      <c r="R70" s="2396" t="s">
        <v>2382</v>
      </c>
    </row>
    <row r="71" spans="1:18" ht="15.75" thickBot="1">
      <c r="O71" s="2398" t="s">
        <v>2403</v>
      </c>
      <c r="P71" s="2404" t="s">
        <v>2404</v>
      </c>
      <c r="Q71" s="2397">
        <f ca="1">C13</f>
        <v>11615</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112640</v>
      </c>
      <c r="R76" s="24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9" t="s">
        <v>2473</v>
      </c>
      <c r="B1" s="3490"/>
      <c r="C1" s="3491"/>
      <c r="D1" s="3492">
        <f>SUM(I10,I15,I20,I21,I23)</f>
        <v>0</v>
      </c>
      <c r="E1" s="3492"/>
      <c r="F1" s="3492"/>
      <c r="G1" s="3492"/>
      <c r="H1" s="3492"/>
      <c r="I1" s="3493"/>
    </row>
    <row r="2" spans="1:9">
      <c r="A2" s="3479" t="s">
        <v>2474</v>
      </c>
      <c r="B2" s="3480" t="s">
        <v>2475</v>
      </c>
      <c r="C2" s="3480"/>
      <c r="D2" s="2504" t="s">
        <v>2476</v>
      </c>
      <c r="E2" s="2504" t="s">
        <v>2477</v>
      </c>
      <c r="F2" s="2504" t="s">
        <v>2478</v>
      </c>
      <c r="G2" s="2504" t="s">
        <v>2479</v>
      </c>
      <c r="H2" s="2504" t="s">
        <v>2480</v>
      </c>
      <c r="I2" s="2505" t="s">
        <v>2481</v>
      </c>
    </row>
    <row r="3" spans="1:9">
      <c r="A3" s="3479"/>
      <c r="B3" s="3480" t="s">
        <v>2482</v>
      </c>
      <c r="C3" s="3480"/>
      <c r="D3" s="2506"/>
      <c r="E3" s="2504"/>
      <c r="F3" s="2507"/>
      <c r="G3" s="2507"/>
      <c r="H3" s="2508"/>
      <c r="I3" s="2509">
        <f>ROUND(D3*E3*F3*G3*H3/10000,0)</f>
        <v>0</v>
      </c>
    </row>
    <row r="4" spans="1:9">
      <c r="A4" s="3479"/>
      <c r="B4" s="3480" t="s">
        <v>2483</v>
      </c>
      <c r="C4" s="3480"/>
      <c r="D4" s="2506"/>
      <c r="E4" s="2504"/>
      <c r="F4" s="2507"/>
      <c r="G4" s="2507"/>
      <c r="H4" s="2508"/>
      <c r="I4" s="2509">
        <f t="shared" ref="I4:I9" si="0">ROUND(D4*E4*F4*G4*H4/10000,0)</f>
        <v>0</v>
      </c>
    </row>
    <row r="5" spans="1:9">
      <c r="A5" s="3479"/>
      <c r="B5" s="3480" t="s">
        <v>2484</v>
      </c>
      <c r="C5" s="3480"/>
      <c r="D5" s="2506"/>
      <c r="E5" s="2504"/>
      <c r="F5" s="2507"/>
      <c r="G5" s="2507"/>
      <c r="H5" s="2508"/>
      <c r="I5" s="2509">
        <f t="shared" si="0"/>
        <v>0</v>
      </c>
    </row>
    <row r="6" spans="1:9">
      <c r="A6" s="3479"/>
      <c r="B6" s="3480" t="s">
        <v>2485</v>
      </c>
      <c r="C6" s="3480"/>
      <c r="D6" s="2506"/>
      <c r="E6" s="2504"/>
      <c r="F6" s="2507"/>
      <c r="G6" s="2507"/>
      <c r="H6" s="2508"/>
      <c r="I6" s="2509">
        <f t="shared" si="0"/>
        <v>0</v>
      </c>
    </row>
    <row r="7" spans="1:9">
      <c r="A7" s="3479"/>
      <c r="B7" s="3480" t="s">
        <v>2486</v>
      </c>
      <c r="C7" s="3480"/>
      <c r="D7" s="2506"/>
      <c r="E7" s="2504"/>
      <c r="F7" s="2507"/>
      <c r="G7" s="2507"/>
      <c r="H7" s="2508"/>
      <c r="I7" s="2509">
        <f t="shared" si="0"/>
        <v>0</v>
      </c>
    </row>
    <row r="8" spans="1:9">
      <c r="A8" s="3479"/>
      <c r="B8" s="3480" t="s">
        <v>2487</v>
      </c>
      <c r="C8" s="3480"/>
      <c r="D8" s="2506"/>
      <c r="E8" s="2504"/>
      <c r="F8" s="2507"/>
      <c r="G8" s="2507"/>
      <c r="H8" s="2508"/>
      <c r="I8" s="2509">
        <f t="shared" si="0"/>
        <v>0</v>
      </c>
    </row>
    <row r="9" spans="1:9">
      <c r="A9" s="3479"/>
      <c r="B9" s="3480" t="s">
        <v>2488</v>
      </c>
      <c r="C9" s="3480"/>
      <c r="D9" s="2506"/>
      <c r="E9" s="2504"/>
      <c r="F9" s="2507"/>
      <c r="G9" s="2507"/>
      <c r="H9" s="2508"/>
      <c r="I9" s="2509">
        <f t="shared" si="0"/>
        <v>0</v>
      </c>
    </row>
    <row r="10" spans="1:9">
      <c r="A10" s="3479"/>
      <c r="B10" s="3481" t="s">
        <v>2489</v>
      </c>
      <c r="C10" s="3481"/>
      <c r="D10" s="2510">
        <v>527</v>
      </c>
      <c r="E10" s="2510" t="e">
        <f>ROUND(D1*10000/D10/H9,0)</f>
        <v>#DIV/0!</v>
      </c>
      <c r="F10" s="2511"/>
      <c r="G10" s="2511"/>
      <c r="H10" s="2512"/>
      <c r="I10" s="2513">
        <f>SUM(I3:I9)</f>
        <v>0</v>
      </c>
    </row>
    <row r="11" spans="1:9" ht="14.25">
      <c r="A11" s="3479" t="s">
        <v>2490</v>
      </c>
      <c r="B11" s="3480" t="s">
        <v>2491</v>
      </c>
      <c r="C11" s="3480"/>
      <c r="D11" s="2506" t="s">
        <v>2492</v>
      </c>
      <c r="E11" s="2506" t="s">
        <v>2493</v>
      </c>
      <c r="F11" s="2507" t="s">
        <v>2494</v>
      </c>
      <c r="G11" s="2507" t="s">
        <v>2495</v>
      </c>
      <c r="H11" s="2514" t="s">
        <v>2496</v>
      </c>
      <c r="I11" s="2505" t="s">
        <v>2497</v>
      </c>
    </row>
    <row r="12" spans="1:9">
      <c r="A12" s="3479"/>
      <c r="B12" s="3480" t="s">
        <v>2498</v>
      </c>
      <c r="C12" s="3480"/>
      <c r="D12" s="2506"/>
      <c r="E12" s="2506"/>
      <c r="F12" s="2507"/>
      <c r="G12" s="2508"/>
      <c r="H12" s="2515"/>
      <c r="I12" s="2505">
        <f>ROUND(D12*E12*F12*G12/10000,0)</f>
        <v>0</v>
      </c>
    </row>
    <row r="13" spans="1:9">
      <c r="A13" s="3479"/>
      <c r="B13" s="3480" t="s">
        <v>2499</v>
      </c>
      <c r="C13" s="3480"/>
      <c r="D13" s="2506"/>
      <c r="E13" s="2506"/>
      <c r="F13" s="2507"/>
      <c r="G13" s="2508"/>
      <c r="H13" s="2515"/>
      <c r="I13" s="2505">
        <f>ROUND(D13*E13*F13*G13/10000,0)</f>
        <v>0</v>
      </c>
    </row>
    <row r="14" spans="1:9">
      <c r="A14" s="3479"/>
      <c r="B14" s="3480" t="s">
        <v>2500</v>
      </c>
      <c r="C14" s="3480"/>
      <c r="D14" s="2506"/>
      <c r="E14" s="2506"/>
      <c r="F14" s="2507"/>
      <c r="G14" s="2508"/>
      <c r="H14" s="2515"/>
      <c r="I14" s="2505">
        <f>ROUND(D14*E14*F14*G14/10000,0)</f>
        <v>0</v>
      </c>
    </row>
    <row r="15" spans="1:9">
      <c r="A15" s="3479"/>
      <c r="B15" s="3481" t="s">
        <v>2489</v>
      </c>
      <c r="C15" s="3481"/>
      <c r="D15" s="2510"/>
      <c r="E15" s="2510">
        <f>SUM(E12:E14)</f>
        <v>0</v>
      </c>
      <c r="F15" s="2511"/>
      <c r="G15" s="2508"/>
      <c r="H15" s="2515"/>
      <c r="I15" s="2516">
        <f>SUM(I12:I14)</f>
        <v>0</v>
      </c>
    </row>
    <row r="16" spans="1:9" ht="24">
      <c r="A16" s="3479" t="s">
        <v>2501</v>
      </c>
      <c r="B16" s="3480" t="s">
        <v>2502</v>
      </c>
      <c r="C16" s="3480"/>
      <c r="D16" s="2506" t="s">
        <v>2503</v>
      </c>
      <c r="E16" s="2517" t="s">
        <v>2504</v>
      </c>
      <c r="F16" s="2507" t="s">
        <v>2505</v>
      </c>
      <c r="G16" s="2508" t="s">
        <v>2495</v>
      </c>
      <c r="H16" s="2514" t="s">
        <v>2496</v>
      </c>
      <c r="I16" s="2505" t="s">
        <v>2497</v>
      </c>
    </row>
    <row r="17" spans="1:9" ht="14.25">
      <c r="A17" s="3479"/>
      <c r="B17" s="3480" t="s">
        <v>2506</v>
      </c>
      <c r="C17" s="3480"/>
      <c r="D17" s="2506"/>
      <c r="E17" s="2506"/>
      <c r="F17" s="2507"/>
      <c r="G17" s="2508"/>
      <c r="H17" s="2518"/>
      <c r="I17" s="2519">
        <f>ROUND(D17*E17*F17*G17/10000,0)</f>
        <v>0</v>
      </c>
    </row>
    <row r="18" spans="1:9" ht="14.25">
      <c r="A18" s="3479"/>
      <c r="B18" s="3480" t="s">
        <v>2507</v>
      </c>
      <c r="C18" s="3480"/>
      <c r="D18" s="2506"/>
      <c r="E18" s="2506"/>
      <c r="F18" s="2507"/>
      <c r="G18" s="2508"/>
      <c r="H18" s="2518"/>
      <c r="I18" s="2519">
        <f>ROUND(D18*E18*F18*G18/10000,0)</f>
        <v>0</v>
      </c>
    </row>
    <row r="19" spans="1:9" ht="14.25">
      <c r="A19" s="3479"/>
      <c r="B19" s="3480" t="s">
        <v>2508</v>
      </c>
      <c r="C19" s="3480"/>
      <c r="D19" s="2506"/>
      <c r="E19" s="2506"/>
      <c r="F19" s="2507"/>
      <c r="G19" s="2508"/>
      <c r="H19" s="2518"/>
      <c r="I19" s="2519">
        <f>ROUND(D19*E19*F19*G19/10000,0)</f>
        <v>0</v>
      </c>
    </row>
    <row r="20" spans="1:9">
      <c r="A20" s="3479"/>
      <c r="B20" s="3481" t="s">
        <v>2489</v>
      </c>
      <c r="C20" s="3481"/>
      <c r="D20" s="2510">
        <f>SUM(D17:D19)</f>
        <v>0</v>
      </c>
      <c r="E20" s="2510"/>
      <c r="F20" s="2511"/>
      <c r="G20" s="2508"/>
      <c r="H20" s="2515"/>
      <c r="I20" s="2516">
        <f>SUM(I17:I19)</f>
        <v>0</v>
      </c>
    </row>
    <row r="21" spans="1:9">
      <c r="A21" s="3479" t="s">
        <v>2509</v>
      </c>
      <c r="B21" s="3482"/>
      <c r="C21" s="3482"/>
      <c r="D21" s="3482"/>
      <c r="E21" s="3482"/>
      <c r="F21" s="3482"/>
      <c r="G21" s="3482"/>
      <c r="H21" s="2520">
        <v>0.1</v>
      </c>
      <c r="I21" s="2513">
        <f>ROUND(I10*H21,0)</f>
        <v>0</v>
      </c>
    </row>
    <row r="22" spans="1:9" ht="14.25">
      <c r="A22" s="3483" t="s">
        <v>2510</v>
      </c>
      <c r="B22" s="3484"/>
      <c r="C22" s="3485"/>
      <c r="D22" s="2521" t="s">
        <v>2511</v>
      </c>
      <c r="E22" s="2521" t="s">
        <v>2512</v>
      </c>
      <c r="F22" s="2522" t="s">
        <v>2513</v>
      </c>
      <c r="G22" s="2522" t="s">
        <v>2514</v>
      </c>
      <c r="H22" s="2514" t="s">
        <v>2515</v>
      </c>
      <c r="I22" s="2505" t="s">
        <v>2516</v>
      </c>
    </row>
    <row r="23" spans="1:9" ht="14.25" thickBot="1">
      <c r="A23" s="3486"/>
      <c r="B23" s="3487"/>
      <c r="C23" s="3488"/>
      <c r="D23" s="2523"/>
      <c r="E23" s="2523"/>
      <c r="F23" s="2523"/>
      <c r="G23" s="2524"/>
      <c r="H23" s="2525"/>
      <c r="I23" s="2526">
        <f>ROUND(E23*D23*F23*(1-G23)/10000,0)</f>
        <v>0</v>
      </c>
    </row>
    <row r="26" spans="1:9">
      <c r="A26" s="2527" t="s">
        <v>2517</v>
      </c>
      <c r="B26" s="2527"/>
      <c r="C26" s="2527"/>
      <c r="D26" s="2527"/>
      <c r="E26" s="3476">
        <f>C27-C30-C31-C32</f>
        <v>0</v>
      </c>
      <c r="F26" s="3476"/>
      <c r="G26" s="3476"/>
      <c r="H26" s="3037" t="s">
        <v>2844</v>
      </c>
    </row>
    <row r="27" spans="1:9">
      <c r="A27" s="2528">
        <v>1</v>
      </c>
      <c r="B27" s="2529" t="s">
        <v>2518</v>
      </c>
      <c r="C27" s="2529"/>
      <c r="D27" s="2529"/>
      <c r="E27" s="3477"/>
      <c r="F27" s="3477"/>
      <c r="G27" s="3477"/>
    </row>
    <row r="28" spans="1:9">
      <c r="A28" s="2530" t="s">
        <v>2519</v>
      </c>
      <c r="B28" s="2529" t="s">
        <v>2520</v>
      </c>
      <c r="C28" s="2529"/>
      <c r="D28" s="2529"/>
      <c r="E28" s="3477"/>
      <c r="F28" s="3477"/>
      <c r="G28" s="3477"/>
    </row>
    <row r="29" spans="1:9">
      <c r="A29" s="2530" t="s">
        <v>2521</v>
      </c>
      <c r="B29" s="2529" t="s">
        <v>2462</v>
      </c>
      <c r="C29" s="2529"/>
      <c r="D29" s="2529"/>
      <c r="E29" s="2529" t="s">
        <v>2522</v>
      </c>
      <c r="F29" s="2529"/>
      <c r="G29" s="2529"/>
    </row>
    <row r="30" spans="1:9">
      <c r="A30" s="2528">
        <v>2</v>
      </c>
      <c r="B30" s="2529" t="s">
        <v>2523</v>
      </c>
      <c r="C30" s="2529">
        <f>C27*D30</f>
        <v>0</v>
      </c>
      <c r="D30" s="2531">
        <v>0.2</v>
      </c>
      <c r="E30" s="2529" t="s">
        <v>2524</v>
      </c>
      <c r="F30" s="2529"/>
      <c r="G30" s="2529"/>
    </row>
    <row r="31" spans="1:9">
      <c r="A31" s="2528">
        <v>3</v>
      </c>
      <c r="B31" s="2529" t="s">
        <v>2525</v>
      </c>
      <c r="C31" s="2529">
        <f>C25*D31</f>
        <v>0</v>
      </c>
      <c r="D31" s="2531">
        <v>0.15</v>
      </c>
      <c r="E31" s="2529" t="s">
        <v>2526</v>
      </c>
      <c r="F31" s="2529"/>
      <c r="G31" s="2529"/>
    </row>
    <row r="32" spans="1:9">
      <c r="A32" s="2528">
        <v>4</v>
      </c>
      <c r="B32" s="2529" t="s">
        <v>2527</v>
      </c>
      <c r="C32" s="2529">
        <f>C27*D32</f>
        <v>0</v>
      </c>
      <c r="D32" s="2531">
        <v>0.05</v>
      </c>
      <c r="E32" s="3478"/>
      <c r="F32" s="3478"/>
      <c r="G32" s="3478"/>
    </row>
    <row r="33" spans="1:7" hidden="1">
      <c r="A33" s="3473" t="s">
        <v>2528</v>
      </c>
      <c r="B33" s="3474"/>
      <c r="C33" s="3474"/>
      <c r="D33" s="3475"/>
      <c r="E33" s="3476"/>
      <c r="F33" s="3476"/>
      <c r="G33" s="3476"/>
    </row>
    <row r="34" spans="1:7" hidden="1">
      <c r="A34" s="2532">
        <v>1</v>
      </c>
      <c r="B34" s="2529" t="s">
        <v>2529</v>
      </c>
      <c r="C34" s="2529"/>
      <c r="D34" s="2529"/>
      <c r="E34" s="3477"/>
      <c r="F34" s="3477"/>
      <c r="G34" s="3477"/>
    </row>
    <row r="35" spans="1:7" hidden="1">
      <c r="A35" s="2532">
        <v>2</v>
      </c>
      <c r="B35" s="2529" t="s">
        <v>2530</v>
      </c>
      <c r="C35" s="2529"/>
      <c r="D35" s="2529"/>
      <c r="E35" s="3477"/>
      <c r="F35" s="3477"/>
      <c r="G35" s="3477"/>
    </row>
    <row r="36" spans="1:7" hidden="1">
      <c r="A36" s="2532">
        <v>3</v>
      </c>
      <c r="B36" s="2529" t="s">
        <v>2531</v>
      </c>
      <c r="C36" s="2529"/>
      <c r="D36" s="2529"/>
      <c r="E36" s="3477"/>
      <c r="F36" s="3477"/>
      <c r="G36" s="3477"/>
    </row>
    <row r="37" spans="1:7" hidden="1">
      <c r="A37" s="2532">
        <v>4</v>
      </c>
      <c r="B37" s="2529" t="s">
        <v>2532</v>
      </c>
      <c r="C37" s="2529"/>
      <c r="D37" s="2529"/>
      <c r="E37" s="3477"/>
      <c r="F37" s="3477"/>
      <c r="G37" s="3477"/>
    </row>
    <row r="38" spans="1:7" hidden="1">
      <c r="A38" s="3473" t="s">
        <v>2533</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602</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1685</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603</v>
      </c>
      <c r="C6" s="742" t="s">
        <v>604</v>
      </c>
      <c r="D6" s="742" t="s">
        <v>605</v>
      </c>
      <c r="E6" s="743" t="s">
        <v>606</v>
      </c>
      <c r="F6" s="743" t="s">
        <v>607</v>
      </c>
      <c r="G6" s="744"/>
    </row>
    <row r="7" spans="1:25" s="2180" customFormat="1" ht="13.5" customHeight="1">
      <c r="A7" s="2466">
        <v>1</v>
      </c>
      <c r="B7" s="745" t="s">
        <v>608</v>
      </c>
      <c r="C7" s="746">
        <f>C8+C9</f>
        <v>0</v>
      </c>
      <c r="D7" s="746"/>
      <c r="E7" s="747"/>
      <c r="F7" s="747"/>
      <c r="G7" s="2476"/>
    </row>
    <row r="8" spans="1:25" s="2180" customFormat="1" ht="13.5" customHeight="1">
      <c r="A8" s="2466" t="s">
        <v>2442</v>
      </c>
      <c r="B8" s="2469" t="s">
        <v>2444</v>
      </c>
      <c r="C8" s="2470"/>
      <c r="D8" s="746"/>
      <c r="E8" s="747"/>
      <c r="F8" s="747"/>
      <c r="G8" s="748"/>
    </row>
    <row r="9" spans="1:25" s="2180" customFormat="1" ht="13.5" customHeight="1">
      <c r="A9" s="2466" t="s">
        <v>2443</v>
      </c>
      <c r="B9" s="2469" t="s">
        <v>2445</v>
      </c>
      <c r="C9" s="2470"/>
      <c r="D9" s="746"/>
      <c r="E9" s="747"/>
      <c r="F9" s="747"/>
      <c r="G9" s="748"/>
    </row>
    <row r="10" spans="1:25" s="2180" customFormat="1" ht="36">
      <c r="A10" s="2466">
        <v>2</v>
      </c>
      <c r="B10" s="745" t="s">
        <v>612</v>
      </c>
      <c r="C10" s="746">
        <f>C11+C14+C15</f>
        <v>0</v>
      </c>
      <c r="D10" s="757">
        <f>'数据-汇总表'!E3</f>
        <v>317024.16000000015</v>
      </c>
      <c r="E10" s="746">
        <f>'数据-取费表'!B31</f>
        <v>170</v>
      </c>
      <c r="F10" s="758"/>
      <c r="G10" s="756" t="s">
        <v>613</v>
      </c>
    </row>
    <row r="11" spans="1:25" s="2180" customFormat="1" ht="13.5" customHeight="1">
      <c r="A11" s="2466" t="s">
        <v>2442</v>
      </c>
      <c r="B11" s="749" t="s">
        <v>609</v>
      </c>
      <c r="C11" s="750">
        <f>'数据-取费表'!B29</f>
        <v>0</v>
      </c>
      <c r="D11" s="751"/>
      <c r="E11" s="750"/>
      <c r="F11" s="752"/>
      <c r="G11" s="2475" t="s">
        <v>2453</v>
      </c>
    </row>
    <row r="12" spans="1:25" s="2180" customFormat="1" ht="13.5" customHeight="1">
      <c r="A12" s="2473" t="s">
        <v>2450</v>
      </c>
      <c r="B12" s="753" t="s">
        <v>610</v>
      </c>
      <c r="C12" s="754">
        <f>ROUND(D12*E12/10000,0)</f>
        <v>2364</v>
      </c>
      <c r="D12" s="755">
        <f>'数据-汇总表'!E5</f>
        <v>147724.00000000003</v>
      </c>
      <c r="E12" s="754">
        <f>'数据-取费表'!B27</f>
        <v>160</v>
      </c>
      <c r="F12" s="752"/>
      <c r="G12" s="756"/>
    </row>
    <row r="13" spans="1:25" s="2180" customFormat="1" ht="13.5" customHeight="1">
      <c r="A13" s="2473" t="s">
        <v>2449</v>
      </c>
      <c r="B13" s="753" t="s">
        <v>611</v>
      </c>
      <c r="C13" s="754">
        <f>ROUND(D13*E13/10000,0)</f>
        <v>3386</v>
      </c>
      <c r="D13" s="755">
        <f>'数据-汇总表'!E6</f>
        <v>169300.16000000012</v>
      </c>
      <c r="E13" s="754">
        <f>'数据-取费表'!B28</f>
        <v>200</v>
      </c>
      <c r="F13" s="752"/>
      <c r="G13" s="756"/>
    </row>
    <row r="14" spans="1:25" s="2180" customFormat="1" ht="13.5" customHeight="1">
      <c r="A14" s="2466" t="s">
        <v>2443</v>
      </c>
      <c r="B14" s="2472" t="s">
        <v>2446</v>
      </c>
      <c r="C14" s="2470"/>
      <c r="D14" s="755"/>
      <c r="E14" s="754"/>
      <c r="F14" s="2471"/>
      <c r="G14" s="2474" t="s">
        <v>2451</v>
      </c>
    </row>
    <row r="15" spans="1:25" s="2180" customFormat="1" ht="13.5" customHeight="1">
      <c r="A15" s="2466" t="s">
        <v>2448</v>
      </c>
      <c r="B15" s="2472" t="s">
        <v>2447</v>
      </c>
      <c r="C15" s="2470"/>
      <c r="D15" s="755"/>
      <c r="E15" s="754"/>
      <c r="F15" s="2471"/>
      <c r="G15" s="2474" t="s">
        <v>2452</v>
      </c>
    </row>
    <row r="16" spans="1:25" s="2181" customFormat="1" ht="48">
      <c r="A16" s="2466">
        <v>3</v>
      </c>
      <c r="B16" s="745" t="s">
        <v>614</v>
      </c>
      <c r="C16" s="2470"/>
      <c r="D16" s="757"/>
      <c r="E16" s="746"/>
      <c r="F16" s="758"/>
      <c r="G16" s="756"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5" t="s">
        <v>615</v>
      </c>
      <c r="C17" s="257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5" t="s">
        <v>616</v>
      </c>
      <c r="C18" s="746">
        <f>ROUND((C7+C10+C16)*F18,0)</f>
        <v>0</v>
      </c>
      <c r="D18" s="759"/>
      <c r="E18" s="760"/>
      <c r="F18" s="758">
        <f>'数据-取费表'!Q16</f>
        <v>0.1</v>
      </c>
      <c r="G18" s="762"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5" t="s">
        <v>618</v>
      </c>
      <c r="C19" s="746">
        <f ca="1">C7+C10+C16+C17+C18</f>
        <v>0</v>
      </c>
      <c r="D19" s="757"/>
      <c r="E19" s="746"/>
      <c r="F19" s="758"/>
      <c r="G19" s="762"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5" t="s">
        <v>620</v>
      </c>
      <c r="C20" s="746">
        <f ca="1">ROUND(C19*F20,0)</f>
        <v>0</v>
      </c>
      <c r="D20" s="757"/>
      <c r="E20" s="746"/>
      <c r="F20" s="1346"/>
      <c r="G20" s="762"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5" t="s">
        <v>622</v>
      </c>
      <c r="C21" s="746">
        <f ca="1">C19+C20</f>
        <v>0</v>
      </c>
      <c r="D21" s="757"/>
      <c r="E21" s="746"/>
      <c r="F21" s="758"/>
      <c r="G21" s="762"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5" t="s">
        <v>624</v>
      </c>
      <c r="C22" s="746">
        <f ca="1">ROUND(C21*F22,0)</f>
        <v>0</v>
      </c>
      <c r="D22" s="757"/>
      <c r="E22" s="746"/>
      <c r="F22" s="763">
        <f>'数据-取费表'!AP16</f>
        <v>0.91200000000000003</v>
      </c>
      <c r="G22" s="762"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4" t="s">
        <v>626</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2620" t="s">
        <v>718</v>
      </c>
      <c r="C1" s="2621" t="s">
        <v>719</v>
      </c>
      <c r="D1" s="2622"/>
      <c r="E1" s="262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19"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518</v>
      </c>
      <c r="B3" s="848" t="e">
        <f>C49</f>
        <v>#DIV/0!</v>
      </c>
      <c r="C3" s="849" t="s">
        <v>721</v>
      </c>
      <c r="D3" s="848">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520</v>
      </c>
      <c r="B4" s="510"/>
      <c r="C4" s="3398" t="s">
        <v>521</v>
      </c>
      <c r="D4" s="3399"/>
      <c r="E4" s="3424" t="s">
        <v>522</v>
      </c>
      <c r="F4" s="3425"/>
      <c r="G4" s="3398" t="s">
        <v>523</v>
      </c>
      <c r="H4" s="3399"/>
      <c r="I4" s="3398" t="s">
        <v>524</v>
      </c>
      <c r="J4" s="3399"/>
      <c r="K4" s="850" t="s">
        <v>525</v>
      </c>
      <c r="L4" s="2130"/>
      <c r="M4" s="2131"/>
      <c r="N4" s="2131"/>
      <c r="O4" s="2131"/>
      <c r="P4" s="3400" t="s">
        <v>526</v>
      </c>
      <c r="Q4" s="3401"/>
      <c r="R4" s="3386" t="s">
        <v>522</v>
      </c>
      <c r="S4" s="3387"/>
      <c r="T4" s="3386" t="s">
        <v>523</v>
      </c>
      <c r="U4" s="3387"/>
      <c r="V4" s="3406" t="s">
        <v>524</v>
      </c>
      <c r="W4" s="3406"/>
      <c r="X4" s="1563"/>
      <c r="Y4" s="3386" t="s">
        <v>526</v>
      </c>
      <c r="Z4" s="3387"/>
      <c r="AA4" s="3381" t="s">
        <v>522</v>
      </c>
      <c r="AB4" s="3381" t="s">
        <v>523</v>
      </c>
      <c r="AC4" s="3381" t="s">
        <v>524</v>
      </c>
    </row>
    <row r="5" spans="1:29" ht="15">
      <c r="A5" s="512"/>
      <c r="B5" s="513"/>
      <c r="C5" s="3409" t="s">
        <v>2927</v>
      </c>
      <c r="D5" s="3410"/>
      <c r="E5" s="3426" t="s">
        <v>2928</v>
      </c>
      <c r="F5" s="3427"/>
      <c r="G5" s="3409" t="s">
        <v>2929</v>
      </c>
      <c r="H5" s="3410"/>
      <c r="I5" s="3409" t="s">
        <v>2930</v>
      </c>
      <c r="J5" s="3410"/>
      <c r="K5" s="851"/>
      <c r="L5" s="2130"/>
      <c r="M5" s="2131"/>
      <c r="N5" s="2131"/>
      <c r="O5" s="2131"/>
      <c r="P5" s="3402"/>
      <c r="Q5" s="3403"/>
      <c r="R5" s="3388"/>
      <c r="S5" s="3389"/>
      <c r="T5" s="3388"/>
      <c r="U5" s="3389"/>
      <c r="V5" s="3406"/>
      <c r="W5" s="3406"/>
      <c r="X5" s="1563"/>
      <c r="Y5" s="3388"/>
      <c r="Z5" s="3389"/>
      <c r="AA5" s="3382"/>
      <c r="AB5" s="3382"/>
      <c r="AC5" s="3382"/>
    </row>
    <row r="6" spans="1:29" ht="15.75" thickBot="1">
      <c r="A6" s="514"/>
      <c r="B6" s="515"/>
      <c r="C6" s="3428" t="s">
        <v>2931</v>
      </c>
      <c r="D6" s="3408"/>
      <c r="E6" s="3429" t="s">
        <v>2931</v>
      </c>
      <c r="F6" s="3430"/>
      <c r="G6" s="3428" t="s">
        <v>2931</v>
      </c>
      <c r="H6" s="3408"/>
      <c r="I6" s="3428" t="s">
        <v>2931</v>
      </c>
      <c r="J6" s="3408"/>
      <c r="K6" s="851" t="s">
        <v>527</v>
      </c>
      <c r="L6" s="2130"/>
      <c r="M6" s="2131"/>
      <c r="N6" s="2131"/>
      <c r="O6" s="2131"/>
      <c r="P6" s="3404"/>
      <c r="Q6" s="3405"/>
      <c r="R6" s="3388"/>
      <c r="S6" s="3389"/>
      <c r="T6" s="3390"/>
      <c r="U6" s="3391"/>
      <c r="V6" s="3406"/>
      <c r="W6" s="3406"/>
      <c r="X6" s="1563"/>
      <c r="Y6" s="3390"/>
      <c r="Z6" s="3391"/>
      <c r="AA6" s="3383"/>
      <c r="AB6" s="3383"/>
      <c r="AC6" s="3383"/>
    </row>
    <row r="7" spans="1:29" s="1217" customFormat="1" ht="15.75" thickBot="1">
      <c r="A7" s="2908"/>
      <c r="B7" s="2915" t="s">
        <v>528</v>
      </c>
      <c r="C7" s="516">
        <f>'数据-取费表'!B2</f>
        <v>43403</v>
      </c>
      <c r="D7" s="517">
        <v>100</v>
      </c>
      <c r="E7" s="518"/>
      <c r="F7" s="519">
        <f>SUMIF(58:58,YEAR(E7)&amp;"-"&amp;MONTH(E7),59:59)</f>
        <v>0</v>
      </c>
      <c r="G7" s="520"/>
      <c r="H7" s="517">
        <f>SUMIF(58:58,YEAR(G7)&amp;"-"&amp;MONTH(G7),59:59)</f>
        <v>0</v>
      </c>
      <c r="I7" s="520"/>
      <c r="J7" s="517">
        <f>SUMIF(58:58,YEAR(I7)&amp;"-"&amp;MONTH(I7),59:59)</f>
        <v>0</v>
      </c>
      <c r="K7" s="852"/>
      <c r="L7" s="2132"/>
      <c r="M7" s="2133"/>
      <c r="N7" s="2133"/>
      <c r="O7" s="2133"/>
      <c r="P7" s="3384" t="s">
        <v>529</v>
      </c>
      <c r="Q7" s="3393"/>
      <c r="R7" s="1564" t="s">
        <v>13</v>
      </c>
      <c r="S7" s="1565">
        <f t="shared" ref="S7:S15" si="0">F7</f>
        <v>0</v>
      </c>
      <c r="T7" s="1564" t="s">
        <v>13</v>
      </c>
      <c r="U7" s="1565">
        <f t="shared" ref="U7:U15" si="1">H7</f>
        <v>0</v>
      </c>
      <c r="V7" s="1564" t="s">
        <v>13</v>
      </c>
      <c r="W7" s="1565">
        <f t="shared" ref="W7:W15" si="2">J7</f>
        <v>0</v>
      </c>
      <c r="X7" s="1566"/>
      <c r="Y7" s="3384" t="s">
        <v>529</v>
      </c>
      <c r="Z7" s="3385"/>
      <c r="AA7" s="1567" t="e">
        <f>D7/F7</f>
        <v>#DIV/0!</v>
      </c>
      <c r="AB7" s="1567" t="e">
        <f>D7/H7</f>
        <v>#DIV/0!</v>
      </c>
      <c r="AC7" s="1567" t="e">
        <f>D7/J7</f>
        <v>#DIV/0!</v>
      </c>
    </row>
    <row r="8" spans="1:29" s="1217" customFormat="1" ht="15.75" thickBot="1">
      <c r="A8" s="2909"/>
      <c r="B8" s="2916" t="s">
        <v>530</v>
      </c>
      <c r="C8" s="522" t="s">
        <v>575</v>
      </c>
      <c r="D8" s="517">
        <v>100</v>
      </c>
      <c r="E8" s="853"/>
      <c r="F8" s="519">
        <f>SUMIF(61:61,E8,62:62)-SUMIF(61:61,C8,62:62)+100</f>
        <v>0</v>
      </c>
      <c r="G8" s="522"/>
      <c r="H8" s="517">
        <f>SUMIF(61:61,G8,62:62)-SUMIF(61:61,C8,62:62)+100</f>
        <v>0</v>
      </c>
      <c r="I8" s="853"/>
      <c r="J8" s="517">
        <f>SUMIF(61:61,I8,62:62)-SUMIF(61:61,C8,62:62)+100</f>
        <v>0</v>
      </c>
      <c r="K8" s="852"/>
      <c r="L8" s="2132"/>
      <c r="M8" s="2133"/>
      <c r="N8" s="2133"/>
      <c r="O8" s="2133"/>
      <c r="P8" s="3384" t="s">
        <v>532</v>
      </c>
      <c r="Q8" s="3385"/>
      <c r="R8" s="1564" t="s">
        <v>13</v>
      </c>
      <c r="S8" s="1565">
        <f t="shared" si="0"/>
        <v>0</v>
      </c>
      <c r="T8" s="1564" t="s">
        <v>13</v>
      </c>
      <c r="U8" s="1565">
        <f t="shared" si="1"/>
        <v>0</v>
      </c>
      <c r="V8" s="1564" t="s">
        <v>13</v>
      </c>
      <c r="W8" s="1565">
        <f t="shared" si="2"/>
        <v>0</v>
      </c>
      <c r="X8" s="1566"/>
      <c r="Y8" s="3384" t="s">
        <v>532</v>
      </c>
      <c r="Z8" s="3385"/>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5"/>
      <c r="F9" s="856">
        <f>SUMIF(63:63,E9,64:64)-SUMIF(63:63,C9,64:64)+100</f>
        <v>100</v>
      </c>
      <c r="G9" s="857"/>
      <c r="H9" s="251">
        <f>SUMIF(63:63,G9,64:64)-SUMIF(63:63,C9,64:64)+100</f>
        <v>100</v>
      </c>
      <c r="I9" s="857"/>
      <c r="J9" s="251">
        <f>SUMIF(63:63,I9,64:64)-SUMIF(63:63,C9,64:64)+100</f>
        <v>100</v>
      </c>
      <c r="K9" s="852"/>
      <c r="L9" s="2132"/>
      <c r="M9" s="2133"/>
      <c r="N9" s="2133"/>
      <c r="O9" s="2134"/>
      <c r="P9" s="3392" t="s">
        <v>534</v>
      </c>
      <c r="Q9" s="1148" t="str">
        <f t="shared" ref="Q9:Q15" si="6">B9</f>
        <v>用途</v>
      </c>
      <c r="R9" s="1564" t="s">
        <v>8</v>
      </c>
      <c r="S9" s="1565">
        <f t="shared" si="0"/>
        <v>100</v>
      </c>
      <c r="T9" s="1564" t="s">
        <v>8</v>
      </c>
      <c r="U9" s="1565">
        <f t="shared" si="1"/>
        <v>100</v>
      </c>
      <c r="V9" s="1564" t="s">
        <v>8</v>
      </c>
      <c r="W9" s="1565">
        <f t="shared" si="2"/>
        <v>100</v>
      </c>
      <c r="X9" s="1566"/>
      <c r="Y9" s="3349"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9"/>
      <c r="F10" s="860">
        <f>SUMIF(65:65,E10,66:66)-SUMIF(65:65,C10,66:66)+100</f>
        <v>100</v>
      </c>
      <c r="G10" s="858"/>
      <c r="H10" s="252">
        <f>SUMIF(65:65,G10,66:66)-SUMIF(65:65,C10,66:66)+100</f>
        <v>100</v>
      </c>
      <c r="I10" s="858"/>
      <c r="J10" s="252">
        <f>SUMIF(65:65,I10,66:66)-SUMIF(65:65,C10,66:66)+100</f>
        <v>100</v>
      </c>
      <c r="K10" s="861"/>
      <c r="L10" s="2135"/>
      <c r="M10" s="2175"/>
      <c r="N10" s="2175"/>
      <c r="O10" s="2136"/>
      <c r="P10" s="3392"/>
      <c r="Q10" s="1148" t="str">
        <f t="shared" si="6"/>
        <v>土地使用年限（年）</v>
      </c>
      <c r="R10" s="1564" t="s">
        <v>8</v>
      </c>
      <c r="S10" s="1565">
        <f t="shared" si="0"/>
        <v>100</v>
      </c>
      <c r="T10" s="1564" t="s">
        <v>8</v>
      </c>
      <c r="U10" s="1565">
        <f t="shared" si="1"/>
        <v>100</v>
      </c>
      <c r="V10" s="1564" t="s">
        <v>8</v>
      </c>
      <c r="W10" s="1565">
        <f t="shared" si="2"/>
        <v>100</v>
      </c>
      <c r="X10" s="1566"/>
      <c r="Y10" s="3349"/>
      <c r="Z10" s="1147" t="str">
        <f t="shared" si="7"/>
        <v>土地使用年限（年）</v>
      </c>
      <c r="AA10" s="1567">
        <f t="shared" si="3"/>
        <v>1</v>
      </c>
      <c r="AB10" s="1567">
        <f t="shared" si="4"/>
        <v>1</v>
      </c>
      <c r="AC10" s="1567">
        <f t="shared" si="5"/>
        <v>1</v>
      </c>
    </row>
    <row r="11" spans="1:29" ht="15">
      <c r="A11" s="2912"/>
      <c r="B11" s="2916" t="s">
        <v>2759</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7"/>
      <c r="M11" s="2131"/>
      <c r="N11" s="2131"/>
      <c r="O11" s="2138"/>
      <c r="P11" s="3392"/>
      <c r="Q11" s="1148" t="str">
        <f t="shared" si="6"/>
        <v>容积率</v>
      </c>
      <c r="R11" s="1564" t="s">
        <v>11</v>
      </c>
      <c r="S11" s="1565" t="e">
        <f t="shared" si="0"/>
        <v>#N/A</v>
      </c>
      <c r="T11" s="1564" t="s">
        <v>11</v>
      </c>
      <c r="U11" s="1565" t="e">
        <f t="shared" si="1"/>
        <v>#N/A</v>
      </c>
      <c r="V11" s="1564" t="s">
        <v>11</v>
      </c>
      <c r="W11" s="1565" t="e">
        <f t="shared" si="2"/>
        <v>#N/A</v>
      </c>
      <c r="X11" s="1566"/>
      <c r="Y11" s="3349"/>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392"/>
      <c r="Q12" s="1148">
        <f t="shared" si="6"/>
        <v>111</v>
      </c>
      <c r="R12" s="1564" t="s">
        <v>11</v>
      </c>
      <c r="S12" s="1565">
        <f t="shared" si="0"/>
        <v>100</v>
      </c>
      <c r="T12" s="1564" t="s">
        <v>11</v>
      </c>
      <c r="U12" s="1565">
        <f t="shared" si="1"/>
        <v>100</v>
      </c>
      <c r="V12" s="1564" t="s">
        <v>11</v>
      </c>
      <c r="W12" s="1565">
        <f t="shared" si="2"/>
        <v>100</v>
      </c>
      <c r="X12" s="1566"/>
      <c r="Y12" s="3349"/>
      <c r="Z12" s="1147">
        <f t="shared" si="7"/>
        <v>111</v>
      </c>
      <c r="AA12" s="1567">
        <f>D12/F12</f>
        <v>1</v>
      </c>
      <c r="AB12" s="1567">
        <f>D12/H12</f>
        <v>1</v>
      </c>
      <c r="AC12" s="1567">
        <f>D12/J12</f>
        <v>1</v>
      </c>
    </row>
    <row r="13" spans="1:29" ht="15">
      <c r="A13" s="2913"/>
      <c r="B13" s="2919">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392"/>
      <c r="Q13" s="1148">
        <f t="shared" si="6"/>
        <v>111</v>
      </c>
      <c r="R13" s="1564" t="s">
        <v>11</v>
      </c>
      <c r="S13" s="1565">
        <f t="shared" si="0"/>
        <v>100</v>
      </c>
      <c r="T13" s="1564" t="s">
        <v>11</v>
      </c>
      <c r="U13" s="1565">
        <f t="shared" si="1"/>
        <v>100</v>
      </c>
      <c r="V13" s="1564" t="s">
        <v>11</v>
      </c>
      <c r="W13" s="1565">
        <f t="shared" si="2"/>
        <v>100</v>
      </c>
      <c r="X13" s="1566"/>
      <c r="Y13" s="3349"/>
      <c r="Z13" s="1147">
        <f t="shared" si="7"/>
        <v>111</v>
      </c>
      <c r="AA13" s="1567">
        <f t="shared" si="3"/>
        <v>1</v>
      </c>
      <c r="AB13" s="1567">
        <f t="shared" si="4"/>
        <v>1</v>
      </c>
      <c r="AC13" s="1567">
        <f t="shared" si="5"/>
        <v>1</v>
      </c>
    </row>
    <row r="14" spans="1:29" ht="15.75" thickBot="1">
      <c r="A14" s="2914"/>
      <c r="B14" s="2920">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392"/>
      <c r="Q14" s="1148">
        <f t="shared" si="6"/>
        <v>111</v>
      </c>
      <c r="R14" s="1564" t="s">
        <v>11</v>
      </c>
      <c r="S14" s="1565">
        <f t="shared" si="0"/>
        <v>100</v>
      </c>
      <c r="T14" s="1564" t="s">
        <v>11</v>
      </c>
      <c r="U14" s="1565">
        <f t="shared" si="1"/>
        <v>100</v>
      </c>
      <c r="V14" s="1564" t="s">
        <v>11</v>
      </c>
      <c r="W14" s="1565">
        <f t="shared" si="2"/>
        <v>100</v>
      </c>
      <c r="X14" s="1566"/>
      <c r="Y14" s="3349"/>
      <c r="Z14" s="1147">
        <f t="shared" si="7"/>
        <v>111</v>
      </c>
      <c r="AA14" s="1567">
        <f t="shared" si="3"/>
        <v>1</v>
      </c>
      <c r="AB14" s="1567">
        <f t="shared" si="4"/>
        <v>1</v>
      </c>
      <c r="AC14" s="1567">
        <f t="shared" si="5"/>
        <v>1</v>
      </c>
    </row>
    <row r="15" spans="1:29" ht="85.5">
      <c r="A15" s="2906" t="s">
        <v>2755</v>
      </c>
      <c r="B15" s="165" t="s">
        <v>294</v>
      </c>
      <c r="C15" s="864" t="str">
        <f>估价对象房地状况!C3</f>
        <v>估价对象周边1公里内仅有龙湖滟澜山、优山美地D区等，综合评价居住社区成熟度较好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c r="L15" s="2139"/>
      <c r="M15" s="2131"/>
      <c r="N15" s="2131"/>
      <c r="O15" s="2138"/>
      <c r="P15" s="3394" t="s">
        <v>539</v>
      </c>
      <c r="Q15" s="1568" t="str">
        <f t="shared" si="6"/>
        <v>居住社区成熟度</v>
      </c>
      <c r="R15" s="1569" t="s">
        <v>11</v>
      </c>
      <c r="S15" s="1570">
        <f t="shared" si="0"/>
        <v>100</v>
      </c>
      <c r="T15" s="1569" t="s">
        <v>11</v>
      </c>
      <c r="U15" s="1570">
        <f t="shared" si="1"/>
        <v>100</v>
      </c>
      <c r="V15" s="1569" t="s">
        <v>11</v>
      </c>
      <c r="W15" s="1570">
        <f t="shared" si="2"/>
        <v>100</v>
      </c>
      <c r="X15" s="1563"/>
      <c r="Y15" s="3394" t="s">
        <v>539</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9"/>
      <c r="M16" s="2131"/>
      <c r="N16" s="2131"/>
      <c r="O16" s="2138"/>
      <c r="P16" s="3395"/>
      <c r="Q16" s="1568"/>
      <c r="R16" s="1569"/>
      <c r="S16" s="1570"/>
      <c r="T16" s="1569"/>
      <c r="U16" s="1570"/>
      <c r="V16" s="1569"/>
      <c r="W16" s="1570"/>
      <c r="X16" s="1563"/>
      <c r="Y16" s="3395"/>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9"/>
      <c r="M17" s="2131"/>
      <c r="N17" s="2131"/>
      <c r="O17" s="2138"/>
      <c r="P17" s="3395"/>
      <c r="Q17" s="1568" t="str">
        <f>B17</f>
        <v>交通便捷度</v>
      </c>
      <c r="R17" s="1569" t="s">
        <v>11</v>
      </c>
      <c r="S17" s="1570">
        <f>F17</f>
        <v>100</v>
      </c>
      <c r="T17" s="1569" t="s">
        <v>11</v>
      </c>
      <c r="U17" s="1570">
        <f>H17</f>
        <v>100</v>
      </c>
      <c r="V17" s="1569" t="s">
        <v>11</v>
      </c>
      <c r="W17" s="1570">
        <f>J17</f>
        <v>100</v>
      </c>
      <c r="X17" s="1563"/>
      <c r="Y17" s="339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9"/>
      <c r="M18" s="2131"/>
      <c r="N18" s="2131"/>
      <c r="O18" s="2138"/>
      <c r="P18" s="3395"/>
      <c r="Q18" s="1568"/>
      <c r="R18" s="1569"/>
      <c r="S18" s="1570"/>
      <c r="T18" s="1569"/>
      <c r="U18" s="1570"/>
      <c r="V18" s="1569"/>
      <c r="W18" s="1570"/>
      <c r="X18" s="1563"/>
      <c r="Y18" s="3395"/>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65"/>
      <c r="L19" s="2139"/>
      <c r="M19" s="2131"/>
      <c r="N19" s="2131"/>
      <c r="O19" s="2138"/>
      <c r="P19" s="3395"/>
      <c r="Q19" s="1568" t="str">
        <f>B19</f>
        <v>公共配套设施</v>
      </c>
      <c r="R19" s="1569" t="s">
        <v>11</v>
      </c>
      <c r="S19" s="1570">
        <f>F19</f>
        <v>100</v>
      </c>
      <c r="T19" s="1569" t="s">
        <v>11</v>
      </c>
      <c r="U19" s="1570">
        <f>H19</f>
        <v>100</v>
      </c>
      <c r="V19" s="1569" t="s">
        <v>11</v>
      </c>
      <c r="W19" s="1570">
        <f>J19</f>
        <v>100</v>
      </c>
      <c r="X19" s="1563"/>
      <c r="Y19" s="3395"/>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9"/>
      <c r="M20" s="2131"/>
      <c r="N20" s="2131"/>
      <c r="O20" s="2138"/>
      <c r="P20" s="3395"/>
      <c r="Q20" s="1568"/>
      <c r="R20" s="1569"/>
      <c r="S20" s="1570"/>
      <c r="T20" s="1569"/>
      <c r="U20" s="1570"/>
      <c r="V20" s="1569"/>
      <c r="W20" s="1570"/>
      <c r="X20" s="1563"/>
      <c r="Y20" s="3395"/>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65"/>
      <c r="L21" s="2139"/>
      <c r="M21" s="2131"/>
      <c r="N21" s="2131"/>
      <c r="O21" s="2138"/>
      <c r="P21" s="3395"/>
      <c r="Q21" s="2576" t="str">
        <f>B21</f>
        <v>基础设施水平</v>
      </c>
      <c r="R21" s="1569" t="s">
        <v>11</v>
      </c>
      <c r="S21" s="1570">
        <f>F21</f>
        <v>100</v>
      </c>
      <c r="T21" s="1569" t="s">
        <v>11</v>
      </c>
      <c r="U21" s="1570">
        <f>H21</f>
        <v>100</v>
      </c>
      <c r="V21" s="1569" t="s">
        <v>11</v>
      </c>
      <c r="W21" s="1570">
        <f>J21</f>
        <v>100</v>
      </c>
      <c r="X21" s="2578"/>
      <c r="Y21" s="3395"/>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6"/>
      <c r="L22" s="2139"/>
      <c r="M22" s="2131"/>
      <c r="N22" s="2131"/>
      <c r="O22" s="2138"/>
      <c r="P22" s="3395"/>
      <c r="Q22" s="2576"/>
      <c r="R22" s="1569"/>
      <c r="S22" s="1570"/>
      <c r="T22" s="1569"/>
      <c r="U22" s="1570"/>
      <c r="V22" s="1569"/>
      <c r="W22" s="1570"/>
      <c r="X22" s="2578"/>
      <c r="Y22" s="3395"/>
      <c r="Z22" s="2577"/>
      <c r="AA22" s="1572">
        <v>1</v>
      </c>
      <c r="AB22" s="1572">
        <v>1</v>
      </c>
      <c r="AC22" s="1572">
        <v>1</v>
      </c>
    </row>
    <row r="23" spans="1:29" ht="85.5">
      <c r="A23" s="529"/>
      <c r="B23" s="868" t="s">
        <v>296</v>
      </c>
      <c r="C23" s="869"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65"/>
      <c r="L23" s="2139"/>
      <c r="M23" s="2131"/>
      <c r="N23" s="2131"/>
      <c r="O23" s="2138"/>
      <c r="P23" s="3395"/>
      <c r="Q23" s="1568" t="str">
        <f>B23</f>
        <v>自然及人文环境</v>
      </c>
      <c r="R23" s="1569" t="s">
        <v>11</v>
      </c>
      <c r="S23" s="1570">
        <f>F23</f>
        <v>100</v>
      </c>
      <c r="T23" s="1569" t="s">
        <v>11</v>
      </c>
      <c r="U23" s="1570">
        <f>H23</f>
        <v>100</v>
      </c>
      <c r="V23" s="1569" t="s">
        <v>11</v>
      </c>
      <c r="W23" s="1570">
        <f>J23</f>
        <v>100</v>
      </c>
      <c r="X23" s="1563"/>
      <c r="Y23" s="3395"/>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9"/>
      <c r="M24" s="2131"/>
      <c r="N24" s="2131"/>
      <c r="O24" s="2138"/>
      <c r="P24" s="3395"/>
      <c r="Q24" s="1568"/>
      <c r="R24" s="1569"/>
      <c r="S24" s="1570"/>
      <c r="T24" s="1569"/>
      <c r="U24" s="1570"/>
      <c r="V24" s="1569"/>
      <c r="W24" s="1570"/>
      <c r="X24" s="1563"/>
      <c r="Y24" s="3395"/>
      <c r="Z24" s="1571"/>
      <c r="AA24" s="1572">
        <v>1</v>
      </c>
      <c r="AB24" s="1572">
        <v>1</v>
      </c>
      <c r="AC24" s="1572">
        <v>1</v>
      </c>
    </row>
    <row r="25" spans="1:29" ht="15">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395"/>
      <c r="Q25" s="1568" t="str">
        <f t="shared" ref="Q25:Q46" si="11">B25</f>
        <v>楼层-1</v>
      </c>
      <c r="R25" s="1569" t="s">
        <v>11</v>
      </c>
      <c r="S25" s="1570">
        <f>F25</f>
        <v>100</v>
      </c>
      <c r="T25" s="1569" t="s">
        <v>11</v>
      </c>
      <c r="U25" s="1570">
        <f>H25</f>
        <v>100</v>
      </c>
      <c r="V25" s="1569" t="s">
        <v>11</v>
      </c>
      <c r="W25" s="1570">
        <f>J25</f>
        <v>100</v>
      </c>
      <c r="X25" s="1563"/>
      <c r="Y25" s="3395"/>
      <c r="Z25" s="1571" t="str">
        <f>Q25</f>
        <v>楼层-1</v>
      </c>
      <c r="AA25" s="1572">
        <f t="shared" si="3"/>
        <v>1</v>
      </c>
      <c r="AB25" s="1572">
        <f t="shared" si="4"/>
        <v>1</v>
      </c>
      <c r="AC25" s="1572">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395"/>
      <c r="Q26" s="1568" t="str">
        <f t="shared" si="11"/>
        <v>朝向</v>
      </c>
      <c r="R26" s="1569" t="s">
        <v>11</v>
      </c>
      <c r="S26" s="1570">
        <f>F26</f>
        <v>100</v>
      </c>
      <c r="T26" s="1569" t="s">
        <v>11</v>
      </c>
      <c r="U26" s="1570">
        <f>H26</f>
        <v>100</v>
      </c>
      <c r="V26" s="1569" t="s">
        <v>11</v>
      </c>
      <c r="W26" s="1570">
        <f>J26</f>
        <v>100</v>
      </c>
      <c r="X26" s="1563"/>
      <c r="Y26" s="3395"/>
      <c r="Z26" s="1571" t="str">
        <f>Q26</f>
        <v>朝向</v>
      </c>
      <c r="AA26" s="1572">
        <f t="shared" si="3"/>
        <v>1</v>
      </c>
      <c r="AB26" s="1572">
        <f t="shared" si="4"/>
        <v>1</v>
      </c>
      <c r="AC26" s="1572">
        <f t="shared" si="5"/>
        <v>1</v>
      </c>
    </row>
    <row r="27" spans="1:29" s="1217"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395"/>
      <c r="Q27" s="1148" t="str">
        <f t="shared" si="11"/>
        <v>道路级别</v>
      </c>
      <c r="R27" s="1564" t="s">
        <v>11</v>
      </c>
      <c r="S27" s="1565">
        <f>F27</f>
        <v>100</v>
      </c>
      <c r="T27" s="1564" t="s">
        <v>11</v>
      </c>
      <c r="U27" s="1565">
        <f>H27</f>
        <v>100</v>
      </c>
      <c r="V27" s="1564" t="s">
        <v>11</v>
      </c>
      <c r="W27" s="1565">
        <f>J27</f>
        <v>100</v>
      </c>
      <c r="X27" s="1566"/>
      <c r="Y27" s="3395"/>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395"/>
      <c r="Q28" s="1568">
        <f t="shared" si="11"/>
        <v>111</v>
      </c>
      <c r="R28" s="1569" t="s">
        <v>11</v>
      </c>
      <c r="S28" s="1570">
        <f t="shared" ref="S28:S46" si="12">F28</f>
        <v>100</v>
      </c>
      <c r="T28" s="1569" t="s">
        <v>11</v>
      </c>
      <c r="U28" s="1570">
        <f t="shared" ref="U28:U46" si="13">H28</f>
        <v>100</v>
      </c>
      <c r="V28" s="1569" t="s">
        <v>11</v>
      </c>
      <c r="W28" s="1570">
        <f t="shared" ref="W28:W46" si="14">J28</f>
        <v>100</v>
      </c>
      <c r="X28" s="1563"/>
      <c r="Y28" s="3395"/>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395"/>
      <c r="Q29" s="1568">
        <f t="shared" si="11"/>
        <v>111</v>
      </c>
      <c r="R29" s="1569" t="s">
        <v>11</v>
      </c>
      <c r="S29" s="1570">
        <f t="shared" si="12"/>
        <v>100</v>
      </c>
      <c r="T29" s="1569" t="s">
        <v>11</v>
      </c>
      <c r="U29" s="1570">
        <f t="shared" si="13"/>
        <v>100</v>
      </c>
      <c r="V29" s="1569" t="s">
        <v>11</v>
      </c>
      <c r="W29" s="1570">
        <f t="shared" si="14"/>
        <v>100</v>
      </c>
      <c r="X29" s="1563"/>
      <c r="Y29" s="3395"/>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395"/>
      <c r="Q30" s="1568">
        <f t="shared" si="11"/>
        <v>111</v>
      </c>
      <c r="R30" s="1569" t="s">
        <v>11</v>
      </c>
      <c r="S30" s="1570">
        <f t="shared" si="12"/>
        <v>100</v>
      </c>
      <c r="T30" s="1569" t="s">
        <v>11</v>
      </c>
      <c r="U30" s="1570">
        <f t="shared" si="13"/>
        <v>100</v>
      </c>
      <c r="V30" s="1569" t="s">
        <v>11</v>
      </c>
      <c r="W30" s="1570">
        <f t="shared" si="14"/>
        <v>100</v>
      </c>
      <c r="X30" s="1563"/>
      <c r="Y30" s="3395"/>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395"/>
      <c r="Q31" s="1568">
        <f t="shared" si="11"/>
        <v>111</v>
      </c>
      <c r="R31" s="1569" t="s">
        <v>11</v>
      </c>
      <c r="S31" s="1570">
        <f t="shared" si="12"/>
        <v>100</v>
      </c>
      <c r="T31" s="1569" t="s">
        <v>11</v>
      </c>
      <c r="U31" s="1570">
        <f t="shared" si="13"/>
        <v>100</v>
      </c>
      <c r="V31" s="1569" t="s">
        <v>11</v>
      </c>
      <c r="W31" s="1570">
        <f t="shared" si="14"/>
        <v>100</v>
      </c>
      <c r="X31" s="1563"/>
      <c r="Y31" s="3395"/>
      <c r="Z31" s="1571">
        <f t="shared" si="15"/>
        <v>111</v>
      </c>
      <c r="AA31" s="1572">
        <f t="shared" si="3"/>
        <v>1</v>
      </c>
      <c r="AB31" s="1572">
        <f t="shared" si="4"/>
        <v>1</v>
      </c>
      <c r="AC31" s="1572">
        <f t="shared" si="5"/>
        <v>1</v>
      </c>
    </row>
    <row r="32" spans="1:29" ht="15">
      <c r="A32" s="2904" t="s">
        <v>2756</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9"/>
      <c r="M32" s="2131"/>
      <c r="N32" s="2131"/>
      <c r="O32" s="2138"/>
      <c r="P32" s="3396" t="s">
        <v>549</v>
      </c>
      <c r="Q32" s="1568" t="str">
        <f t="shared" si="11"/>
        <v>建筑类型</v>
      </c>
      <c r="R32" s="1569" t="s">
        <v>11</v>
      </c>
      <c r="S32" s="1570">
        <f t="shared" si="12"/>
        <v>100</v>
      </c>
      <c r="T32" s="1569" t="s">
        <v>11</v>
      </c>
      <c r="U32" s="1570">
        <f t="shared" si="13"/>
        <v>100</v>
      </c>
      <c r="V32" s="1569" t="s">
        <v>11</v>
      </c>
      <c r="W32" s="1570">
        <f t="shared" si="14"/>
        <v>100</v>
      </c>
      <c r="X32" s="1563"/>
      <c r="Y32" s="3397" t="s">
        <v>549</v>
      </c>
      <c r="Z32" s="1571" t="str">
        <f t="shared" si="15"/>
        <v>建筑类型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7"/>
      <c r="M33" s="2168"/>
      <c r="N33" s="2168"/>
      <c r="O33" s="2140"/>
      <c r="P33" s="3397"/>
      <c r="Q33" s="1601" t="str">
        <f t="shared" si="11"/>
        <v>项目建筑规模</v>
      </c>
      <c r="R33" s="1573" t="s">
        <v>11</v>
      </c>
      <c r="S33" s="1574" t="e">
        <f t="shared" si="12"/>
        <v>#N/A</v>
      </c>
      <c r="T33" s="1573" t="s">
        <v>11</v>
      </c>
      <c r="U33" s="1574" t="e">
        <f t="shared" si="13"/>
        <v>#N/A</v>
      </c>
      <c r="V33" s="1573" t="s">
        <v>11</v>
      </c>
      <c r="W33" s="1574" t="e">
        <f t="shared" si="14"/>
        <v>#N/A</v>
      </c>
      <c r="X33" s="1575"/>
      <c r="Y33" s="3397"/>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9"/>
      <c r="M34" s="2131"/>
      <c r="N34" s="2131"/>
      <c r="O34" s="2138"/>
      <c r="P34" s="3397"/>
      <c r="Q34" s="1568" t="str">
        <f t="shared" si="11"/>
        <v>建筑结构</v>
      </c>
      <c r="R34" s="1569" t="s">
        <v>11</v>
      </c>
      <c r="S34" s="1570">
        <f t="shared" si="12"/>
        <v>100</v>
      </c>
      <c r="T34" s="1569" t="s">
        <v>11</v>
      </c>
      <c r="U34" s="1570">
        <f t="shared" si="13"/>
        <v>100</v>
      </c>
      <c r="V34" s="1569" t="s">
        <v>11</v>
      </c>
      <c r="W34" s="1570">
        <f t="shared" si="14"/>
        <v>100</v>
      </c>
      <c r="X34" s="1563"/>
      <c r="Y34" s="3397"/>
      <c r="Z34" s="1571" t="str">
        <f t="shared" si="15"/>
        <v>建筑结构</v>
      </c>
      <c r="AA34" s="1572">
        <f t="shared" si="3"/>
        <v>1</v>
      </c>
      <c r="AB34" s="1572">
        <f t="shared" si="4"/>
        <v>1</v>
      </c>
      <c r="AC34" s="1572">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9"/>
      <c r="M35" s="2131"/>
      <c r="N35" s="2131"/>
      <c r="O35" s="2138"/>
      <c r="P35" s="3397"/>
      <c r="Q35" s="1568" t="str">
        <f t="shared" si="11"/>
        <v>建筑品质</v>
      </c>
      <c r="R35" s="1569" t="s">
        <v>11</v>
      </c>
      <c r="S35" s="1570">
        <f t="shared" si="12"/>
        <v>100</v>
      </c>
      <c r="T35" s="1569" t="s">
        <v>11</v>
      </c>
      <c r="U35" s="1570">
        <f t="shared" si="13"/>
        <v>100</v>
      </c>
      <c r="V35" s="1569" t="s">
        <v>11</v>
      </c>
      <c r="W35" s="1570">
        <f t="shared" si="14"/>
        <v>100</v>
      </c>
      <c r="X35" s="1563"/>
      <c r="Y35" s="3397"/>
      <c r="Z35" s="1571" t="str">
        <f t="shared" si="15"/>
        <v>建筑品质</v>
      </c>
      <c r="AA35" s="1572">
        <f t="shared" si="3"/>
        <v>1</v>
      </c>
      <c r="AB35" s="1572">
        <f t="shared" si="4"/>
        <v>1</v>
      </c>
      <c r="AC35" s="1572">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9"/>
      <c r="M36" s="2131"/>
      <c r="N36" s="2131"/>
      <c r="O36" s="2138"/>
      <c r="P36" s="3397"/>
      <c r="Q36" s="1568" t="str">
        <f t="shared" si="11"/>
        <v>公共部分装修</v>
      </c>
      <c r="R36" s="1569" t="s">
        <v>11</v>
      </c>
      <c r="S36" s="1570">
        <f t="shared" si="12"/>
        <v>100</v>
      </c>
      <c r="T36" s="1569" t="s">
        <v>11</v>
      </c>
      <c r="U36" s="1570">
        <f t="shared" si="13"/>
        <v>100</v>
      </c>
      <c r="V36" s="1569" t="s">
        <v>11</v>
      </c>
      <c r="W36" s="1570">
        <f t="shared" si="14"/>
        <v>100</v>
      </c>
      <c r="X36" s="1563"/>
      <c r="Y36" s="3397"/>
      <c r="Z36" s="1571" t="str">
        <f t="shared" si="15"/>
        <v>公共部分装修</v>
      </c>
      <c r="AA36" s="1572">
        <f t="shared" si="3"/>
        <v>1</v>
      </c>
      <c r="AB36" s="1572">
        <f t="shared" si="4"/>
        <v>1</v>
      </c>
      <c r="AC36" s="1572">
        <f t="shared" si="5"/>
        <v>1</v>
      </c>
    </row>
    <row r="37" spans="1:29" s="1217" customFormat="1" ht="15">
      <c r="A37" s="597"/>
      <c r="B37" s="524" t="s">
        <v>729</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2"/>
      <c r="M37" s="2133"/>
      <c r="N37" s="2133"/>
      <c r="O37" s="2134"/>
      <c r="P37" s="3397"/>
      <c r="Q37" s="1148" t="str">
        <f t="shared" si="11"/>
        <v>成新度</v>
      </c>
      <c r="R37" s="1564" t="s">
        <v>11</v>
      </c>
      <c r="S37" s="1565" t="e">
        <f t="shared" si="12"/>
        <v>#N/A</v>
      </c>
      <c r="T37" s="1564" t="s">
        <v>11</v>
      </c>
      <c r="U37" s="1565" t="e">
        <f t="shared" si="13"/>
        <v>#N/A</v>
      </c>
      <c r="V37" s="1564" t="s">
        <v>11</v>
      </c>
      <c r="W37" s="1565" t="e">
        <f t="shared" si="14"/>
        <v>#N/A</v>
      </c>
      <c r="X37" s="1566"/>
      <c r="Y37" s="3397"/>
      <c r="Z37" s="1147" t="str">
        <f t="shared" si="15"/>
        <v>成新度</v>
      </c>
      <c r="AA37" s="1567" t="e">
        <f t="shared" si="3"/>
        <v>#N/A</v>
      </c>
      <c r="AB37" s="1567" t="e">
        <f t="shared" si="4"/>
        <v>#N/A</v>
      </c>
      <c r="AC37" s="1567"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9"/>
      <c r="M38" s="2131"/>
      <c r="N38" s="2131"/>
      <c r="O38" s="2138"/>
      <c r="P38" s="3397" t="s">
        <v>549</v>
      </c>
      <c r="Q38" s="1568" t="str">
        <f t="shared" si="11"/>
        <v>物业管理</v>
      </c>
      <c r="R38" s="1569" t="s">
        <v>11</v>
      </c>
      <c r="S38" s="1570">
        <f t="shared" si="12"/>
        <v>100</v>
      </c>
      <c r="T38" s="1569" t="s">
        <v>11</v>
      </c>
      <c r="U38" s="1570">
        <f t="shared" si="13"/>
        <v>100</v>
      </c>
      <c r="V38" s="1569" t="s">
        <v>11</v>
      </c>
      <c r="W38" s="1570">
        <f t="shared" si="14"/>
        <v>100</v>
      </c>
      <c r="X38" s="1563"/>
      <c r="Y38" s="3397" t="s">
        <v>549</v>
      </c>
      <c r="Z38" s="1571" t="str">
        <f t="shared" si="15"/>
        <v>物业管理</v>
      </c>
      <c r="AA38" s="1572">
        <f t="shared" si="3"/>
        <v>1</v>
      </c>
      <c r="AB38" s="1572">
        <f t="shared" si="4"/>
        <v>1</v>
      </c>
      <c r="AC38" s="1572">
        <f t="shared" si="5"/>
        <v>1</v>
      </c>
    </row>
    <row r="39" spans="1:29" ht="15">
      <c r="A39" s="591"/>
      <c r="B39" s="1892"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9"/>
      <c r="M39" s="2131"/>
      <c r="N39" s="2131"/>
      <c r="O39" s="2138"/>
      <c r="P39" s="3397"/>
      <c r="Q39" s="1568" t="str">
        <f t="shared" si="11"/>
        <v>市政基础设施</v>
      </c>
      <c r="R39" s="1569" t="s">
        <v>11</v>
      </c>
      <c r="S39" s="1570">
        <f t="shared" si="12"/>
        <v>100</v>
      </c>
      <c r="T39" s="1569" t="s">
        <v>11</v>
      </c>
      <c r="U39" s="1570">
        <f t="shared" si="13"/>
        <v>100</v>
      </c>
      <c r="V39" s="1569" t="s">
        <v>11</v>
      </c>
      <c r="W39" s="1570">
        <f t="shared" si="14"/>
        <v>100</v>
      </c>
      <c r="X39" s="1563"/>
      <c r="Y39" s="3397"/>
      <c r="Z39" s="1571" t="str">
        <f t="shared" si="15"/>
        <v>市政基础设施</v>
      </c>
      <c r="AA39" s="1572">
        <f t="shared" si="3"/>
        <v>1</v>
      </c>
      <c r="AB39" s="1572">
        <f t="shared" si="4"/>
        <v>1</v>
      </c>
      <c r="AC39" s="1572">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397"/>
      <c r="Q40" s="1568" t="str">
        <f t="shared" si="11"/>
        <v>房型</v>
      </c>
      <c r="R40" s="1569" t="s">
        <v>11</v>
      </c>
      <c r="S40" s="1570">
        <f t="shared" si="12"/>
        <v>100</v>
      </c>
      <c r="T40" s="1569" t="s">
        <v>11</v>
      </c>
      <c r="U40" s="1570">
        <f t="shared" si="13"/>
        <v>100</v>
      </c>
      <c r="V40" s="1569" t="s">
        <v>11</v>
      </c>
      <c r="W40" s="1570">
        <f t="shared" si="14"/>
        <v>100</v>
      </c>
      <c r="X40" s="1563"/>
      <c r="Y40" s="3397"/>
      <c r="Z40" s="1571" t="str">
        <f t="shared" si="15"/>
        <v>房型</v>
      </c>
      <c r="AA40" s="1572">
        <f t="shared" si="3"/>
        <v>1</v>
      </c>
      <c r="AB40" s="1572">
        <f t="shared" si="4"/>
        <v>1</v>
      </c>
      <c r="AC40" s="1572">
        <f t="shared" si="5"/>
        <v>1</v>
      </c>
    </row>
    <row r="41" spans="1:29" s="1336" customFormat="1" ht="28.5">
      <c r="A41" s="600"/>
      <c r="B41" s="524" t="s">
        <v>732</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7"/>
      <c r="M41" s="2168"/>
      <c r="N41" s="2168"/>
      <c r="O41" s="2140"/>
      <c r="P41" s="3397"/>
      <c r="Q41" s="1601" t="str">
        <f t="shared" si="11"/>
        <v>单套/主力户型建筑面积</v>
      </c>
      <c r="R41" s="1573" t="s">
        <v>11</v>
      </c>
      <c r="S41" s="1574">
        <f t="shared" si="12"/>
        <v>100</v>
      </c>
      <c r="T41" s="1573" t="s">
        <v>11</v>
      </c>
      <c r="U41" s="1574">
        <f t="shared" si="13"/>
        <v>100</v>
      </c>
      <c r="V41" s="1573" t="s">
        <v>11</v>
      </c>
      <c r="W41" s="1574">
        <f t="shared" si="14"/>
        <v>100</v>
      </c>
      <c r="X41" s="1575"/>
      <c r="Y41" s="3397"/>
      <c r="Z41" s="1576" t="str">
        <f t="shared" si="15"/>
        <v>单套/主力户型建筑面积</v>
      </c>
      <c r="AA41" s="1572">
        <f t="shared" si="3"/>
        <v>1</v>
      </c>
      <c r="AB41" s="1572">
        <f t="shared" si="4"/>
        <v>1</v>
      </c>
      <c r="AC41" s="1572">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9"/>
      <c r="M42" s="2131"/>
      <c r="N42" s="2131"/>
      <c r="O42" s="2138"/>
      <c r="P42" s="3397"/>
      <c r="Q42" s="1568" t="str">
        <f t="shared" si="11"/>
        <v>内部装修</v>
      </c>
      <c r="R42" s="1569" t="s">
        <v>11</v>
      </c>
      <c r="S42" s="1570">
        <f t="shared" si="12"/>
        <v>100</v>
      </c>
      <c r="T42" s="1569" t="s">
        <v>11</v>
      </c>
      <c r="U42" s="1570">
        <f t="shared" si="13"/>
        <v>100</v>
      </c>
      <c r="V42" s="1569" t="s">
        <v>11</v>
      </c>
      <c r="W42" s="1570">
        <f t="shared" si="14"/>
        <v>100</v>
      </c>
      <c r="X42" s="1563"/>
      <c r="Y42" s="3397"/>
      <c r="Z42" s="1571" t="str">
        <f t="shared" si="15"/>
        <v>内部装修</v>
      </c>
      <c r="AA42" s="1572">
        <f t="shared" si="3"/>
        <v>1</v>
      </c>
      <c r="AB42" s="1572">
        <f t="shared" si="4"/>
        <v>1</v>
      </c>
      <c r="AC42" s="1572">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9"/>
      <c r="M43" s="2131"/>
      <c r="N43" s="2131"/>
      <c r="O43" s="2138"/>
      <c r="P43" s="3397"/>
      <c r="Q43" s="1568" t="str">
        <f t="shared" si="11"/>
        <v>内部装修维护情况</v>
      </c>
      <c r="R43" s="1569" t="s">
        <v>11</v>
      </c>
      <c r="S43" s="1570">
        <f t="shared" si="12"/>
        <v>100</v>
      </c>
      <c r="T43" s="1569" t="s">
        <v>11</v>
      </c>
      <c r="U43" s="1570">
        <f t="shared" si="13"/>
        <v>100</v>
      </c>
      <c r="V43" s="1569" t="s">
        <v>11</v>
      </c>
      <c r="W43" s="1570">
        <f t="shared" si="14"/>
        <v>100</v>
      </c>
      <c r="X43" s="1563"/>
      <c r="Y43" s="3397"/>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397"/>
      <c r="Q44" s="1148">
        <f t="shared" si="11"/>
        <v>111</v>
      </c>
      <c r="R44" s="1564" t="s">
        <v>11</v>
      </c>
      <c r="S44" s="1565">
        <f t="shared" si="12"/>
        <v>100</v>
      </c>
      <c r="T44" s="1564" t="s">
        <v>11</v>
      </c>
      <c r="U44" s="1565">
        <f t="shared" si="13"/>
        <v>100</v>
      </c>
      <c r="V44" s="1564" t="s">
        <v>11</v>
      </c>
      <c r="W44" s="1565">
        <f t="shared" si="14"/>
        <v>100</v>
      </c>
      <c r="X44" s="1566"/>
      <c r="Y44" s="3397"/>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397"/>
      <c r="Q45" s="1568">
        <f t="shared" si="11"/>
        <v>111</v>
      </c>
      <c r="R45" s="1569" t="s">
        <v>11</v>
      </c>
      <c r="S45" s="1570">
        <f t="shared" si="12"/>
        <v>100</v>
      </c>
      <c r="T45" s="1569" t="s">
        <v>11</v>
      </c>
      <c r="U45" s="1570">
        <f t="shared" si="13"/>
        <v>100</v>
      </c>
      <c r="V45" s="1569" t="s">
        <v>11</v>
      </c>
      <c r="W45" s="1570">
        <f t="shared" si="14"/>
        <v>100</v>
      </c>
      <c r="X45" s="1563"/>
      <c r="Y45" s="3397"/>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496"/>
      <c r="Q46" s="1568">
        <f t="shared" si="11"/>
        <v>111</v>
      </c>
      <c r="R46" s="1569" t="s">
        <v>10</v>
      </c>
      <c r="S46" s="1570">
        <f t="shared" si="12"/>
        <v>100</v>
      </c>
      <c r="T46" s="1569" t="s">
        <v>10</v>
      </c>
      <c r="U46" s="1570">
        <f t="shared" si="13"/>
        <v>100</v>
      </c>
      <c r="V46" s="1569" t="s">
        <v>10</v>
      </c>
      <c r="W46" s="1570">
        <f t="shared" si="14"/>
        <v>100</v>
      </c>
      <c r="X46" s="1563"/>
      <c r="Y46" s="3496"/>
      <c r="Z46" s="1571">
        <f t="shared" si="15"/>
        <v>111</v>
      </c>
      <c r="AA46" s="1572">
        <f t="shared" si="3"/>
        <v>1</v>
      </c>
      <c r="AB46" s="1572">
        <f t="shared" si="4"/>
        <v>1</v>
      </c>
      <c r="AC46" s="1572">
        <f t="shared" si="5"/>
        <v>1</v>
      </c>
    </row>
    <row r="47" spans="1:29" ht="15">
      <c r="A47" s="604" t="s">
        <v>735</v>
      </c>
      <c r="B47" s="884"/>
      <c r="C47" s="2624" t="s">
        <v>9</v>
      </c>
      <c r="D47" s="2625"/>
      <c r="E47" s="2626"/>
      <c r="F47" s="2627"/>
      <c r="G47" s="2628"/>
      <c r="H47" s="2629"/>
      <c r="I47" s="2626"/>
      <c r="J47" s="2629"/>
      <c r="K47" s="1602"/>
      <c r="L47" s="2141"/>
      <c r="M47" s="2142"/>
      <c r="N47" s="2131"/>
      <c r="O47" s="2142"/>
      <c r="P47" s="3392" t="str">
        <f>A47</f>
        <v>成交单价（元/平方米）</v>
      </c>
      <c r="Q47" s="3392"/>
      <c r="R47" s="3495">
        <f>E47</f>
        <v>0</v>
      </c>
      <c r="S47" s="3495"/>
      <c r="T47" s="3495">
        <f>G47</f>
        <v>0</v>
      </c>
      <c r="U47" s="3495"/>
      <c r="V47" s="3495">
        <f>I47</f>
        <v>0</v>
      </c>
      <c r="W47" s="3495"/>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3"/>
      <c r="L48" s="2141"/>
      <c r="M48" s="2142"/>
      <c r="N48" s="2142"/>
      <c r="O48" s="2142"/>
      <c r="P48" s="3392" t="str">
        <f>A48</f>
        <v>比较价格（元/平方米）</v>
      </c>
      <c r="Q48" s="3392"/>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5"/>
      <c r="Y48" s="1555"/>
      <c r="Z48" s="1555"/>
      <c r="AA48" s="1555"/>
      <c r="AB48" s="1555"/>
      <c r="AC48" s="1555"/>
    </row>
    <row r="49" spans="1:29" ht="15.75" thickBot="1">
      <c r="A49" s="618" t="s">
        <v>2933</v>
      </c>
      <c r="B49" s="619"/>
      <c r="C49" s="2633" t="e">
        <f>R49</f>
        <v>#DIV/0!</v>
      </c>
      <c r="D49" s="2633"/>
      <c r="E49" s="2633"/>
      <c r="F49" s="2633"/>
      <c r="G49" s="2633"/>
      <c r="H49" s="2633"/>
      <c r="I49" s="2633"/>
      <c r="J49" s="2633"/>
      <c r="K49" s="1604"/>
      <c r="L49" s="2141"/>
      <c r="M49" s="2142"/>
      <c r="N49" s="2142"/>
      <c r="O49" s="2142"/>
      <c r="P49" s="3415" t="str">
        <f>A49</f>
        <v>估价对象XX用房的比较价格（楼面单价，元/平方米）</v>
      </c>
      <c r="Q49" s="3416"/>
      <c r="R49" s="3494" t="e">
        <f>IF(F1="售价",ROUND(AVERAGE(R48:V48),0),ROUND(AVERAGE(R48:V48),1))</f>
        <v>#DIV/0!</v>
      </c>
      <c r="S49" s="3494"/>
      <c r="T49" s="3494"/>
      <c r="U49" s="3494"/>
      <c r="V49" s="3494"/>
      <c r="W49" s="349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746</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715"/>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685"/>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2558</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756</v>
      </c>
      <c r="C1" s="501" t="s">
        <v>719</v>
      </c>
      <c r="D1" s="2367"/>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518</v>
      </c>
      <c r="B3" s="507" t="e">
        <f>C49</f>
        <v>#DIV/0!</v>
      </c>
      <c r="C3" s="849" t="s">
        <v>721</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520</v>
      </c>
      <c r="B4" s="510"/>
      <c r="C4" s="3398" t="s">
        <v>521</v>
      </c>
      <c r="D4" s="3399"/>
      <c r="E4" s="3424" t="s">
        <v>522</v>
      </c>
      <c r="F4" s="3425"/>
      <c r="G4" s="3398" t="s">
        <v>523</v>
      </c>
      <c r="H4" s="3399"/>
      <c r="I4" s="3398" t="s">
        <v>524</v>
      </c>
      <c r="J4" s="3399"/>
      <c r="K4" s="511" t="s">
        <v>525</v>
      </c>
      <c r="L4" s="2130"/>
      <c r="M4" s="2131"/>
      <c r="N4" s="2131"/>
      <c r="O4" s="2131"/>
      <c r="P4" s="3400" t="s">
        <v>526</v>
      </c>
      <c r="Q4" s="3401"/>
      <c r="R4" s="3386" t="s">
        <v>522</v>
      </c>
      <c r="S4" s="3387"/>
      <c r="T4" s="3386" t="s">
        <v>523</v>
      </c>
      <c r="U4" s="3387"/>
      <c r="V4" s="3406" t="s">
        <v>524</v>
      </c>
      <c r="W4" s="3406"/>
      <c r="X4" s="1563"/>
      <c r="Y4" s="3386" t="s">
        <v>526</v>
      </c>
      <c r="Z4" s="3387"/>
      <c r="AA4" s="3381" t="s">
        <v>522</v>
      </c>
      <c r="AB4" s="3406" t="s">
        <v>523</v>
      </c>
      <c r="AC4" s="3381" t="s">
        <v>524</v>
      </c>
    </row>
    <row r="5" spans="1:29" ht="15">
      <c r="A5" s="512"/>
      <c r="B5" s="513"/>
      <c r="C5" s="3409" t="s">
        <v>2927</v>
      </c>
      <c r="D5" s="3410"/>
      <c r="E5" s="3426" t="s">
        <v>2928</v>
      </c>
      <c r="F5" s="3427"/>
      <c r="G5" s="3409" t="s">
        <v>2929</v>
      </c>
      <c r="H5" s="3410"/>
      <c r="I5" s="3409" t="s">
        <v>2930</v>
      </c>
      <c r="J5" s="3410"/>
      <c r="K5" s="511"/>
      <c r="L5" s="2130"/>
      <c r="M5" s="2131"/>
      <c r="N5" s="2131"/>
      <c r="O5" s="2131"/>
      <c r="P5" s="3402"/>
      <c r="Q5" s="3403"/>
      <c r="R5" s="3388"/>
      <c r="S5" s="3389"/>
      <c r="T5" s="3388"/>
      <c r="U5" s="3389"/>
      <c r="V5" s="3406"/>
      <c r="W5" s="3406"/>
      <c r="X5" s="1563"/>
      <c r="Y5" s="3388"/>
      <c r="Z5" s="3389"/>
      <c r="AA5" s="3382"/>
      <c r="AB5" s="3406"/>
      <c r="AC5" s="3382"/>
    </row>
    <row r="6" spans="1:29" ht="15.75" thickBot="1">
      <c r="A6" s="514"/>
      <c r="B6" s="515"/>
      <c r="C6" s="3428" t="s">
        <v>2931</v>
      </c>
      <c r="D6" s="3408"/>
      <c r="E6" s="3429" t="s">
        <v>2931</v>
      </c>
      <c r="F6" s="3430"/>
      <c r="G6" s="3428" t="s">
        <v>2931</v>
      </c>
      <c r="H6" s="3408"/>
      <c r="I6" s="3428" t="s">
        <v>2931</v>
      </c>
      <c r="J6" s="3408"/>
      <c r="K6" s="511" t="s">
        <v>527</v>
      </c>
      <c r="L6" s="2130"/>
      <c r="M6" s="2131"/>
      <c r="N6" s="2131"/>
      <c r="O6" s="2131"/>
      <c r="P6" s="3404"/>
      <c r="Q6" s="3405"/>
      <c r="R6" s="3388"/>
      <c r="S6" s="3389"/>
      <c r="T6" s="3390"/>
      <c r="U6" s="3391"/>
      <c r="V6" s="3406"/>
      <c r="W6" s="3406"/>
      <c r="X6" s="1563"/>
      <c r="Y6" s="3390"/>
      <c r="Z6" s="3391"/>
      <c r="AA6" s="3383"/>
      <c r="AB6" s="3406"/>
      <c r="AC6" s="3383"/>
    </row>
    <row r="7" spans="1:29" s="1217" customFormat="1" ht="15.75" thickBot="1">
      <c r="A7" s="2908"/>
      <c r="B7" s="2915" t="s">
        <v>528</v>
      </c>
      <c r="C7" s="516">
        <f>'数据-取费表'!B2</f>
        <v>43403</v>
      </c>
      <c r="D7" s="517">
        <v>100</v>
      </c>
      <c r="E7" s="518"/>
      <c r="F7" s="519">
        <f>SUMIF(58:58,YEAR(E7)&amp;"-"&amp;MONTH(E7),59:59)</f>
        <v>0</v>
      </c>
      <c r="G7" s="518"/>
      <c r="H7" s="517">
        <f>SUMIF(58:58,YEAR(G7)&amp;"-"&amp;MONTH(G7),59:59)</f>
        <v>0</v>
      </c>
      <c r="I7" s="518"/>
      <c r="J7" s="517">
        <f>SUMIF(58:58,YEAR(I7)&amp;"-"&amp;MONTH(I7),59:59)</f>
        <v>0</v>
      </c>
      <c r="K7" s="521"/>
      <c r="L7" s="2132"/>
      <c r="M7" s="2133"/>
      <c r="N7" s="2133"/>
      <c r="O7" s="2133"/>
      <c r="P7" s="3384" t="s">
        <v>529</v>
      </c>
      <c r="Q7" s="3393"/>
      <c r="R7" s="1564" t="s">
        <v>8</v>
      </c>
      <c r="S7" s="1565">
        <f t="shared" ref="S7:S15" si="0">F7</f>
        <v>0</v>
      </c>
      <c r="T7" s="1564" t="s">
        <v>8</v>
      </c>
      <c r="U7" s="1565">
        <f t="shared" ref="U7:U15" si="1">H7</f>
        <v>0</v>
      </c>
      <c r="V7" s="1564" t="s">
        <v>8</v>
      </c>
      <c r="W7" s="1565">
        <f t="shared" ref="W7:W15" si="2">J7</f>
        <v>0</v>
      </c>
      <c r="X7" s="1566"/>
      <c r="Y7" s="3384" t="s">
        <v>529</v>
      </c>
      <c r="Z7" s="3385"/>
      <c r="AA7" s="1567" t="e">
        <f>D7/F7</f>
        <v>#DIV/0!</v>
      </c>
      <c r="AB7" s="1567" t="e">
        <f>D7/H7</f>
        <v>#DIV/0!</v>
      </c>
      <c r="AC7" s="1567" t="e">
        <f>D7/J7</f>
        <v>#DIV/0!</v>
      </c>
    </row>
    <row r="8" spans="1:29" s="1217" customFormat="1" ht="15.75" thickBot="1">
      <c r="A8" s="2909"/>
      <c r="B8" s="2916" t="s">
        <v>530</v>
      </c>
      <c r="C8" s="522" t="s">
        <v>575</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384" t="s">
        <v>532</v>
      </c>
      <c r="Q8" s="3385"/>
      <c r="R8" s="1564" t="s">
        <v>8</v>
      </c>
      <c r="S8" s="1565">
        <f t="shared" si="0"/>
        <v>0</v>
      </c>
      <c r="T8" s="1564" t="s">
        <v>8</v>
      </c>
      <c r="U8" s="1565">
        <f t="shared" si="1"/>
        <v>0</v>
      </c>
      <c r="V8" s="1564" t="s">
        <v>8</v>
      </c>
      <c r="W8" s="1565">
        <f t="shared" si="2"/>
        <v>0</v>
      </c>
      <c r="X8" s="1566"/>
      <c r="Y8" s="3384" t="s">
        <v>532</v>
      </c>
      <c r="Z8" s="3385"/>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392" t="s">
        <v>534</v>
      </c>
      <c r="Q9" s="1148" t="str">
        <f t="shared" ref="Q9:Q15" si="6">B9</f>
        <v>用途</v>
      </c>
      <c r="R9" s="1564" t="s">
        <v>8</v>
      </c>
      <c r="S9" s="1565">
        <f t="shared" si="0"/>
        <v>100</v>
      </c>
      <c r="T9" s="1564" t="s">
        <v>8</v>
      </c>
      <c r="U9" s="1565">
        <f t="shared" si="1"/>
        <v>100</v>
      </c>
      <c r="V9" s="1564" t="s">
        <v>8</v>
      </c>
      <c r="W9" s="1565">
        <f t="shared" si="2"/>
        <v>100</v>
      </c>
      <c r="X9" s="1566"/>
      <c r="Y9" s="3349"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392"/>
      <c r="Q10" s="1148" t="str">
        <f t="shared" si="6"/>
        <v>土地使用年限（年）</v>
      </c>
      <c r="R10" s="1564" t="s">
        <v>8</v>
      </c>
      <c r="S10" s="1565">
        <f t="shared" si="0"/>
        <v>100</v>
      </c>
      <c r="T10" s="1564" t="s">
        <v>8</v>
      </c>
      <c r="U10" s="1565">
        <f t="shared" si="1"/>
        <v>100</v>
      </c>
      <c r="V10" s="1564" t="s">
        <v>8</v>
      </c>
      <c r="W10" s="1565">
        <f t="shared" si="2"/>
        <v>100</v>
      </c>
      <c r="X10" s="1566"/>
      <c r="Y10" s="3349"/>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392"/>
      <c r="Q11" s="1148" t="str">
        <f t="shared" si="6"/>
        <v>容积率</v>
      </c>
      <c r="R11" s="1564" t="s">
        <v>8</v>
      </c>
      <c r="S11" s="1565" t="e">
        <f t="shared" si="0"/>
        <v>#N/A</v>
      </c>
      <c r="T11" s="1564" t="s">
        <v>8</v>
      </c>
      <c r="U11" s="1565" t="e">
        <f t="shared" si="1"/>
        <v>#N/A</v>
      </c>
      <c r="V11" s="1564" t="s">
        <v>8</v>
      </c>
      <c r="W11" s="1565" t="e">
        <f t="shared" si="2"/>
        <v>#N/A</v>
      </c>
      <c r="X11" s="1566"/>
      <c r="Y11" s="3349"/>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392"/>
      <c r="Q12" s="1148">
        <f t="shared" si="6"/>
        <v>111</v>
      </c>
      <c r="R12" s="1564" t="s">
        <v>8</v>
      </c>
      <c r="S12" s="1565">
        <f t="shared" si="0"/>
        <v>100</v>
      </c>
      <c r="T12" s="1564" t="s">
        <v>8</v>
      </c>
      <c r="U12" s="1565">
        <f t="shared" si="1"/>
        <v>100</v>
      </c>
      <c r="V12" s="1564" t="s">
        <v>8</v>
      </c>
      <c r="W12" s="1565">
        <f t="shared" si="2"/>
        <v>100</v>
      </c>
      <c r="X12" s="1566"/>
      <c r="Y12" s="3349"/>
      <c r="Z12" s="1147">
        <f t="shared" si="7"/>
        <v>111</v>
      </c>
      <c r="AA12" s="1567">
        <f>D12/F12</f>
        <v>1</v>
      </c>
      <c r="AB12" s="1567">
        <f>D12/H12</f>
        <v>1</v>
      </c>
      <c r="AC12" s="1567">
        <f>D12/J12</f>
        <v>1</v>
      </c>
    </row>
    <row r="13" spans="1:29" ht="15">
      <c r="A13" s="2913"/>
      <c r="B13" s="2919">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392"/>
      <c r="Q13" s="1148">
        <f t="shared" si="6"/>
        <v>111</v>
      </c>
      <c r="R13" s="1564" t="s">
        <v>8</v>
      </c>
      <c r="S13" s="1565">
        <f t="shared" si="0"/>
        <v>100</v>
      </c>
      <c r="T13" s="1564" t="s">
        <v>8</v>
      </c>
      <c r="U13" s="1565">
        <f t="shared" si="1"/>
        <v>100</v>
      </c>
      <c r="V13" s="1564" t="s">
        <v>8</v>
      </c>
      <c r="W13" s="1565">
        <f t="shared" si="2"/>
        <v>100</v>
      </c>
      <c r="X13" s="1566"/>
      <c r="Y13" s="3349"/>
      <c r="Z13" s="1147">
        <f t="shared" si="7"/>
        <v>111</v>
      </c>
      <c r="AA13" s="1567">
        <f t="shared" si="3"/>
        <v>1</v>
      </c>
      <c r="AB13" s="1567">
        <f t="shared" si="4"/>
        <v>1</v>
      </c>
      <c r="AC13" s="1567">
        <f t="shared" si="5"/>
        <v>1</v>
      </c>
    </row>
    <row r="14" spans="1:29" ht="15.75" thickBot="1">
      <c r="A14" s="2914"/>
      <c r="B14" s="2920">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392"/>
      <c r="Q14" s="1148">
        <f t="shared" si="6"/>
        <v>111</v>
      </c>
      <c r="R14" s="1564" t="s">
        <v>8</v>
      </c>
      <c r="S14" s="1565">
        <f t="shared" si="0"/>
        <v>100</v>
      </c>
      <c r="T14" s="1564" t="s">
        <v>8</v>
      </c>
      <c r="U14" s="1565">
        <f t="shared" si="1"/>
        <v>100</v>
      </c>
      <c r="V14" s="1564" t="s">
        <v>8</v>
      </c>
      <c r="W14" s="1565">
        <f t="shared" si="2"/>
        <v>100</v>
      </c>
      <c r="X14" s="1566"/>
      <c r="Y14" s="3349"/>
      <c r="Z14" s="1147">
        <f t="shared" si="7"/>
        <v>111</v>
      </c>
      <c r="AA14" s="1567">
        <f t="shared" si="3"/>
        <v>1</v>
      </c>
      <c r="AB14" s="1567">
        <f t="shared" si="4"/>
        <v>1</v>
      </c>
      <c r="AC14" s="1567">
        <f t="shared" si="5"/>
        <v>1</v>
      </c>
    </row>
    <row r="15" spans="1:29" ht="15">
      <c r="A15" s="2906" t="s">
        <v>2755</v>
      </c>
      <c r="B15" s="165" t="s">
        <v>540</v>
      </c>
      <c r="C15" s="864" t="str">
        <f>估价对象房地状况!C4</f>
        <v>——</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394" t="s">
        <v>539</v>
      </c>
      <c r="Q15" s="1568" t="str">
        <f t="shared" si="6"/>
        <v>商业繁华度</v>
      </c>
      <c r="R15" s="1569" t="s">
        <v>8</v>
      </c>
      <c r="S15" s="1570">
        <f t="shared" si="0"/>
        <v>100</v>
      </c>
      <c r="T15" s="1569" t="s">
        <v>8</v>
      </c>
      <c r="U15" s="1570">
        <f t="shared" si="1"/>
        <v>100</v>
      </c>
      <c r="V15" s="1569" t="s">
        <v>8</v>
      </c>
      <c r="W15" s="1570">
        <f t="shared" si="2"/>
        <v>100</v>
      </c>
      <c r="X15" s="1563"/>
      <c r="Y15" s="3394" t="s">
        <v>539</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395"/>
      <c r="Q16" s="1568"/>
      <c r="R16" s="1569"/>
      <c r="S16" s="1570"/>
      <c r="T16" s="1569"/>
      <c r="U16" s="1570"/>
      <c r="V16" s="1569"/>
      <c r="W16" s="1570"/>
      <c r="X16" s="1563"/>
      <c r="Y16" s="3395"/>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395"/>
      <c r="Q17" s="1568" t="str">
        <f>B17</f>
        <v>交通便捷度</v>
      </c>
      <c r="R17" s="1569" t="s">
        <v>8</v>
      </c>
      <c r="S17" s="1570">
        <f>F17</f>
        <v>100</v>
      </c>
      <c r="T17" s="1569" t="s">
        <v>8</v>
      </c>
      <c r="U17" s="1570">
        <f>H17</f>
        <v>100</v>
      </c>
      <c r="V17" s="1569" t="s">
        <v>8</v>
      </c>
      <c r="W17" s="1570">
        <f>J17</f>
        <v>100</v>
      </c>
      <c r="X17" s="1563"/>
      <c r="Y17" s="339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395"/>
      <c r="Q18" s="1568"/>
      <c r="R18" s="1569"/>
      <c r="S18" s="1570"/>
      <c r="T18" s="1569"/>
      <c r="U18" s="1570"/>
      <c r="V18" s="1569"/>
      <c r="W18" s="1570"/>
      <c r="X18" s="1563"/>
      <c r="Y18" s="3395"/>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395"/>
      <c r="Q19" s="1568" t="str">
        <f>B19</f>
        <v>公共配套设施</v>
      </c>
      <c r="R19" s="1569" t="s">
        <v>8</v>
      </c>
      <c r="S19" s="1570">
        <f>F19</f>
        <v>100</v>
      </c>
      <c r="T19" s="1569" t="s">
        <v>8</v>
      </c>
      <c r="U19" s="1570">
        <f>H19</f>
        <v>100</v>
      </c>
      <c r="V19" s="1569" t="s">
        <v>8</v>
      </c>
      <c r="W19" s="1570">
        <f>J19</f>
        <v>100</v>
      </c>
      <c r="X19" s="1563"/>
      <c r="Y19" s="3395"/>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395"/>
      <c r="Q20" s="1568"/>
      <c r="R20" s="1569"/>
      <c r="S20" s="1570"/>
      <c r="T20" s="1569"/>
      <c r="U20" s="1570"/>
      <c r="V20" s="1569"/>
      <c r="W20" s="1570"/>
      <c r="X20" s="1563"/>
      <c r="Y20" s="3395"/>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395"/>
      <c r="Q21" s="2576" t="str">
        <f>B21</f>
        <v>基础设施水平</v>
      </c>
      <c r="R21" s="1569" t="s">
        <v>8</v>
      </c>
      <c r="S21" s="1570">
        <f>F21</f>
        <v>100</v>
      </c>
      <c r="T21" s="1569" t="s">
        <v>8</v>
      </c>
      <c r="U21" s="1570">
        <f>H21</f>
        <v>100</v>
      </c>
      <c r="V21" s="1569" t="s">
        <v>8</v>
      </c>
      <c r="W21" s="1570">
        <f>J21</f>
        <v>100</v>
      </c>
      <c r="X21" s="2578"/>
      <c r="Y21" s="3395"/>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9"/>
      <c r="L22" s="2139"/>
      <c r="M22" s="2131"/>
      <c r="N22" s="2131"/>
      <c r="O22" s="2138"/>
      <c r="P22" s="3395"/>
      <c r="Q22" s="2576"/>
      <c r="R22" s="1569"/>
      <c r="S22" s="1570"/>
      <c r="T22" s="1569"/>
      <c r="U22" s="1570"/>
      <c r="V22" s="1569"/>
      <c r="W22" s="1570"/>
      <c r="X22" s="2578"/>
      <c r="Y22" s="3395"/>
      <c r="Z22" s="2577"/>
      <c r="AA22" s="1572">
        <v>1</v>
      </c>
      <c r="AB22" s="1572">
        <v>1</v>
      </c>
      <c r="AC22" s="1572">
        <v>1</v>
      </c>
    </row>
    <row r="23" spans="1:29" ht="85.5">
      <c r="A23" s="529"/>
      <c r="B23" s="868" t="s">
        <v>296</v>
      </c>
      <c r="C23" s="897"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395"/>
      <c r="Q23" s="1568" t="str">
        <f>B23</f>
        <v>自然及人文环境</v>
      </c>
      <c r="R23" s="1569" t="s">
        <v>8</v>
      </c>
      <c r="S23" s="1570">
        <f>F23</f>
        <v>100</v>
      </c>
      <c r="T23" s="1569" t="s">
        <v>8</v>
      </c>
      <c r="U23" s="1570">
        <f>H23</f>
        <v>100</v>
      </c>
      <c r="V23" s="1569" t="s">
        <v>8</v>
      </c>
      <c r="W23" s="1570">
        <f>J23</f>
        <v>100</v>
      </c>
      <c r="X23" s="1563"/>
      <c r="Y23" s="3395"/>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395"/>
      <c r="Q24" s="1568"/>
      <c r="R24" s="1569"/>
      <c r="S24" s="1570"/>
      <c r="T24" s="1569"/>
      <c r="U24" s="1570"/>
      <c r="V24" s="1569"/>
      <c r="W24" s="1570"/>
      <c r="X24" s="1563"/>
      <c r="Y24" s="3395"/>
      <c r="Z24" s="1571"/>
      <c r="AA24" s="1572">
        <v>1</v>
      </c>
      <c r="AB24" s="1572">
        <v>1</v>
      </c>
      <c r="AC24" s="1572">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395"/>
      <c r="Q25" s="1568" t="str">
        <f t="shared" ref="Q25:Q46" si="11">B25</f>
        <v>临街状况</v>
      </c>
      <c r="R25" s="1569" t="s">
        <v>8</v>
      </c>
      <c r="S25" s="1570">
        <f>F25</f>
        <v>100</v>
      </c>
      <c r="T25" s="1569" t="s">
        <v>8</v>
      </c>
      <c r="U25" s="1570">
        <f>H25</f>
        <v>100</v>
      </c>
      <c r="V25" s="1569" t="s">
        <v>8</v>
      </c>
      <c r="W25" s="1570">
        <f>J25</f>
        <v>100</v>
      </c>
      <c r="X25" s="1563"/>
      <c r="Y25" s="3395"/>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395"/>
      <c r="Q26" s="1568" t="str">
        <f t="shared" si="11"/>
        <v>平面位置/可视性</v>
      </c>
      <c r="R26" s="1569" t="s">
        <v>8</v>
      </c>
      <c r="S26" s="1570">
        <f>F26</f>
        <v>100</v>
      </c>
      <c r="T26" s="1569" t="s">
        <v>8</v>
      </c>
      <c r="U26" s="1570">
        <f>H26</f>
        <v>100</v>
      </c>
      <c r="V26" s="1569" t="s">
        <v>8</v>
      </c>
      <c r="W26" s="1570">
        <f>J26</f>
        <v>100</v>
      </c>
      <c r="X26" s="1563"/>
      <c r="Y26" s="3395"/>
      <c r="Z26" s="1571" t="str">
        <f>Q26</f>
        <v>平面位置/可视性</v>
      </c>
      <c r="AA26" s="1572">
        <f t="shared" si="3"/>
        <v>1</v>
      </c>
      <c r="AB26" s="1572">
        <f t="shared" si="4"/>
        <v>1</v>
      </c>
      <c r="AC26" s="1572">
        <f t="shared" si="5"/>
        <v>1</v>
      </c>
    </row>
    <row r="27" spans="1:29" s="1217"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395"/>
      <c r="Q27" s="1148" t="str">
        <f t="shared" si="11"/>
        <v>人流量</v>
      </c>
      <c r="R27" s="1564" t="s">
        <v>8</v>
      </c>
      <c r="S27" s="1565">
        <f>F27</f>
        <v>100</v>
      </c>
      <c r="T27" s="1564" t="s">
        <v>8</v>
      </c>
      <c r="U27" s="1565">
        <f>H27</f>
        <v>100</v>
      </c>
      <c r="V27" s="1564" t="s">
        <v>8</v>
      </c>
      <c r="W27" s="1565">
        <f>J27</f>
        <v>100</v>
      </c>
      <c r="X27" s="1566"/>
      <c r="Y27" s="3395"/>
      <c r="Z27" s="1147"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39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395"/>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395"/>
      <c r="Q29" s="1568">
        <f t="shared" si="11"/>
        <v>111</v>
      </c>
      <c r="R29" s="1569" t="s">
        <v>8</v>
      </c>
      <c r="S29" s="1570">
        <f t="shared" si="12"/>
        <v>100</v>
      </c>
      <c r="T29" s="1569" t="s">
        <v>8</v>
      </c>
      <c r="U29" s="1570">
        <f t="shared" si="13"/>
        <v>100</v>
      </c>
      <c r="V29" s="1569" t="s">
        <v>8</v>
      </c>
      <c r="W29" s="1570">
        <f t="shared" si="14"/>
        <v>100</v>
      </c>
      <c r="X29" s="1563"/>
      <c r="Y29" s="3395"/>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395"/>
      <c r="Q30" s="1568">
        <f t="shared" si="11"/>
        <v>111</v>
      </c>
      <c r="R30" s="1569" t="s">
        <v>8</v>
      </c>
      <c r="S30" s="1570">
        <f t="shared" si="12"/>
        <v>100</v>
      </c>
      <c r="T30" s="1569" t="s">
        <v>8</v>
      </c>
      <c r="U30" s="1570">
        <f t="shared" si="13"/>
        <v>100</v>
      </c>
      <c r="V30" s="1569" t="s">
        <v>8</v>
      </c>
      <c r="W30" s="1570">
        <f t="shared" si="14"/>
        <v>100</v>
      </c>
      <c r="X30" s="1563"/>
      <c r="Y30" s="3395"/>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395"/>
      <c r="Q31" s="1568">
        <f t="shared" si="11"/>
        <v>111</v>
      </c>
      <c r="R31" s="1569" t="s">
        <v>8</v>
      </c>
      <c r="S31" s="1570">
        <f t="shared" si="12"/>
        <v>100</v>
      </c>
      <c r="T31" s="1569" t="s">
        <v>8</v>
      </c>
      <c r="U31" s="1570">
        <f t="shared" si="13"/>
        <v>100</v>
      </c>
      <c r="V31" s="1569" t="s">
        <v>8</v>
      </c>
      <c r="W31" s="1570">
        <f t="shared" si="14"/>
        <v>100</v>
      </c>
      <c r="X31" s="1563"/>
      <c r="Y31" s="3395"/>
      <c r="Z31" s="1571">
        <f t="shared" si="15"/>
        <v>111</v>
      </c>
      <c r="AA31" s="1572">
        <f t="shared" si="3"/>
        <v>1</v>
      </c>
      <c r="AB31" s="1572">
        <f t="shared" si="4"/>
        <v>1</v>
      </c>
      <c r="AC31" s="1572">
        <f t="shared" si="5"/>
        <v>1</v>
      </c>
    </row>
    <row r="32" spans="1:29" ht="15">
      <c r="A32" s="2904" t="s">
        <v>2756</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396" t="s">
        <v>549</v>
      </c>
      <c r="Q32" s="1568" t="str">
        <f t="shared" si="11"/>
        <v>商业类型</v>
      </c>
      <c r="R32" s="1569" t="s">
        <v>8</v>
      </c>
      <c r="S32" s="1570">
        <f t="shared" si="12"/>
        <v>100</v>
      </c>
      <c r="T32" s="1569" t="s">
        <v>8</v>
      </c>
      <c r="U32" s="1570">
        <f t="shared" si="13"/>
        <v>100</v>
      </c>
      <c r="V32" s="1569" t="s">
        <v>8</v>
      </c>
      <c r="W32" s="1570">
        <f t="shared" si="14"/>
        <v>100</v>
      </c>
      <c r="X32" s="1563"/>
      <c r="Y32" s="3397" t="s">
        <v>549</v>
      </c>
      <c r="Z32" s="1571" t="str">
        <f t="shared" si="15"/>
        <v>商业类型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397"/>
      <c r="Q33" s="1601" t="str">
        <f t="shared" si="11"/>
        <v>项目建筑规模</v>
      </c>
      <c r="R33" s="1573" t="s">
        <v>8</v>
      </c>
      <c r="S33" s="1574" t="e">
        <f t="shared" si="12"/>
        <v>#N/A</v>
      </c>
      <c r="T33" s="1573" t="s">
        <v>8</v>
      </c>
      <c r="U33" s="1574" t="e">
        <f t="shared" si="13"/>
        <v>#N/A</v>
      </c>
      <c r="V33" s="1573" t="s">
        <v>8</v>
      </c>
      <c r="W33" s="1574" t="e">
        <f t="shared" si="14"/>
        <v>#N/A</v>
      </c>
      <c r="X33" s="1575"/>
      <c r="Y33" s="3397"/>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397"/>
      <c r="Q34" s="1568" t="str">
        <f t="shared" si="11"/>
        <v>建筑结构</v>
      </c>
      <c r="R34" s="1569" t="s">
        <v>8</v>
      </c>
      <c r="S34" s="1570">
        <f t="shared" si="12"/>
        <v>100</v>
      </c>
      <c r="T34" s="1569" t="s">
        <v>8</v>
      </c>
      <c r="U34" s="1570">
        <f t="shared" si="13"/>
        <v>100</v>
      </c>
      <c r="V34" s="1569" t="s">
        <v>8</v>
      </c>
      <c r="W34" s="1570">
        <f t="shared" si="14"/>
        <v>100</v>
      </c>
      <c r="X34" s="1563"/>
      <c r="Y34" s="3397"/>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397"/>
      <c r="Q35" s="1568" t="str">
        <f t="shared" si="11"/>
        <v>公共部分装修</v>
      </c>
      <c r="R35" s="1569" t="s">
        <v>8</v>
      </c>
      <c r="S35" s="1570">
        <f t="shared" si="12"/>
        <v>100</v>
      </c>
      <c r="T35" s="1569" t="s">
        <v>8</v>
      </c>
      <c r="U35" s="1570">
        <f t="shared" si="13"/>
        <v>100</v>
      </c>
      <c r="V35" s="1569" t="s">
        <v>8</v>
      </c>
      <c r="W35" s="1570">
        <f t="shared" si="14"/>
        <v>100</v>
      </c>
      <c r="X35" s="1563"/>
      <c r="Y35" s="3397"/>
      <c r="Z35" s="1571" t="str">
        <f t="shared" si="15"/>
        <v>公共部分装修</v>
      </c>
      <c r="AA35" s="1572">
        <f t="shared" si="3"/>
        <v>1</v>
      </c>
      <c r="AB35" s="1572">
        <f t="shared" si="4"/>
        <v>1</v>
      </c>
      <c r="AC35" s="1572">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397"/>
      <c r="Q36" s="1568" t="str">
        <f t="shared" si="11"/>
        <v>成新度</v>
      </c>
      <c r="R36" s="1569" t="s">
        <v>8</v>
      </c>
      <c r="S36" s="1570" t="e">
        <f t="shared" si="12"/>
        <v>#N/A</v>
      </c>
      <c r="T36" s="1569" t="s">
        <v>8</v>
      </c>
      <c r="U36" s="1570" t="e">
        <f t="shared" si="13"/>
        <v>#N/A</v>
      </c>
      <c r="V36" s="1569" t="s">
        <v>8</v>
      </c>
      <c r="W36" s="1570" t="e">
        <f t="shared" si="14"/>
        <v>#N/A</v>
      </c>
      <c r="X36" s="1563"/>
      <c r="Y36" s="3397"/>
      <c r="Z36" s="1571" t="str">
        <f t="shared" si="15"/>
        <v>成新度</v>
      </c>
      <c r="AA36" s="1572" t="e">
        <f t="shared" si="3"/>
        <v>#N/A</v>
      </c>
      <c r="AB36" s="1572" t="e">
        <f t="shared" si="4"/>
        <v>#N/A</v>
      </c>
      <c r="AC36" s="1572" t="e">
        <f t="shared" si="5"/>
        <v>#N/A</v>
      </c>
    </row>
    <row r="37" spans="1:29" s="1217" customFormat="1" ht="15">
      <c r="A37" s="597"/>
      <c r="B37" s="1892" t="s">
        <v>2567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397"/>
      <c r="Q37" s="1148" t="str">
        <f t="shared" si="11"/>
        <v>市政基础设施</v>
      </c>
      <c r="R37" s="1564" t="s">
        <v>8</v>
      </c>
      <c r="S37" s="1565">
        <f t="shared" si="12"/>
        <v>100</v>
      </c>
      <c r="T37" s="1564" t="s">
        <v>8</v>
      </c>
      <c r="U37" s="1565">
        <f t="shared" si="13"/>
        <v>100</v>
      </c>
      <c r="V37" s="1564" t="s">
        <v>8</v>
      </c>
      <c r="W37" s="1565">
        <f t="shared" si="14"/>
        <v>100</v>
      </c>
      <c r="X37" s="1566"/>
      <c r="Y37" s="3397"/>
      <c r="Z37" s="1147"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397" t="s">
        <v>765</v>
      </c>
      <c r="Q38" s="1568" t="str">
        <f t="shared" si="11"/>
        <v>业态</v>
      </c>
      <c r="R38" s="1569" t="s">
        <v>8</v>
      </c>
      <c r="S38" s="1570">
        <f t="shared" si="12"/>
        <v>100</v>
      </c>
      <c r="T38" s="1569" t="s">
        <v>8</v>
      </c>
      <c r="U38" s="1570">
        <f t="shared" si="13"/>
        <v>100</v>
      </c>
      <c r="V38" s="1569" t="s">
        <v>8</v>
      </c>
      <c r="W38" s="1570">
        <f t="shared" si="14"/>
        <v>100</v>
      </c>
      <c r="X38" s="1563"/>
      <c r="Y38" s="3397"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397"/>
      <c r="Q39" s="1568" t="str">
        <f t="shared" si="11"/>
        <v>层高</v>
      </c>
      <c r="R39" s="1569" t="s">
        <v>8</v>
      </c>
      <c r="S39" s="1570">
        <f t="shared" si="12"/>
        <v>100</v>
      </c>
      <c r="T39" s="1569" t="s">
        <v>8</v>
      </c>
      <c r="U39" s="1570">
        <f t="shared" si="13"/>
        <v>100</v>
      </c>
      <c r="V39" s="1569" t="s">
        <v>8</v>
      </c>
      <c r="W39" s="1570">
        <f t="shared" si="14"/>
        <v>100</v>
      </c>
      <c r="X39" s="1563"/>
      <c r="Y39" s="3397"/>
      <c r="Z39" s="1571" t="str">
        <f t="shared" si="15"/>
        <v>层高</v>
      </c>
      <c r="AA39" s="1572">
        <f t="shared" si="3"/>
        <v>1</v>
      </c>
      <c r="AB39" s="1572">
        <f t="shared" si="4"/>
        <v>1</v>
      </c>
      <c r="AC39" s="1572">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397"/>
      <c r="Q40" s="1568" t="str">
        <f t="shared" si="11"/>
        <v>单套建筑面积</v>
      </c>
      <c r="R40" s="1569" t="s">
        <v>8</v>
      </c>
      <c r="S40" s="1570">
        <f t="shared" si="12"/>
        <v>100</v>
      </c>
      <c r="T40" s="1569" t="s">
        <v>8</v>
      </c>
      <c r="U40" s="1570">
        <f t="shared" si="13"/>
        <v>100</v>
      </c>
      <c r="V40" s="1569" t="s">
        <v>8</v>
      </c>
      <c r="W40" s="1570">
        <f t="shared" si="14"/>
        <v>100</v>
      </c>
      <c r="X40" s="1563"/>
      <c r="Y40" s="3397"/>
      <c r="Z40" s="1571" t="str">
        <f t="shared" si="15"/>
        <v>单套建筑面积</v>
      </c>
      <c r="AA40" s="1572">
        <f t="shared" si="3"/>
        <v>1</v>
      </c>
      <c r="AB40" s="1572">
        <f t="shared" si="4"/>
        <v>1</v>
      </c>
      <c r="AC40" s="1572">
        <f t="shared" si="5"/>
        <v>1</v>
      </c>
    </row>
    <row r="41" spans="1:29" s="1336"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397"/>
      <c r="Q41" s="1601" t="str">
        <f t="shared" si="11"/>
        <v>进深比</v>
      </c>
      <c r="R41" s="1573" t="s">
        <v>8</v>
      </c>
      <c r="S41" s="1574">
        <f t="shared" si="12"/>
        <v>100</v>
      </c>
      <c r="T41" s="1573" t="s">
        <v>8</v>
      </c>
      <c r="U41" s="1574">
        <f t="shared" si="13"/>
        <v>100</v>
      </c>
      <c r="V41" s="1573" t="s">
        <v>8</v>
      </c>
      <c r="W41" s="1574">
        <f t="shared" si="14"/>
        <v>100</v>
      </c>
      <c r="X41" s="1575"/>
      <c r="Y41" s="3397"/>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397"/>
      <c r="Q42" s="1568" t="str">
        <f t="shared" si="11"/>
        <v>内部装修</v>
      </c>
      <c r="R42" s="1569" t="s">
        <v>8</v>
      </c>
      <c r="S42" s="1570">
        <f t="shared" si="12"/>
        <v>100</v>
      </c>
      <c r="T42" s="1569" t="s">
        <v>8</v>
      </c>
      <c r="U42" s="1570">
        <f t="shared" si="13"/>
        <v>100</v>
      </c>
      <c r="V42" s="1569" t="s">
        <v>8</v>
      </c>
      <c r="W42" s="1570">
        <f t="shared" si="14"/>
        <v>100</v>
      </c>
      <c r="X42" s="1563"/>
      <c r="Y42" s="3397"/>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397"/>
      <c r="Q43" s="1568" t="str">
        <f t="shared" si="11"/>
        <v>内部装修维护情况</v>
      </c>
      <c r="R43" s="1569" t="s">
        <v>8</v>
      </c>
      <c r="S43" s="1570">
        <f t="shared" si="12"/>
        <v>100</v>
      </c>
      <c r="T43" s="1569" t="s">
        <v>8</v>
      </c>
      <c r="U43" s="1570">
        <f t="shared" si="13"/>
        <v>100</v>
      </c>
      <c r="V43" s="1569" t="s">
        <v>8</v>
      </c>
      <c r="W43" s="1570">
        <f t="shared" si="14"/>
        <v>100</v>
      </c>
      <c r="X43" s="1563"/>
      <c r="Y43" s="3397"/>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397"/>
      <c r="Q44" s="1148">
        <f t="shared" si="11"/>
        <v>111</v>
      </c>
      <c r="R44" s="1564" t="s">
        <v>8</v>
      </c>
      <c r="S44" s="1565">
        <f t="shared" si="12"/>
        <v>100</v>
      </c>
      <c r="T44" s="1564" t="s">
        <v>8</v>
      </c>
      <c r="U44" s="1565">
        <f t="shared" si="13"/>
        <v>100</v>
      </c>
      <c r="V44" s="1564" t="s">
        <v>8</v>
      </c>
      <c r="W44" s="1565">
        <f t="shared" si="14"/>
        <v>100</v>
      </c>
      <c r="X44" s="1566"/>
      <c r="Y44" s="3397"/>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397"/>
      <c r="Q45" s="1568">
        <f t="shared" si="11"/>
        <v>111</v>
      </c>
      <c r="R45" s="1569" t="s">
        <v>8</v>
      </c>
      <c r="S45" s="1570">
        <f t="shared" si="12"/>
        <v>100</v>
      </c>
      <c r="T45" s="1569" t="s">
        <v>8</v>
      </c>
      <c r="U45" s="1570">
        <f t="shared" si="13"/>
        <v>100</v>
      </c>
      <c r="V45" s="1569" t="s">
        <v>8</v>
      </c>
      <c r="W45" s="1570">
        <f t="shared" si="14"/>
        <v>100</v>
      </c>
      <c r="X45" s="1563"/>
      <c r="Y45" s="3397"/>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496"/>
      <c r="Q46" s="1568">
        <f t="shared" si="11"/>
        <v>111</v>
      </c>
      <c r="R46" s="1569" t="s">
        <v>8</v>
      </c>
      <c r="S46" s="1570">
        <f t="shared" si="12"/>
        <v>100</v>
      </c>
      <c r="T46" s="1569" t="s">
        <v>8</v>
      </c>
      <c r="U46" s="1570">
        <f t="shared" si="13"/>
        <v>100</v>
      </c>
      <c r="V46" s="1569" t="s">
        <v>8</v>
      </c>
      <c r="W46" s="1570">
        <f t="shared" si="14"/>
        <v>100</v>
      </c>
      <c r="X46" s="1563"/>
      <c r="Y46" s="3496"/>
      <c r="Z46" s="1571">
        <f t="shared" si="15"/>
        <v>111</v>
      </c>
      <c r="AA46" s="1572">
        <f t="shared" si="3"/>
        <v>1</v>
      </c>
      <c r="AB46" s="1572">
        <f t="shared" si="4"/>
        <v>1</v>
      </c>
      <c r="AC46" s="1572">
        <f t="shared" si="5"/>
        <v>1</v>
      </c>
    </row>
    <row r="47" spans="1:29" ht="15">
      <c r="A47" s="604" t="s">
        <v>735</v>
      </c>
      <c r="B47" s="884"/>
      <c r="C47" s="2624" t="s">
        <v>1</v>
      </c>
      <c r="D47" s="2625"/>
      <c r="E47" s="2626"/>
      <c r="F47" s="2627"/>
      <c r="G47" s="2628"/>
      <c r="H47" s="2629"/>
      <c r="I47" s="2626"/>
      <c r="J47" s="2629"/>
      <c r="K47" s="1607"/>
      <c r="L47" s="2141"/>
      <c r="M47" s="2142"/>
      <c r="N47" s="2131"/>
      <c r="O47" s="2142"/>
      <c r="P47" s="3392" t="str">
        <f>A47</f>
        <v>成交单价（元/平方米）</v>
      </c>
      <c r="Q47" s="3392"/>
      <c r="R47" s="3495">
        <f>E47</f>
        <v>0</v>
      </c>
      <c r="S47" s="3495"/>
      <c r="T47" s="3495">
        <f>G47</f>
        <v>0</v>
      </c>
      <c r="U47" s="3495"/>
      <c r="V47" s="3495">
        <f>I47</f>
        <v>0</v>
      </c>
      <c r="W47" s="3495"/>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8"/>
      <c r="L48" s="2141"/>
      <c r="M48" s="2142"/>
      <c r="N48" s="2131"/>
      <c r="O48" s="2142"/>
      <c r="P48" s="3392" t="str">
        <f>A48</f>
        <v>比较价格（元/平方米）</v>
      </c>
      <c r="Q48" s="3392"/>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5"/>
      <c r="Y48" s="1555"/>
      <c r="Z48" s="1555"/>
      <c r="AA48" s="1555"/>
      <c r="AB48" s="1555"/>
      <c r="AC48" s="1555"/>
    </row>
    <row r="49" spans="1:29" ht="15.75" thickBot="1">
      <c r="A49" s="618" t="s">
        <v>2933</v>
      </c>
      <c r="B49" s="619"/>
      <c r="C49" s="2633" t="e">
        <f>R49</f>
        <v>#DIV/0!</v>
      </c>
      <c r="D49" s="2633"/>
      <c r="E49" s="2633"/>
      <c r="F49" s="2633"/>
      <c r="G49" s="2633"/>
      <c r="H49" s="2633"/>
      <c r="I49" s="2633"/>
      <c r="J49" s="2633"/>
      <c r="K49" s="1609"/>
      <c r="L49" s="2141"/>
      <c r="M49" s="2142"/>
      <c r="N49" s="2131"/>
      <c r="O49" s="2142"/>
      <c r="P49" s="3415" t="str">
        <f>A49</f>
        <v>估价对象XX用房的比较价格（楼面单价，元/平方米）</v>
      </c>
      <c r="Q49" s="3416"/>
      <c r="R49" s="3494" t="e">
        <f>IF(F1="售价",ROUND(AVERAGE(R48:V48),0),ROUND(AVERAGE(R48:V48),1))</f>
        <v>#DIV/0!</v>
      </c>
      <c r="S49" s="3494"/>
      <c r="T49" s="3494"/>
      <c r="U49" s="3494"/>
      <c r="V49" s="3494"/>
      <c r="W49" s="349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770</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771</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2558</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773</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774</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775</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776</v>
      </c>
      <c r="C1" s="501" t="s">
        <v>719</v>
      </c>
      <c r="D1" s="846"/>
      <c r="E1" s="503"/>
      <c r="F1" s="2804"/>
      <c r="G1" s="1597" t="s">
        <v>720</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518</v>
      </c>
      <c r="B3" s="507" t="e">
        <f>C50</f>
        <v>#DIV/0!</v>
      </c>
      <c r="C3" s="849" t="s">
        <v>721</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520</v>
      </c>
      <c r="B4" s="510"/>
      <c r="C4" s="3398" t="s">
        <v>521</v>
      </c>
      <c r="D4" s="3399"/>
      <c r="E4" s="3424" t="s">
        <v>522</v>
      </c>
      <c r="F4" s="3425"/>
      <c r="G4" s="3398" t="s">
        <v>523</v>
      </c>
      <c r="H4" s="3399"/>
      <c r="I4" s="3398" t="s">
        <v>524</v>
      </c>
      <c r="J4" s="3399"/>
      <c r="K4" s="511" t="s">
        <v>525</v>
      </c>
      <c r="L4" s="2130"/>
      <c r="M4" s="2131"/>
      <c r="N4" s="2131"/>
      <c r="O4" s="2131"/>
      <c r="P4" s="3497" t="s">
        <v>526</v>
      </c>
      <c r="Q4" s="3401"/>
      <c r="R4" s="3386" t="s">
        <v>522</v>
      </c>
      <c r="S4" s="3387"/>
      <c r="T4" s="3386" t="s">
        <v>523</v>
      </c>
      <c r="U4" s="3387"/>
      <c r="V4" s="3406" t="s">
        <v>524</v>
      </c>
      <c r="W4" s="3406"/>
      <c r="X4" s="1563"/>
      <c r="Y4" s="3386" t="s">
        <v>526</v>
      </c>
      <c r="Z4" s="3387"/>
      <c r="AA4" s="3381" t="s">
        <v>522</v>
      </c>
      <c r="AB4" s="3381" t="s">
        <v>523</v>
      </c>
      <c r="AC4" s="3381" t="s">
        <v>524</v>
      </c>
    </row>
    <row r="5" spans="1:29" ht="15">
      <c r="A5" s="512"/>
      <c r="B5" s="513"/>
      <c r="C5" s="3409" t="s">
        <v>2927</v>
      </c>
      <c r="D5" s="3410"/>
      <c r="E5" s="3426" t="s">
        <v>2928</v>
      </c>
      <c r="F5" s="3427"/>
      <c r="G5" s="3409" t="s">
        <v>2929</v>
      </c>
      <c r="H5" s="3410"/>
      <c r="I5" s="3409" t="s">
        <v>2930</v>
      </c>
      <c r="J5" s="3410"/>
      <c r="K5" s="511"/>
      <c r="L5" s="2130"/>
      <c r="M5" s="2131"/>
      <c r="N5" s="2131"/>
      <c r="O5" s="2131"/>
      <c r="P5" s="3498"/>
      <c r="Q5" s="3403"/>
      <c r="R5" s="3388"/>
      <c r="S5" s="3389"/>
      <c r="T5" s="3388"/>
      <c r="U5" s="3389"/>
      <c r="V5" s="3406"/>
      <c r="W5" s="3406"/>
      <c r="X5" s="1563"/>
      <c r="Y5" s="3388"/>
      <c r="Z5" s="3389"/>
      <c r="AA5" s="3382"/>
      <c r="AB5" s="3382"/>
      <c r="AC5" s="3382"/>
    </row>
    <row r="6" spans="1:29" ht="15.75" thickBot="1">
      <c r="A6" s="514"/>
      <c r="B6" s="515"/>
      <c r="C6" s="3428" t="s">
        <v>2931</v>
      </c>
      <c r="D6" s="3408"/>
      <c r="E6" s="3429" t="s">
        <v>2931</v>
      </c>
      <c r="F6" s="3430"/>
      <c r="G6" s="3428" t="s">
        <v>2931</v>
      </c>
      <c r="H6" s="3408"/>
      <c r="I6" s="3428" t="s">
        <v>2931</v>
      </c>
      <c r="J6" s="3408"/>
      <c r="K6" s="511" t="s">
        <v>527</v>
      </c>
      <c r="L6" s="2130"/>
      <c r="M6" s="2131"/>
      <c r="N6" s="2131"/>
      <c r="O6" s="2131"/>
      <c r="P6" s="3499"/>
      <c r="Q6" s="3405"/>
      <c r="R6" s="3388"/>
      <c r="S6" s="3389"/>
      <c r="T6" s="3390"/>
      <c r="U6" s="3391"/>
      <c r="V6" s="3406"/>
      <c r="W6" s="3406"/>
      <c r="X6" s="1563"/>
      <c r="Y6" s="3390"/>
      <c r="Z6" s="3391"/>
      <c r="AA6" s="3383"/>
      <c r="AB6" s="3383"/>
      <c r="AC6" s="3383"/>
    </row>
    <row r="7" spans="1:29" s="1217" customFormat="1" ht="15.75" thickBot="1">
      <c r="A7" s="2908"/>
      <c r="B7" s="2915" t="s">
        <v>528</v>
      </c>
      <c r="C7" s="516">
        <f>'数据-取费表'!B2</f>
        <v>43403</v>
      </c>
      <c r="D7" s="517">
        <v>100</v>
      </c>
      <c r="E7" s="518"/>
      <c r="F7" s="519">
        <f>SUMIF(59:59,YEAR(E7)&amp;"-"&amp;MONTH(E7),60:60)</f>
        <v>0</v>
      </c>
      <c r="G7" s="518"/>
      <c r="H7" s="517">
        <f>SUMIF(59:59,YEAR(G7)&amp;"-"&amp;MONTH(G7),60:60)</f>
        <v>0</v>
      </c>
      <c r="I7" s="518"/>
      <c r="J7" s="517">
        <f>SUMIF(59:59,YEAR(I7)&amp;"-"&amp;MONTH(I7),60:60)</f>
        <v>0</v>
      </c>
      <c r="K7" s="521"/>
      <c r="L7" s="2132"/>
      <c r="M7" s="2133"/>
      <c r="N7" s="2133"/>
      <c r="O7" s="2133"/>
      <c r="P7" s="3393" t="s">
        <v>529</v>
      </c>
      <c r="Q7" s="3393"/>
      <c r="R7" s="1564" t="s">
        <v>8</v>
      </c>
      <c r="S7" s="1565">
        <f t="shared" ref="S7:S15" si="0">F7</f>
        <v>0</v>
      </c>
      <c r="T7" s="1564" t="s">
        <v>8</v>
      </c>
      <c r="U7" s="1565">
        <f t="shared" ref="U7:U15" si="1">H7</f>
        <v>0</v>
      </c>
      <c r="V7" s="1564" t="s">
        <v>8</v>
      </c>
      <c r="W7" s="1565">
        <f t="shared" ref="W7:W15" si="2">J7</f>
        <v>0</v>
      </c>
      <c r="X7" s="1566"/>
      <c r="Y7" s="3384" t="s">
        <v>529</v>
      </c>
      <c r="Z7" s="3385"/>
      <c r="AA7" s="1567" t="e">
        <f>D7/F7</f>
        <v>#DIV/0!</v>
      </c>
      <c r="AB7" s="1567" t="e">
        <f>D7/H7</f>
        <v>#DIV/0!</v>
      </c>
      <c r="AC7" s="1567" t="e">
        <f>D7/J7</f>
        <v>#DIV/0!</v>
      </c>
    </row>
    <row r="8" spans="1:29" s="1217" customFormat="1" ht="15.75" thickBot="1">
      <c r="A8" s="2909"/>
      <c r="B8" s="2916" t="s">
        <v>530</v>
      </c>
      <c r="C8" s="522" t="s">
        <v>575</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393" t="s">
        <v>532</v>
      </c>
      <c r="Q8" s="3385"/>
      <c r="R8" s="1564" t="s">
        <v>8</v>
      </c>
      <c r="S8" s="1565">
        <f t="shared" si="0"/>
        <v>0</v>
      </c>
      <c r="T8" s="1564" t="s">
        <v>8</v>
      </c>
      <c r="U8" s="1565">
        <f t="shared" si="1"/>
        <v>0</v>
      </c>
      <c r="V8" s="1564" t="s">
        <v>8</v>
      </c>
      <c r="W8" s="1565">
        <f t="shared" si="2"/>
        <v>0</v>
      </c>
      <c r="X8" s="1566"/>
      <c r="Y8" s="3384" t="s">
        <v>532</v>
      </c>
      <c r="Z8" s="3385"/>
      <c r="AA8" s="1567" t="e">
        <f t="shared" ref="AA8:AA47" si="3">D8/F8</f>
        <v>#DIV/0!</v>
      </c>
      <c r="AB8" s="1567" t="e">
        <f t="shared" ref="AB8:AB47" si="4">D8/H8</f>
        <v>#DIV/0!</v>
      </c>
      <c r="AC8" s="1567" t="e">
        <f t="shared" ref="AC8:AC47" si="5">D8/J8</f>
        <v>#DIV/0!</v>
      </c>
    </row>
    <row r="9" spans="1:29" s="1217" customFormat="1" ht="15">
      <c r="A9" s="2910"/>
      <c r="B9" s="2917" t="s">
        <v>2757</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392" t="s">
        <v>534</v>
      </c>
      <c r="Q9" s="1148" t="str">
        <f t="shared" ref="Q9:Q15" si="6">B9</f>
        <v>用途</v>
      </c>
      <c r="R9" s="1564" t="s">
        <v>8</v>
      </c>
      <c r="S9" s="1565">
        <f t="shared" si="0"/>
        <v>100</v>
      </c>
      <c r="T9" s="1564" t="s">
        <v>8</v>
      </c>
      <c r="U9" s="1565">
        <f t="shared" si="1"/>
        <v>100</v>
      </c>
      <c r="V9" s="1564" t="s">
        <v>8</v>
      </c>
      <c r="W9" s="1565">
        <f t="shared" si="2"/>
        <v>100</v>
      </c>
      <c r="X9" s="1566"/>
      <c r="Y9" s="3349"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392"/>
      <c r="Q10" s="1148" t="str">
        <f t="shared" si="6"/>
        <v>土地使用年限（年）</v>
      </c>
      <c r="R10" s="1564" t="s">
        <v>8</v>
      </c>
      <c r="S10" s="1565">
        <f t="shared" si="0"/>
        <v>100</v>
      </c>
      <c r="T10" s="1564" t="s">
        <v>8</v>
      </c>
      <c r="U10" s="1565">
        <f t="shared" si="1"/>
        <v>100</v>
      </c>
      <c r="V10" s="1564" t="s">
        <v>8</v>
      </c>
      <c r="W10" s="1565">
        <f t="shared" si="2"/>
        <v>100</v>
      </c>
      <c r="X10" s="1566"/>
      <c r="Y10" s="3349"/>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392"/>
      <c r="Q11" s="1148" t="str">
        <f t="shared" si="6"/>
        <v>容积率</v>
      </c>
      <c r="R11" s="1564" t="s">
        <v>8</v>
      </c>
      <c r="S11" s="1565" t="e">
        <f t="shared" si="0"/>
        <v>#N/A</v>
      </c>
      <c r="T11" s="1564" t="s">
        <v>8</v>
      </c>
      <c r="U11" s="1565" t="e">
        <f t="shared" si="1"/>
        <v>#N/A</v>
      </c>
      <c r="V11" s="1564" t="s">
        <v>8</v>
      </c>
      <c r="W11" s="1565" t="e">
        <f t="shared" si="2"/>
        <v>#N/A</v>
      </c>
      <c r="X11" s="1566"/>
      <c r="Y11" s="3349"/>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392"/>
      <c r="Q12" s="1148">
        <f t="shared" si="6"/>
        <v>111</v>
      </c>
      <c r="R12" s="1564" t="s">
        <v>8</v>
      </c>
      <c r="S12" s="1565">
        <f t="shared" si="0"/>
        <v>100</v>
      </c>
      <c r="T12" s="1564" t="s">
        <v>8</v>
      </c>
      <c r="U12" s="1565">
        <f t="shared" si="1"/>
        <v>100</v>
      </c>
      <c r="V12" s="1564" t="s">
        <v>8</v>
      </c>
      <c r="W12" s="1565">
        <f t="shared" si="2"/>
        <v>100</v>
      </c>
      <c r="X12" s="1566"/>
      <c r="Y12" s="3349"/>
      <c r="Z12" s="1147">
        <f t="shared" si="7"/>
        <v>111</v>
      </c>
      <c r="AA12" s="1567">
        <f>D12/F12</f>
        <v>1</v>
      </c>
      <c r="AB12" s="1567">
        <f>D12/H12</f>
        <v>1</v>
      </c>
      <c r="AC12" s="1567">
        <f>D12/J12</f>
        <v>1</v>
      </c>
    </row>
    <row r="13" spans="1:29" ht="15">
      <c r="A13" s="2913"/>
      <c r="B13" s="2919">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392"/>
      <c r="Q13" s="1148">
        <f t="shared" si="6"/>
        <v>111</v>
      </c>
      <c r="R13" s="1564" t="s">
        <v>8</v>
      </c>
      <c r="S13" s="1565">
        <f t="shared" si="0"/>
        <v>100</v>
      </c>
      <c r="T13" s="1564" t="s">
        <v>8</v>
      </c>
      <c r="U13" s="1565">
        <f t="shared" si="1"/>
        <v>100</v>
      </c>
      <c r="V13" s="1564" t="s">
        <v>8</v>
      </c>
      <c r="W13" s="1565">
        <f t="shared" si="2"/>
        <v>100</v>
      </c>
      <c r="X13" s="1566"/>
      <c r="Y13" s="3349"/>
      <c r="Z13" s="1147">
        <f t="shared" si="7"/>
        <v>111</v>
      </c>
      <c r="AA13" s="1567">
        <f t="shared" si="3"/>
        <v>1</v>
      </c>
      <c r="AB13" s="1567">
        <f t="shared" si="4"/>
        <v>1</v>
      </c>
      <c r="AC13" s="1567">
        <f t="shared" si="5"/>
        <v>1</v>
      </c>
    </row>
    <row r="14" spans="1:29" ht="15.75" thickBot="1">
      <c r="A14" s="2914"/>
      <c r="B14" s="2920">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392"/>
      <c r="Q14" s="1148">
        <f t="shared" si="6"/>
        <v>111</v>
      </c>
      <c r="R14" s="1564" t="s">
        <v>8</v>
      </c>
      <c r="S14" s="1565">
        <f t="shared" si="0"/>
        <v>100</v>
      </c>
      <c r="T14" s="1564" t="s">
        <v>8</v>
      </c>
      <c r="U14" s="1565">
        <f t="shared" si="1"/>
        <v>100</v>
      </c>
      <c r="V14" s="1564" t="s">
        <v>8</v>
      </c>
      <c r="W14" s="1565">
        <f t="shared" si="2"/>
        <v>100</v>
      </c>
      <c r="X14" s="1566"/>
      <c r="Y14" s="3349"/>
      <c r="Z14" s="1147">
        <f t="shared" si="7"/>
        <v>111</v>
      </c>
      <c r="AA14" s="1567">
        <f t="shared" si="3"/>
        <v>1</v>
      </c>
      <c r="AB14" s="1567">
        <f t="shared" si="4"/>
        <v>1</v>
      </c>
      <c r="AC14" s="1567">
        <f t="shared" si="5"/>
        <v>1</v>
      </c>
    </row>
    <row r="15" spans="1:29" ht="15">
      <c r="A15" s="2906" t="s">
        <v>2755</v>
      </c>
      <c r="B15" s="544" t="s">
        <v>541</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394" t="s">
        <v>539</v>
      </c>
      <c r="Q15" s="1568" t="str">
        <f t="shared" si="6"/>
        <v>办公集聚程度</v>
      </c>
      <c r="R15" s="1569" t="s">
        <v>8</v>
      </c>
      <c r="S15" s="1570">
        <f t="shared" si="0"/>
        <v>100</v>
      </c>
      <c r="T15" s="1569" t="s">
        <v>8</v>
      </c>
      <c r="U15" s="1570">
        <f t="shared" si="1"/>
        <v>100</v>
      </c>
      <c r="V15" s="1569" t="s">
        <v>8</v>
      </c>
      <c r="W15" s="1570">
        <f t="shared" si="2"/>
        <v>100</v>
      </c>
      <c r="X15" s="1563"/>
      <c r="Y15" s="3394" t="s">
        <v>539</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395"/>
      <c r="Q16" s="1568"/>
      <c r="R16" s="1569"/>
      <c r="S16" s="1570"/>
      <c r="T16" s="1569"/>
      <c r="U16" s="1570"/>
      <c r="V16" s="1569"/>
      <c r="W16" s="1570"/>
      <c r="X16" s="1563"/>
      <c r="Y16" s="3395"/>
      <c r="Z16" s="1571"/>
      <c r="AA16" s="1572">
        <v>1</v>
      </c>
      <c r="AB16" s="1572">
        <v>1</v>
      </c>
      <c r="AC16" s="1572">
        <v>1</v>
      </c>
    </row>
    <row r="17" spans="1:29" ht="128.25">
      <c r="A17" s="529"/>
      <c r="B17" s="557" t="s">
        <v>295</v>
      </c>
      <c r="C17" s="570" t="str">
        <f>估价对象房地状况!C6</f>
        <v>估价对象周边1公里内公共交通通达情况较好，有942、855路公交线路、距京承高速公路1.3公里、停车较便捷，综合评价交通便捷度较好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395"/>
      <c r="Q17" s="1568" t="str">
        <f>B17</f>
        <v>交通便捷度</v>
      </c>
      <c r="R17" s="1569" t="s">
        <v>8</v>
      </c>
      <c r="S17" s="1570">
        <f>F17</f>
        <v>100</v>
      </c>
      <c r="T17" s="1569" t="s">
        <v>8</v>
      </c>
      <c r="U17" s="1570">
        <f>H17</f>
        <v>100</v>
      </c>
      <c r="V17" s="1569" t="s">
        <v>8</v>
      </c>
      <c r="W17" s="1570">
        <f>J17</f>
        <v>100</v>
      </c>
      <c r="X17" s="1563"/>
      <c r="Y17" s="3395"/>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395"/>
      <c r="Q18" s="1568"/>
      <c r="R18" s="1569"/>
      <c r="S18" s="1570"/>
      <c r="T18" s="1569"/>
      <c r="U18" s="1570"/>
      <c r="V18" s="1569"/>
      <c r="W18" s="1570"/>
      <c r="X18" s="1563"/>
      <c r="Y18" s="3395"/>
      <c r="Z18" s="1571"/>
      <c r="AA18" s="1572">
        <v>1</v>
      </c>
      <c r="AB18" s="1572">
        <v>1</v>
      </c>
      <c r="AC18" s="1572">
        <v>1</v>
      </c>
    </row>
    <row r="19" spans="1:29" ht="71.25">
      <c r="A19" s="529"/>
      <c r="B19" s="2600" t="s">
        <v>2548</v>
      </c>
      <c r="C19" s="570" t="str">
        <f>估价对象房地状况!C7</f>
        <v>估价对象所在区域公共配套设施齐备情况较差，2公里内有银行、社区医院等</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395"/>
      <c r="Q19" s="1568" t="str">
        <f>B19</f>
        <v>公共配套设施</v>
      </c>
      <c r="R19" s="1569" t="s">
        <v>8</v>
      </c>
      <c r="S19" s="1570">
        <f>F19</f>
        <v>100</v>
      </c>
      <c r="T19" s="1569" t="s">
        <v>8</v>
      </c>
      <c r="U19" s="1570">
        <f>H19</f>
        <v>100</v>
      </c>
      <c r="V19" s="1569" t="s">
        <v>8</v>
      </c>
      <c r="W19" s="1570">
        <f>J19</f>
        <v>100</v>
      </c>
      <c r="X19" s="1563"/>
      <c r="Y19" s="3395"/>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395"/>
      <c r="Q20" s="1568"/>
      <c r="R20" s="1569"/>
      <c r="S20" s="1570"/>
      <c r="T20" s="1569"/>
      <c r="U20" s="1570"/>
      <c r="V20" s="1569"/>
      <c r="W20" s="1570"/>
      <c r="X20" s="1563"/>
      <c r="Y20" s="3395"/>
      <c r="Z20" s="1571"/>
      <c r="AA20" s="1572">
        <v>1</v>
      </c>
      <c r="AB20" s="1572">
        <v>1</v>
      </c>
      <c r="AC20" s="1572">
        <v>1</v>
      </c>
    </row>
    <row r="21" spans="1:29" ht="42.75">
      <c r="A21" s="529"/>
      <c r="B21" s="2588" t="s">
        <v>2560</v>
      </c>
      <c r="C21" s="570" t="str">
        <f>估价对象房地状况!C8</f>
        <v>估价对象所在区域基础设施水平七通一平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395"/>
      <c r="Q21" s="2576" t="str">
        <f>B21</f>
        <v>基础设施水平</v>
      </c>
      <c r="R21" s="1569" t="s">
        <v>8</v>
      </c>
      <c r="S21" s="1570">
        <f>F21</f>
        <v>100</v>
      </c>
      <c r="T21" s="1569" t="s">
        <v>8</v>
      </c>
      <c r="U21" s="1570">
        <f>H21</f>
        <v>100</v>
      </c>
      <c r="V21" s="1569" t="s">
        <v>8</v>
      </c>
      <c r="W21" s="1570">
        <f>J21</f>
        <v>100</v>
      </c>
      <c r="X21" s="2578"/>
      <c r="Y21" s="3395"/>
      <c r="Z21" s="2577"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9"/>
      <c r="L22" s="2139"/>
      <c r="M22" s="2131"/>
      <c r="N22" s="2131"/>
      <c r="O22" s="2131"/>
      <c r="P22" s="3395"/>
      <c r="Q22" s="2576"/>
      <c r="R22" s="1569"/>
      <c r="S22" s="1570"/>
      <c r="T22" s="1569"/>
      <c r="U22" s="1570"/>
      <c r="V22" s="1569"/>
      <c r="W22" s="1570"/>
      <c r="X22" s="2578"/>
      <c r="Y22" s="3395"/>
      <c r="Z22" s="2577"/>
      <c r="AA22" s="1572">
        <v>1</v>
      </c>
      <c r="AB22" s="1572">
        <v>1</v>
      </c>
      <c r="AC22" s="1572">
        <v>1</v>
      </c>
    </row>
    <row r="23" spans="1:29" ht="85.5">
      <c r="A23" s="529"/>
      <c r="B23" s="557" t="s">
        <v>777</v>
      </c>
      <c r="C23" s="570" t="str">
        <f>估价对象房地状况!C9</f>
        <v>区域自然环境：温榆河；人文环境：北京国际标准舞学院；综合评价环境状况较好</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395"/>
      <c r="Q23" s="1568" t="str">
        <f>B23</f>
        <v>环境质量</v>
      </c>
      <c r="R23" s="1569" t="s">
        <v>8</v>
      </c>
      <c r="S23" s="1570">
        <f>F23</f>
        <v>100</v>
      </c>
      <c r="T23" s="1569" t="s">
        <v>8</v>
      </c>
      <c r="U23" s="1570">
        <f>H23</f>
        <v>100</v>
      </c>
      <c r="V23" s="1569" t="s">
        <v>8</v>
      </c>
      <c r="W23" s="1570">
        <f>J23</f>
        <v>100</v>
      </c>
      <c r="X23" s="1563"/>
      <c r="Y23" s="3395"/>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395"/>
      <c r="Q24" s="1568"/>
      <c r="R24" s="1569"/>
      <c r="S24" s="1570"/>
      <c r="T24" s="1569"/>
      <c r="U24" s="1570"/>
      <c r="V24" s="1569"/>
      <c r="W24" s="1570"/>
      <c r="X24" s="1563"/>
      <c r="Y24" s="3395"/>
      <c r="Z24" s="1571"/>
      <c r="AA24" s="1572">
        <v>1</v>
      </c>
      <c r="AB24" s="1572">
        <v>1</v>
      </c>
      <c r="AC24" s="1572">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395"/>
      <c r="Q25" s="1568" t="str">
        <f>B25</f>
        <v>毗邻道路的类型与等级</v>
      </c>
      <c r="R25" s="1569" t="s">
        <v>8</v>
      </c>
      <c r="S25" s="1570">
        <f>F25</f>
        <v>100</v>
      </c>
      <c r="T25" s="1569" t="s">
        <v>8</v>
      </c>
      <c r="U25" s="1570">
        <f>H25</f>
        <v>100</v>
      </c>
      <c r="V25" s="1569" t="s">
        <v>8</v>
      </c>
      <c r="W25" s="1570">
        <f>J25</f>
        <v>100</v>
      </c>
      <c r="X25" s="1563"/>
      <c r="Y25" s="3395"/>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395"/>
      <c r="Q26" s="1568"/>
      <c r="R26" s="1569"/>
      <c r="S26" s="1570"/>
      <c r="T26" s="1569"/>
      <c r="U26" s="1570"/>
      <c r="V26" s="1569"/>
      <c r="W26" s="1570"/>
      <c r="X26" s="1563"/>
      <c r="Y26" s="3395"/>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395"/>
      <c r="Q27" s="1568" t="str">
        <f t="shared" ref="Q27:Q47" si="11">B27</f>
        <v>楼层</v>
      </c>
      <c r="R27" s="1569" t="s">
        <v>8</v>
      </c>
      <c r="S27" s="1570">
        <f>F27</f>
        <v>100</v>
      </c>
      <c r="T27" s="1569" t="s">
        <v>8</v>
      </c>
      <c r="U27" s="1570">
        <f>H27</f>
        <v>100</v>
      </c>
      <c r="V27" s="1569" t="s">
        <v>8</v>
      </c>
      <c r="W27" s="1570">
        <f>J27</f>
        <v>100</v>
      </c>
      <c r="X27" s="1563"/>
      <c r="Y27" s="3395"/>
      <c r="Z27" s="1571" t="str">
        <f>Q27</f>
        <v>楼层</v>
      </c>
      <c r="AA27" s="1572">
        <f t="shared" si="3"/>
        <v>1</v>
      </c>
      <c r="AB27" s="1572">
        <f t="shared" si="4"/>
        <v>1</v>
      </c>
      <c r="AC27" s="1572">
        <f t="shared" si="5"/>
        <v>1</v>
      </c>
    </row>
    <row r="28" spans="1:29" s="1217"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395"/>
      <c r="Q28" s="1148" t="str">
        <f t="shared" si="11"/>
        <v>朝向</v>
      </c>
      <c r="R28" s="1564" t="s">
        <v>8</v>
      </c>
      <c r="S28" s="1565">
        <f>F28</f>
        <v>100</v>
      </c>
      <c r="T28" s="1564" t="s">
        <v>8</v>
      </c>
      <c r="U28" s="1565">
        <f>H28</f>
        <v>100</v>
      </c>
      <c r="V28" s="1564" t="s">
        <v>8</v>
      </c>
      <c r="W28" s="1565">
        <f>J28</f>
        <v>100</v>
      </c>
      <c r="X28" s="1566"/>
      <c r="Y28" s="3395"/>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395"/>
      <c r="Q29" s="1568">
        <f t="shared" si="11"/>
        <v>111</v>
      </c>
      <c r="R29" s="1569" t="s">
        <v>8</v>
      </c>
      <c r="S29" s="1570">
        <f t="shared" ref="S29:S47" si="12">F29</f>
        <v>100</v>
      </c>
      <c r="T29" s="1569" t="s">
        <v>8</v>
      </c>
      <c r="U29" s="1570">
        <f t="shared" ref="U29:U47" si="13">H29</f>
        <v>100</v>
      </c>
      <c r="V29" s="1569" t="s">
        <v>8</v>
      </c>
      <c r="W29" s="1570">
        <f t="shared" ref="W29:W47" si="14">J29</f>
        <v>100</v>
      </c>
      <c r="X29" s="1563"/>
      <c r="Y29" s="3395"/>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395"/>
      <c r="Q30" s="1568">
        <f t="shared" si="11"/>
        <v>111</v>
      </c>
      <c r="R30" s="1569" t="s">
        <v>8</v>
      </c>
      <c r="S30" s="1570">
        <f t="shared" si="12"/>
        <v>100</v>
      </c>
      <c r="T30" s="1569" t="s">
        <v>8</v>
      </c>
      <c r="U30" s="1570">
        <f t="shared" si="13"/>
        <v>100</v>
      </c>
      <c r="V30" s="1569" t="s">
        <v>8</v>
      </c>
      <c r="W30" s="1570">
        <f t="shared" si="14"/>
        <v>100</v>
      </c>
      <c r="X30" s="1563"/>
      <c r="Y30" s="3395"/>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395"/>
      <c r="Q31" s="1568">
        <f t="shared" si="11"/>
        <v>111</v>
      </c>
      <c r="R31" s="1569" t="s">
        <v>8</v>
      </c>
      <c r="S31" s="1570">
        <f t="shared" si="12"/>
        <v>100</v>
      </c>
      <c r="T31" s="1569" t="s">
        <v>8</v>
      </c>
      <c r="U31" s="1570">
        <f t="shared" si="13"/>
        <v>100</v>
      </c>
      <c r="V31" s="1569" t="s">
        <v>8</v>
      </c>
      <c r="W31" s="1570">
        <f t="shared" si="14"/>
        <v>100</v>
      </c>
      <c r="X31" s="1563"/>
      <c r="Y31" s="3395"/>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395"/>
      <c r="Q32" s="1568">
        <f t="shared" si="11"/>
        <v>111</v>
      </c>
      <c r="R32" s="1569" t="s">
        <v>8</v>
      </c>
      <c r="S32" s="1570">
        <f t="shared" si="12"/>
        <v>100</v>
      </c>
      <c r="T32" s="1569" t="s">
        <v>8</v>
      </c>
      <c r="U32" s="1570">
        <f t="shared" si="13"/>
        <v>100</v>
      </c>
      <c r="V32" s="1569" t="s">
        <v>8</v>
      </c>
      <c r="W32" s="1570">
        <f t="shared" si="14"/>
        <v>100</v>
      </c>
      <c r="X32" s="1563"/>
      <c r="Y32" s="3395"/>
      <c r="Z32" s="1571">
        <f t="shared" si="15"/>
        <v>111</v>
      </c>
      <c r="AA32" s="1572">
        <f t="shared" si="3"/>
        <v>1</v>
      </c>
      <c r="AB32" s="1572">
        <f t="shared" si="4"/>
        <v>1</v>
      </c>
      <c r="AC32" s="1572">
        <f t="shared" si="5"/>
        <v>1</v>
      </c>
    </row>
    <row r="33" spans="1:29" ht="15">
      <c r="A33" s="2904" t="s">
        <v>2756</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396" t="s">
        <v>549</v>
      </c>
      <c r="Q33" s="1568" t="str">
        <f t="shared" si="11"/>
        <v>建筑类型</v>
      </c>
      <c r="R33" s="1569" t="s">
        <v>8</v>
      </c>
      <c r="S33" s="1570">
        <f t="shared" si="12"/>
        <v>100</v>
      </c>
      <c r="T33" s="1569" t="s">
        <v>8</v>
      </c>
      <c r="U33" s="1570">
        <f t="shared" si="13"/>
        <v>100</v>
      </c>
      <c r="V33" s="1569" t="s">
        <v>8</v>
      </c>
      <c r="W33" s="1570">
        <f t="shared" si="14"/>
        <v>100</v>
      </c>
      <c r="X33" s="1563"/>
      <c r="Y33" s="3397" t="s">
        <v>549</v>
      </c>
      <c r="Z33" s="1571" t="str">
        <f t="shared" si="15"/>
        <v>建筑类型</v>
      </c>
      <c r="AA33" s="1572">
        <f t="shared" si="3"/>
        <v>1</v>
      </c>
      <c r="AB33" s="1572">
        <f t="shared" si="4"/>
        <v>1</v>
      </c>
      <c r="AC33" s="1572">
        <f t="shared" si="5"/>
        <v>1</v>
      </c>
    </row>
    <row r="34" spans="1:29" s="1336" customFormat="1" ht="15">
      <c r="A34" s="600"/>
      <c r="B34" s="524" t="s">
        <v>725</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397"/>
      <c r="Q34" s="1601" t="str">
        <f t="shared" si="11"/>
        <v>项目建筑规模</v>
      </c>
      <c r="R34" s="1573" t="s">
        <v>8</v>
      </c>
      <c r="S34" s="1574" t="e">
        <f t="shared" si="12"/>
        <v>#N/A</v>
      </c>
      <c r="T34" s="1573" t="s">
        <v>8</v>
      </c>
      <c r="U34" s="1574" t="e">
        <f t="shared" si="13"/>
        <v>#N/A</v>
      </c>
      <c r="V34" s="1573" t="s">
        <v>8</v>
      </c>
      <c r="W34" s="1574" t="e">
        <f t="shared" si="14"/>
        <v>#N/A</v>
      </c>
      <c r="X34" s="1575"/>
      <c r="Y34" s="3397"/>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397"/>
      <c r="Q35" s="1568" t="str">
        <f t="shared" si="11"/>
        <v>建筑结构</v>
      </c>
      <c r="R35" s="1569" t="s">
        <v>8</v>
      </c>
      <c r="S35" s="1570">
        <f t="shared" si="12"/>
        <v>100</v>
      </c>
      <c r="T35" s="1569" t="s">
        <v>8</v>
      </c>
      <c r="U35" s="1570">
        <f t="shared" si="13"/>
        <v>100</v>
      </c>
      <c r="V35" s="1569" t="s">
        <v>8</v>
      </c>
      <c r="W35" s="1570">
        <f t="shared" si="14"/>
        <v>100</v>
      </c>
      <c r="X35" s="1563"/>
      <c r="Y35" s="3397"/>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397"/>
      <c r="Q36" s="1568" t="str">
        <f t="shared" si="11"/>
        <v>公共部分装修</v>
      </c>
      <c r="R36" s="1569" t="s">
        <v>8</v>
      </c>
      <c r="S36" s="1570">
        <f t="shared" si="12"/>
        <v>100</v>
      </c>
      <c r="T36" s="1569" t="s">
        <v>8</v>
      </c>
      <c r="U36" s="1570">
        <f t="shared" si="13"/>
        <v>100</v>
      </c>
      <c r="V36" s="1569" t="s">
        <v>8</v>
      </c>
      <c r="W36" s="1570">
        <f t="shared" si="14"/>
        <v>100</v>
      </c>
      <c r="X36" s="1563"/>
      <c r="Y36" s="3397"/>
      <c r="Z36" s="1571" t="str">
        <f t="shared" si="15"/>
        <v>公共部分装修</v>
      </c>
      <c r="AA36" s="1572">
        <f t="shared" si="3"/>
        <v>1</v>
      </c>
      <c r="AB36" s="1572">
        <f t="shared" si="4"/>
        <v>1</v>
      </c>
      <c r="AC36" s="1572">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397"/>
      <c r="Q37" s="1568" t="str">
        <f t="shared" si="11"/>
        <v>成新度</v>
      </c>
      <c r="R37" s="1569" t="s">
        <v>8</v>
      </c>
      <c r="S37" s="1570" t="e">
        <f t="shared" si="12"/>
        <v>#N/A</v>
      </c>
      <c r="T37" s="1569" t="s">
        <v>8</v>
      </c>
      <c r="U37" s="1570" t="e">
        <f t="shared" si="13"/>
        <v>#N/A</v>
      </c>
      <c r="V37" s="1569" t="s">
        <v>8</v>
      </c>
      <c r="W37" s="1570" t="e">
        <f t="shared" si="14"/>
        <v>#N/A</v>
      </c>
      <c r="X37" s="1563"/>
      <c r="Y37" s="3397"/>
      <c r="Z37" s="1571" t="str">
        <f t="shared" si="15"/>
        <v>成新度</v>
      </c>
      <c r="AA37" s="1572" t="e">
        <f t="shared" si="3"/>
        <v>#N/A</v>
      </c>
      <c r="AB37" s="1572" t="e">
        <f t="shared" si="4"/>
        <v>#N/A</v>
      </c>
      <c r="AC37" s="1572" t="e">
        <f t="shared" si="5"/>
        <v>#N/A</v>
      </c>
    </row>
    <row r="38" spans="1:29" s="1217"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397"/>
      <c r="Q38" s="1148" t="str">
        <f t="shared" si="11"/>
        <v>写字楼等级</v>
      </c>
      <c r="R38" s="1564" t="s">
        <v>8</v>
      </c>
      <c r="S38" s="1565">
        <f t="shared" si="12"/>
        <v>100</v>
      </c>
      <c r="T38" s="1564" t="s">
        <v>8</v>
      </c>
      <c r="U38" s="1565">
        <f t="shared" si="13"/>
        <v>100</v>
      </c>
      <c r="V38" s="1564" t="s">
        <v>8</v>
      </c>
      <c r="W38" s="1565">
        <f t="shared" si="14"/>
        <v>100</v>
      </c>
      <c r="X38" s="1566"/>
      <c r="Y38" s="3397"/>
      <c r="Z38" s="1147"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397" t="s">
        <v>549</v>
      </c>
      <c r="Q39" s="1568" t="str">
        <f t="shared" si="11"/>
        <v>物业管理</v>
      </c>
      <c r="R39" s="1569" t="s">
        <v>8</v>
      </c>
      <c r="S39" s="1570">
        <f t="shared" si="12"/>
        <v>100</v>
      </c>
      <c r="T39" s="1569" t="s">
        <v>8</v>
      </c>
      <c r="U39" s="1570">
        <f t="shared" si="13"/>
        <v>100</v>
      </c>
      <c r="V39" s="1569" t="s">
        <v>8</v>
      </c>
      <c r="W39" s="1570">
        <f t="shared" si="14"/>
        <v>100</v>
      </c>
      <c r="X39" s="1563"/>
      <c r="Y39" s="3397" t="s">
        <v>549</v>
      </c>
      <c r="Z39" s="1571" t="str">
        <f t="shared" si="15"/>
        <v>物业管理</v>
      </c>
      <c r="AA39" s="1572">
        <f t="shared" si="3"/>
        <v>1</v>
      </c>
      <c r="AB39" s="1572">
        <f t="shared" si="4"/>
        <v>1</v>
      </c>
      <c r="AC39" s="1572">
        <f t="shared" si="5"/>
        <v>1</v>
      </c>
    </row>
    <row r="40" spans="1:29" ht="15">
      <c r="A40" s="591"/>
      <c r="B40" s="1892" t="s">
        <v>2567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397"/>
      <c r="Q40" s="1568" t="str">
        <f t="shared" si="11"/>
        <v>市政基础设施</v>
      </c>
      <c r="R40" s="1569" t="s">
        <v>8</v>
      </c>
      <c r="S40" s="1570">
        <f t="shared" si="12"/>
        <v>100</v>
      </c>
      <c r="T40" s="1569" t="s">
        <v>8</v>
      </c>
      <c r="U40" s="1570">
        <f t="shared" si="13"/>
        <v>100</v>
      </c>
      <c r="V40" s="1569" t="s">
        <v>8</v>
      </c>
      <c r="W40" s="1570">
        <f t="shared" si="14"/>
        <v>100</v>
      </c>
      <c r="X40" s="1563"/>
      <c r="Y40" s="3397"/>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397"/>
      <c r="Q41" s="1568" t="str">
        <f t="shared" si="11"/>
        <v>层高</v>
      </c>
      <c r="R41" s="1569" t="s">
        <v>8</v>
      </c>
      <c r="S41" s="1570">
        <f t="shared" si="12"/>
        <v>100</v>
      </c>
      <c r="T41" s="1569" t="s">
        <v>8</v>
      </c>
      <c r="U41" s="1570">
        <f t="shared" si="13"/>
        <v>100</v>
      </c>
      <c r="V41" s="1569" t="s">
        <v>8</v>
      </c>
      <c r="W41" s="1570">
        <f t="shared" si="14"/>
        <v>100</v>
      </c>
      <c r="X41" s="1563"/>
      <c r="Y41" s="3397"/>
      <c r="Z41" s="1571" t="str">
        <f t="shared" si="15"/>
        <v>层高</v>
      </c>
      <c r="AA41" s="1572">
        <f t="shared" si="3"/>
        <v>1</v>
      </c>
      <c r="AB41" s="1572">
        <f t="shared" si="4"/>
        <v>1</v>
      </c>
      <c r="AC41" s="1572">
        <f t="shared" si="5"/>
        <v>1</v>
      </c>
    </row>
    <row r="42" spans="1:29" s="1336"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397"/>
      <c r="Q42" s="1601" t="str">
        <f t="shared" si="11"/>
        <v>单套建筑面积</v>
      </c>
      <c r="R42" s="1573" t="s">
        <v>8</v>
      </c>
      <c r="S42" s="1574">
        <f t="shared" si="12"/>
        <v>100</v>
      </c>
      <c r="T42" s="1573" t="s">
        <v>8</v>
      </c>
      <c r="U42" s="1574">
        <f t="shared" si="13"/>
        <v>100</v>
      </c>
      <c r="V42" s="1573" t="s">
        <v>8</v>
      </c>
      <c r="W42" s="1574">
        <f t="shared" si="14"/>
        <v>100</v>
      </c>
      <c r="X42" s="1575"/>
      <c r="Y42" s="3397"/>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397"/>
      <c r="Q43" s="1568" t="str">
        <f t="shared" si="11"/>
        <v>内部装修</v>
      </c>
      <c r="R43" s="1569" t="s">
        <v>8</v>
      </c>
      <c r="S43" s="1570">
        <f t="shared" si="12"/>
        <v>100</v>
      </c>
      <c r="T43" s="1569" t="s">
        <v>8</v>
      </c>
      <c r="U43" s="1570">
        <f t="shared" si="13"/>
        <v>100</v>
      </c>
      <c r="V43" s="1569" t="s">
        <v>8</v>
      </c>
      <c r="W43" s="1570">
        <f t="shared" si="14"/>
        <v>100</v>
      </c>
      <c r="X43" s="1563"/>
      <c r="Y43" s="3397"/>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397"/>
      <c r="Q44" s="1568" t="str">
        <f t="shared" si="11"/>
        <v>内部装修维护情况</v>
      </c>
      <c r="R44" s="1569" t="s">
        <v>8</v>
      </c>
      <c r="S44" s="1570">
        <f t="shared" si="12"/>
        <v>100</v>
      </c>
      <c r="T44" s="1569" t="s">
        <v>8</v>
      </c>
      <c r="U44" s="1570">
        <f t="shared" si="13"/>
        <v>100</v>
      </c>
      <c r="V44" s="1569" t="s">
        <v>8</v>
      </c>
      <c r="W44" s="1570">
        <f t="shared" si="14"/>
        <v>100</v>
      </c>
      <c r="X44" s="1563"/>
      <c r="Y44" s="3397"/>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397"/>
      <c r="Q45" s="1148">
        <f t="shared" si="11"/>
        <v>111</v>
      </c>
      <c r="R45" s="1564" t="s">
        <v>8</v>
      </c>
      <c r="S45" s="1565">
        <f t="shared" si="12"/>
        <v>100</v>
      </c>
      <c r="T45" s="1564" t="s">
        <v>8</v>
      </c>
      <c r="U45" s="1565">
        <f t="shared" si="13"/>
        <v>100</v>
      </c>
      <c r="V45" s="1564" t="s">
        <v>8</v>
      </c>
      <c r="W45" s="1565">
        <f t="shared" si="14"/>
        <v>100</v>
      </c>
      <c r="X45" s="1566"/>
      <c r="Y45" s="3397"/>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397"/>
      <c r="Q46" s="1568">
        <f t="shared" si="11"/>
        <v>111</v>
      </c>
      <c r="R46" s="1569" t="s">
        <v>8</v>
      </c>
      <c r="S46" s="1570">
        <f t="shared" si="12"/>
        <v>100</v>
      </c>
      <c r="T46" s="1569" t="s">
        <v>8</v>
      </c>
      <c r="U46" s="1570">
        <f t="shared" si="13"/>
        <v>100</v>
      </c>
      <c r="V46" s="1569" t="s">
        <v>8</v>
      </c>
      <c r="W46" s="1570">
        <f t="shared" si="14"/>
        <v>100</v>
      </c>
      <c r="X46" s="1563"/>
      <c r="Y46" s="3397"/>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496"/>
      <c r="Q47" s="1568">
        <f t="shared" si="11"/>
        <v>111</v>
      </c>
      <c r="R47" s="1569" t="s">
        <v>8</v>
      </c>
      <c r="S47" s="1570">
        <f t="shared" si="12"/>
        <v>100</v>
      </c>
      <c r="T47" s="1569" t="s">
        <v>8</v>
      </c>
      <c r="U47" s="1570">
        <f t="shared" si="13"/>
        <v>100</v>
      </c>
      <c r="V47" s="1569" t="s">
        <v>8</v>
      </c>
      <c r="W47" s="1570">
        <f t="shared" si="14"/>
        <v>100</v>
      </c>
      <c r="X47" s="1563"/>
      <c r="Y47" s="3496"/>
      <c r="Z47" s="1571">
        <f t="shared" si="15"/>
        <v>111</v>
      </c>
      <c r="AA47" s="1572">
        <f t="shared" si="3"/>
        <v>1</v>
      </c>
      <c r="AB47" s="1572">
        <f t="shared" si="4"/>
        <v>1</v>
      </c>
      <c r="AC47" s="1572">
        <f t="shared" si="5"/>
        <v>1</v>
      </c>
    </row>
    <row r="48" spans="1:29" ht="15">
      <c r="A48" s="604" t="s">
        <v>735</v>
      </c>
      <c r="B48" s="884"/>
      <c r="C48" s="2624" t="s">
        <v>1</v>
      </c>
      <c r="D48" s="2625"/>
      <c r="E48" s="2626"/>
      <c r="F48" s="2627"/>
      <c r="G48" s="2628"/>
      <c r="H48" s="2629"/>
      <c r="I48" s="2626"/>
      <c r="J48" s="2629"/>
      <c r="K48" s="1607"/>
      <c r="L48" s="2141"/>
      <c r="M48" s="2131"/>
      <c r="N48" s="2131"/>
      <c r="O48" s="2131"/>
      <c r="P48" s="3416" t="str">
        <f>A48</f>
        <v>成交单价（元/平方米）</v>
      </c>
      <c r="Q48" s="3392"/>
      <c r="R48" s="3495">
        <f>E48</f>
        <v>0</v>
      </c>
      <c r="S48" s="3495"/>
      <c r="T48" s="3495">
        <f>G48</f>
        <v>0</v>
      </c>
      <c r="U48" s="3495"/>
      <c r="V48" s="3495">
        <f>I48</f>
        <v>0</v>
      </c>
      <c r="W48" s="3495"/>
      <c r="X48" s="1555"/>
      <c r="Y48" s="1577"/>
      <c r="Z48" s="1555"/>
      <c r="AA48" s="1555"/>
      <c r="AB48" s="1555"/>
      <c r="AC48" s="1555"/>
    </row>
    <row r="49" spans="1:29" ht="15.75" thickBot="1">
      <c r="A49" s="612" t="s">
        <v>2761</v>
      </c>
      <c r="B49" s="885"/>
      <c r="C49" s="2630" t="e">
        <f>R50</f>
        <v>#DIV/0!</v>
      </c>
      <c r="D49" s="2631"/>
      <c r="E49" s="2632" t="e">
        <f>R49</f>
        <v>#DIV/0!</v>
      </c>
      <c r="F49" s="2632"/>
      <c r="G49" s="2630" t="e">
        <f>T49</f>
        <v>#DIV/0!</v>
      </c>
      <c r="H49" s="2631"/>
      <c r="I49" s="2632" t="e">
        <f>V49</f>
        <v>#DIV/0!</v>
      </c>
      <c r="J49" s="2631"/>
      <c r="K49" s="1608"/>
      <c r="L49" s="2141"/>
      <c r="M49" s="2131"/>
      <c r="N49" s="2131"/>
      <c r="O49" s="2131"/>
      <c r="P49" s="3416" t="str">
        <f>A49</f>
        <v>比较价格（元/平方米）</v>
      </c>
      <c r="Q49" s="3392"/>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55"/>
      <c r="Y49" s="1555"/>
      <c r="Z49" s="1555"/>
      <c r="AA49" s="1555"/>
      <c r="AB49" s="1555"/>
      <c r="AC49" s="1555"/>
    </row>
    <row r="50" spans="1:29" ht="15.75" thickBot="1">
      <c r="A50" s="618" t="s">
        <v>2933</v>
      </c>
      <c r="B50" s="619"/>
      <c r="C50" s="2633" t="e">
        <f>R50</f>
        <v>#DIV/0!</v>
      </c>
      <c r="D50" s="2633"/>
      <c r="E50" s="2633"/>
      <c r="F50" s="2633"/>
      <c r="G50" s="2633"/>
      <c r="H50" s="2633"/>
      <c r="I50" s="2633"/>
      <c r="J50" s="2633"/>
      <c r="K50" s="1609"/>
      <c r="L50" s="2141"/>
      <c r="M50" s="2131"/>
      <c r="N50" s="2131"/>
      <c r="O50" s="2131"/>
      <c r="P50" s="3500" t="str">
        <f>A50</f>
        <v>估价对象XX用房的比较价格（楼面单价，元/平方米）</v>
      </c>
      <c r="Q50" s="3416"/>
      <c r="R50" s="3494" t="e">
        <f>IF(F1="售价",ROUND(AVERAGE(R49:V49),0),ROUND(AVERAGE(R49:V49),1))</f>
        <v>#DIV/0!</v>
      </c>
      <c r="S50" s="3494"/>
      <c r="T50" s="3494"/>
      <c r="U50" s="3494"/>
      <c r="V50" s="3494"/>
      <c r="W50" s="3494"/>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528</v>
      </c>
      <c r="B59" s="643"/>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574</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530</v>
      </c>
      <c r="B62" s="645"/>
      <c r="C62" s="657" t="s">
        <v>575</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576</v>
      </c>
      <c r="B64" s="662" t="s">
        <v>533</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538</v>
      </c>
      <c r="B77" s="662" t="s">
        <v>584</v>
      </c>
      <c r="C77" s="700" t="s">
        <v>578</v>
      </c>
      <c r="D77" s="700" t="s">
        <v>579</v>
      </c>
      <c r="E77" s="700" t="s">
        <v>580</v>
      </c>
      <c r="F77" s="700" t="s">
        <v>581</v>
      </c>
      <c r="G77" s="700" t="s">
        <v>582</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585</v>
      </c>
      <c r="C79" s="705" t="s">
        <v>578</v>
      </c>
      <c r="D79" s="705" t="s">
        <v>579</v>
      </c>
      <c r="E79" s="705" t="s">
        <v>580</v>
      </c>
      <c r="F79" s="705" t="s">
        <v>581</v>
      </c>
      <c r="G79" s="705" t="s">
        <v>582</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2559</v>
      </c>
      <c r="C81" s="705" t="s">
        <v>578</v>
      </c>
      <c r="D81" s="705" t="s">
        <v>579</v>
      </c>
      <c r="E81" s="705" t="s">
        <v>580</v>
      </c>
      <c r="F81" s="705" t="s">
        <v>581</v>
      </c>
      <c r="G81" s="705" t="s">
        <v>582</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594" t="s">
        <v>2560</v>
      </c>
      <c r="C83" s="2595" t="s">
        <v>2561</v>
      </c>
      <c r="D83" s="2595" t="s">
        <v>2562</v>
      </c>
      <c r="E83" s="2595" t="s">
        <v>2563</v>
      </c>
      <c r="F83" s="2595" t="s">
        <v>2564</v>
      </c>
      <c r="G83" s="2595" t="s">
        <v>2565</v>
      </c>
      <c r="H83" s="671"/>
      <c r="I83" s="671"/>
      <c r="J83" s="671"/>
      <c r="K83" s="671"/>
      <c r="L83" s="671"/>
      <c r="M83" s="2598"/>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783</v>
      </c>
      <c r="C85" s="705" t="s">
        <v>578</v>
      </c>
      <c r="D85" s="705" t="s">
        <v>579</v>
      </c>
      <c r="E85" s="705" t="s">
        <v>580</v>
      </c>
      <c r="F85" s="705" t="s">
        <v>581</v>
      </c>
      <c r="G85" s="705" t="s">
        <v>582</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784</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550</v>
      </c>
      <c r="B101" s="662" t="s">
        <v>746</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748</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750</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785</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752</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2558</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786</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774</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754</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787</v>
      </c>
      <c r="C1" s="501" t="s">
        <v>719</v>
      </c>
      <c r="D1" s="846"/>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518</v>
      </c>
      <c r="B3" s="507" t="e">
        <f>C43</f>
        <v>#DIV/0!</v>
      </c>
      <c r="C3" s="849" t="s">
        <v>721</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520</v>
      </c>
      <c r="B4" s="510"/>
      <c r="C4" s="3398" t="s">
        <v>521</v>
      </c>
      <c r="D4" s="3399"/>
      <c r="E4" s="3424" t="s">
        <v>522</v>
      </c>
      <c r="F4" s="3425"/>
      <c r="G4" s="3398" t="s">
        <v>523</v>
      </c>
      <c r="H4" s="3399"/>
      <c r="I4" s="3398" t="s">
        <v>524</v>
      </c>
      <c r="J4" s="3399"/>
      <c r="K4" s="511" t="s">
        <v>525</v>
      </c>
      <c r="L4" s="2130"/>
      <c r="M4" s="2131"/>
      <c r="N4" s="2131"/>
      <c r="O4" s="2131"/>
      <c r="P4" s="3400" t="s">
        <v>526</v>
      </c>
      <c r="Q4" s="3401"/>
      <c r="R4" s="3386" t="s">
        <v>522</v>
      </c>
      <c r="S4" s="3387"/>
      <c r="T4" s="3386" t="s">
        <v>523</v>
      </c>
      <c r="U4" s="3387"/>
      <c r="V4" s="3406" t="s">
        <v>524</v>
      </c>
      <c r="W4" s="3406"/>
      <c r="X4" s="1563"/>
      <c r="Y4" s="3386" t="s">
        <v>526</v>
      </c>
      <c r="Z4" s="3387"/>
      <c r="AA4" s="3381" t="s">
        <v>522</v>
      </c>
      <c r="AB4" s="3382" t="s">
        <v>523</v>
      </c>
      <c r="AC4" s="3381" t="s">
        <v>524</v>
      </c>
    </row>
    <row r="5" spans="1:29" ht="15">
      <c r="A5" s="512"/>
      <c r="B5" s="513"/>
      <c r="C5" s="3409" t="s">
        <v>2927</v>
      </c>
      <c r="D5" s="3410"/>
      <c r="E5" s="3426" t="s">
        <v>2928</v>
      </c>
      <c r="F5" s="3427"/>
      <c r="G5" s="3409" t="s">
        <v>2929</v>
      </c>
      <c r="H5" s="3410"/>
      <c r="I5" s="3409" t="s">
        <v>2930</v>
      </c>
      <c r="J5" s="3410"/>
      <c r="K5" s="511"/>
      <c r="L5" s="2130"/>
      <c r="M5" s="2131"/>
      <c r="N5" s="2131"/>
      <c r="O5" s="2131"/>
      <c r="P5" s="3402"/>
      <c r="Q5" s="3403"/>
      <c r="R5" s="3388"/>
      <c r="S5" s="3389"/>
      <c r="T5" s="3388"/>
      <c r="U5" s="3389"/>
      <c r="V5" s="3406"/>
      <c r="W5" s="3406"/>
      <c r="X5" s="1563"/>
      <c r="Y5" s="3388"/>
      <c r="Z5" s="3389"/>
      <c r="AA5" s="3382"/>
      <c r="AB5" s="3382"/>
      <c r="AC5" s="3382"/>
    </row>
    <row r="6" spans="1:29" ht="15.75" thickBot="1">
      <c r="A6" s="514"/>
      <c r="B6" s="515"/>
      <c r="C6" s="3428" t="s">
        <v>2931</v>
      </c>
      <c r="D6" s="3408"/>
      <c r="E6" s="3429" t="s">
        <v>2931</v>
      </c>
      <c r="F6" s="3430"/>
      <c r="G6" s="3428" t="s">
        <v>2931</v>
      </c>
      <c r="H6" s="3408"/>
      <c r="I6" s="3428" t="s">
        <v>2931</v>
      </c>
      <c r="J6" s="3408"/>
      <c r="K6" s="511" t="s">
        <v>527</v>
      </c>
      <c r="L6" s="2130"/>
      <c r="M6" s="2131"/>
      <c r="N6" s="2131"/>
      <c r="O6" s="2131"/>
      <c r="P6" s="3404"/>
      <c r="Q6" s="3405"/>
      <c r="R6" s="3388"/>
      <c r="S6" s="3389"/>
      <c r="T6" s="3390"/>
      <c r="U6" s="3391"/>
      <c r="V6" s="3406"/>
      <c r="W6" s="3406"/>
      <c r="X6" s="1563"/>
      <c r="Y6" s="3390"/>
      <c r="Z6" s="3391"/>
      <c r="AA6" s="3383"/>
      <c r="AB6" s="3383"/>
      <c r="AC6" s="3383"/>
    </row>
    <row r="7" spans="1:29" s="1217" customFormat="1" ht="15.75" thickBot="1">
      <c r="A7" s="2908"/>
      <c r="B7" s="2915" t="s">
        <v>528</v>
      </c>
      <c r="C7" s="516">
        <f>'数据-取费表'!B2</f>
        <v>43403</v>
      </c>
      <c r="D7" s="517">
        <v>100</v>
      </c>
      <c r="E7" s="518"/>
      <c r="F7" s="519">
        <f>SUMIF(52:52,YEAR(E7)&amp;"-"&amp;MONTH(E7),53:53)</f>
        <v>0</v>
      </c>
      <c r="G7" s="518"/>
      <c r="H7" s="517">
        <f>SUMIF(52:52,YEAR(G7)&amp;"-"&amp;MONTH(G7),53:53)</f>
        <v>0</v>
      </c>
      <c r="I7" s="518"/>
      <c r="J7" s="517">
        <f>SUMIF(52:52,YEAR(I7)&amp;"-"&amp;MONTH(I7),53:53)</f>
        <v>0</v>
      </c>
      <c r="K7" s="521"/>
      <c r="L7" s="2132"/>
      <c r="M7" s="2133"/>
      <c r="N7" s="2133"/>
      <c r="O7" s="2133"/>
      <c r="P7" s="3384" t="s">
        <v>529</v>
      </c>
      <c r="Q7" s="3393"/>
      <c r="R7" s="1564" t="s">
        <v>8</v>
      </c>
      <c r="S7" s="1565">
        <f t="shared" ref="S7:S15" si="0">F7</f>
        <v>0</v>
      </c>
      <c r="T7" s="1564" t="s">
        <v>8</v>
      </c>
      <c r="U7" s="1565">
        <f t="shared" ref="U7:U15" si="1">H7</f>
        <v>0</v>
      </c>
      <c r="V7" s="1564" t="s">
        <v>8</v>
      </c>
      <c r="W7" s="1565">
        <f t="shared" ref="W7:W15" si="2">J7</f>
        <v>0</v>
      </c>
      <c r="X7" s="1566"/>
      <c r="Y7" s="3384" t="s">
        <v>529</v>
      </c>
      <c r="Z7" s="3385"/>
      <c r="AA7" s="1567" t="e">
        <f>D7/F7</f>
        <v>#DIV/0!</v>
      </c>
      <c r="AB7" s="1567" t="e">
        <f>D7/H7</f>
        <v>#DIV/0!</v>
      </c>
      <c r="AC7" s="1567" t="e">
        <f>D7/J7</f>
        <v>#DIV/0!</v>
      </c>
    </row>
    <row r="8" spans="1:29" s="1217" customFormat="1" ht="15.75" thickBot="1">
      <c r="A8" s="2909"/>
      <c r="B8" s="2916" t="s">
        <v>530</v>
      </c>
      <c r="C8" s="522" t="s">
        <v>575</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384" t="s">
        <v>532</v>
      </c>
      <c r="Q8" s="3385"/>
      <c r="R8" s="1564" t="s">
        <v>8</v>
      </c>
      <c r="S8" s="1565">
        <f t="shared" si="0"/>
        <v>0</v>
      </c>
      <c r="T8" s="1564" t="s">
        <v>8</v>
      </c>
      <c r="U8" s="1565">
        <f t="shared" si="1"/>
        <v>0</v>
      </c>
      <c r="V8" s="1564" t="s">
        <v>8</v>
      </c>
      <c r="W8" s="1565">
        <f t="shared" si="2"/>
        <v>0</v>
      </c>
      <c r="X8" s="1566"/>
      <c r="Y8" s="3384" t="s">
        <v>532</v>
      </c>
      <c r="Z8" s="3385"/>
      <c r="AA8" s="1567" t="e">
        <f t="shared" ref="AA8:AA40" si="3">D8/F8</f>
        <v>#DIV/0!</v>
      </c>
      <c r="AB8" s="1567" t="e">
        <f t="shared" ref="AB8:AB40" si="4">D8/H8</f>
        <v>#DIV/0!</v>
      </c>
      <c r="AC8" s="1567" t="e">
        <f t="shared" ref="AC8:AC40" si="5">D8/J8</f>
        <v>#DIV/0!</v>
      </c>
    </row>
    <row r="9" spans="1:29" s="1217" customFormat="1" ht="15">
      <c r="A9" s="2910"/>
      <c r="B9" s="2917" t="s">
        <v>2757</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392" t="s">
        <v>534</v>
      </c>
      <c r="Q9" s="1148" t="str">
        <f t="shared" ref="Q9:Q15" si="6">B9</f>
        <v>用途</v>
      </c>
      <c r="R9" s="1564" t="s">
        <v>8</v>
      </c>
      <c r="S9" s="1565">
        <f t="shared" si="0"/>
        <v>100</v>
      </c>
      <c r="T9" s="1564" t="s">
        <v>8</v>
      </c>
      <c r="U9" s="1565">
        <f t="shared" si="1"/>
        <v>100</v>
      </c>
      <c r="V9" s="1564" t="s">
        <v>8</v>
      </c>
      <c r="W9" s="1565">
        <f t="shared" si="2"/>
        <v>100</v>
      </c>
      <c r="X9" s="1566"/>
      <c r="Y9" s="3349"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392"/>
      <c r="Q10" s="1148" t="str">
        <f t="shared" si="6"/>
        <v>土地使用年限（年）</v>
      </c>
      <c r="R10" s="1564" t="s">
        <v>8</v>
      </c>
      <c r="S10" s="1565">
        <f t="shared" si="0"/>
        <v>100</v>
      </c>
      <c r="T10" s="1564" t="s">
        <v>8</v>
      </c>
      <c r="U10" s="1565">
        <f t="shared" si="1"/>
        <v>100</v>
      </c>
      <c r="V10" s="1564" t="s">
        <v>8</v>
      </c>
      <c r="W10" s="1565">
        <f t="shared" si="2"/>
        <v>100</v>
      </c>
      <c r="X10" s="1566"/>
      <c r="Y10" s="3349"/>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392"/>
      <c r="Q11" s="1148" t="str">
        <f t="shared" si="6"/>
        <v>容积率</v>
      </c>
      <c r="R11" s="1564" t="s">
        <v>8</v>
      </c>
      <c r="S11" s="1565" t="e">
        <f t="shared" si="0"/>
        <v>#N/A</v>
      </c>
      <c r="T11" s="1564" t="s">
        <v>8</v>
      </c>
      <c r="U11" s="1565" t="e">
        <f t="shared" si="1"/>
        <v>#N/A</v>
      </c>
      <c r="V11" s="1564" t="s">
        <v>8</v>
      </c>
      <c r="W11" s="1565" t="e">
        <f t="shared" si="2"/>
        <v>#N/A</v>
      </c>
      <c r="X11" s="1566"/>
      <c r="Y11" s="3349"/>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392"/>
      <c r="Q12" s="1148">
        <f t="shared" si="6"/>
        <v>111</v>
      </c>
      <c r="R12" s="1564" t="s">
        <v>8</v>
      </c>
      <c r="S12" s="1565">
        <f t="shared" si="0"/>
        <v>100</v>
      </c>
      <c r="T12" s="1564" t="s">
        <v>8</v>
      </c>
      <c r="U12" s="1565">
        <f t="shared" si="1"/>
        <v>100</v>
      </c>
      <c r="V12" s="1564" t="s">
        <v>8</v>
      </c>
      <c r="W12" s="1565">
        <f t="shared" si="2"/>
        <v>100</v>
      </c>
      <c r="X12" s="1566"/>
      <c r="Y12" s="3349"/>
      <c r="Z12" s="1147">
        <f t="shared" si="7"/>
        <v>111</v>
      </c>
      <c r="AA12" s="1567">
        <f>D12/F12</f>
        <v>1</v>
      </c>
      <c r="AB12" s="1567">
        <f>D12/H12</f>
        <v>1</v>
      </c>
      <c r="AC12" s="1567">
        <f>D12/J12</f>
        <v>1</v>
      </c>
    </row>
    <row r="13" spans="1:29" ht="15">
      <c r="A13" s="2913"/>
      <c r="B13" s="2919">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392"/>
      <c r="Q13" s="1148">
        <f t="shared" si="6"/>
        <v>111</v>
      </c>
      <c r="R13" s="1564" t="s">
        <v>8</v>
      </c>
      <c r="S13" s="1565">
        <f t="shared" si="0"/>
        <v>100</v>
      </c>
      <c r="T13" s="1564" t="s">
        <v>8</v>
      </c>
      <c r="U13" s="1565">
        <f t="shared" si="1"/>
        <v>100</v>
      </c>
      <c r="V13" s="1564" t="s">
        <v>8</v>
      </c>
      <c r="W13" s="1565">
        <f t="shared" si="2"/>
        <v>100</v>
      </c>
      <c r="X13" s="1566"/>
      <c r="Y13" s="3349"/>
      <c r="Z13" s="1147">
        <f t="shared" si="7"/>
        <v>111</v>
      </c>
      <c r="AA13" s="1567">
        <f t="shared" si="3"/>
        <v>1</v>
      </c>
      <c r="AB13" s="1567">
        <f t="shared" si="4"/>
        <v>1</v>
      </c>
      <c r="AC13" s="1567">
        <f t="shared" si="5"/>
        <v>1</v>
      </c>
    </row>
    <row r="14" spans="1:29" ht="15.75" thickBot="1">
      <c r="A14" s="2914"/>
      <c r="B14" s="2920">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392"/>
      <c r="Q14" s="1148">
        <f t="shared" si="6"/>
        <v>111</v>
      </c>
      <c r="R14" s="1564" t="s">
        <v>8</v>
      </c>
      <c r="S14" s="1565">
        <f t="shared" si="0"/>
        <v>100</v>
      </c>
      <c r="T14" s="1564" t="s">
        <v>8</v>
      </c>
      <c r="U14" s="1565">
        <f t="shared" si="1"/>
        <v>100</v>
      </c>
      <c r="V14" s="1564" t="s">
        <v>8</v>
      </c>
      <c r="W14" s="1565">
        <f t="shared" si="2"/>
        <v>100</v>
      </c>
      <c r="X14" s="1566"/>
      <c r="Y14" s="3349"/>
      <c r="Z14" s="1147">
        <f t="shared" si="7"/>
        <v>111</v>
      </c>
      <c r="AA14" s="1567">
        <f t="shared" si="3"/>
        <v>1</v>
      </c>
      <c r="AB14" s="1567">
        <f t="shared" si="4"/>
        <v>1</v>
      </c>
      <c r="AC14" s="1567">
        <f t="shared" si="5"/>
        <v>1</v>
      </c>
    </row>
    <row r="15" spans="1:29" ht="57">
      <c r="A15" s="2906" t="s">
        <v>2755</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394" t="s">
        <v>539</v>
      </c>
      <c r="Q15" s="1568" t="str">
        <f t="shared" si="6"/>
        <v>产业集聚程度</v>
      </c>
      <c r="R15" s="1569" t="s">
        <v>8</v>
      </c>
      <c r="S15" s="1570">
        <f t="shared" si="0"/>
        <v>100</v>
      </c>
      <c r="T15" s="1569" t="s">
        <v>8</v>
      </c>
      <c r="U15" s="1570">
        <f t="shared" si="1"/>
        <v>100</v>
      </c>
      <c r="V15" s="1569" t="s">
        <v>8</v>
      </c>
      <c r="W15" s="1570">
        <f t="shared" si="2"/>
        <v>100</v>
      </c>
      <c r="X15" s="1563"/>
      <c r="Y15" s="3394" t="s">
        <v>539</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395"/>
      <c r="Q16" s="1568"/>
      <c r="R16" s="1569"/>
      <c r="S16" s="1570"/>
      <c r="T16" s="1569"/>
      <c r="U16" s="1570"/>
      <c r="V16" s="1569"/>
      <c r="W16" s="1570"/>
      <c r="X16" s="1563"/>
      <c r="Y16" s="3395"/>
      <c r="Z16" s="1571"/>
      <c r="AA16" s="1572">
        <v>1</v>
      </c>
      <c r="AB16" s="1572">
        <v>1</v>
      </c>
      <c r="AC16" s="1572">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395"/>
      <c r="Q17" s="1568" t="str">
        <f>B17</f>
        <v>交通便捷度</v>
      </c>
      <c r="R17" s="1569" t="s">
        <v>8</v>
      </c>
      <c r="S17" s="1570">
        <f>F17</f>
        <v>100</v>
      </c>
      <c r="T17" s="1569" t="s">
        <v>8</v>
      </c>
      <c r="U17" s="1570">
        <f>H17</f>
        <v>100</v>
      </c>
      <c r="V17" s="1569" t="s">
        <v>8</v>
      </c>
      <c r="W17" s="1570">
        <f>J17</f>
        <v>100</v>
      </c>
      <c r="X17" s="1563"/>
      <c r="Y17" s="339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395"/>
      <c r="Q18" s="1568"/>
      <c r="R18" s="1569"/>
      <c r="S18" s="1570"/>
      <c r="T18" s="1569"/>
      <c r="U18" s="1570"/>
      <c r="V18" s="1569"/>
      <c r="W18" s="1570"/>
      <c r="X18" s="1563"/>
      <c r="Y18" s="3395"/>
      <c r="Z18" s="1571"/>
      <c r="AA18" s="1572">
        <v>1</v>
      </c>
      <c r="AB18" s="1572">
        <v>1</v>
      </c>
      <c r="AC18" s="1572">
        <v>1</v>
      </c>
    </row>
    <row r="19" spans="1:29" ht="42.75">
      <c r="A19" s="529"/>
      <c r="B19" s="2600"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395"/>
      <c r="Q19" s="1568" t="str">
        <f>B19</f>
        <v>公共配套设施</v>
      </c>
      <c r="R19" s="1569" t="s">
        <v>8</v>
      </c>
      <c r="S19" s="1570">
        <f>F19</f>
        <v>100</v>
      </c>
      <c r="T19" s="1569" t="s">
        <v>8</v>
      </c>
      <c r="U19" s="1570">
        <f>H19</f>
        <v>100</v>
      </c>
      <c r="V19" s="1569" t="s">
        <v>8</v>
      </c>
      <c r="W19" s="1570">
        <f>J19</f>
        <v>100</v>
      </c>
      <c r="X19" s="1563"/>
      <c r="Y19" s="3395"/>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395"/>
      <c r="Q20" s="1568"/>
      <c r="R20" s="1569"/>
      <c r="S20" s="1570"/>
      <c r="T20" s="1569"/>
      <c r="U20" s="1570"/>
      <c r="V20" s="1569"/>
      <c r="W20" s="1570"/>
      <c r="X20" s="1563"/>
      <c r="Y20" s="3395"/>
      <c r="Z20" s="1571"/>
      <c r="AA20" s="1572">
        <v>1</v>
      </c>
      <c r="AB20" s="1572">
        <v>1</v>
      </c>
      <c r="AC20" s="1572">
        <v>1</v>
      </c>
    </row>
    <row r="21" spans="1:29" ht="28.5">
      <c r="A21" s="529"/>
      <c r="B21" s="2588"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395"/>
      <c r="Q21" s="2576" t="str">
        <f>B21</f>
        <v>基础设施水平</v>
      </c>
      <c r="R21" s="1569" t="s">
        <v>8</v>
      </c>
      <c r="S21" s="1570">
        <f>F21</f>
        <v>100</v>
      </c>
      <c r="T21" s="1569" t="s">
        <v>8</v>
      </c>
      <c r="U21" s="1570">
        <f>H21</f>
        <v>100</v>
      </c>
      <c r="V21" s="1569" t="s">
        <v>8</v>
      </c>
      <c r="W21" s="1570">
        <f>J21</f>
        <v>100</v>
      </c>
      <c r="X21" s="2578"/>
      <c r="Y21" s="3395"/>
      <c r="Z21" s="2577"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9"/>
      <c r="L22" s="2139"/>
      <c r="M22" s="2131"/>
      <c r="N22" s="2131"/>
      <c r="O22" s="2138"/>
      <c r="P22" s="3395"/>
      <c r="Q22" s="2576"/>
      <c r="R22" s="1569"/>
      <c r="S22" s="1570"/>
      <c r="T22" s="1569"/>
      <c r="U22" s="1570"/>
      <c r="V22" s="1569"/>
      <c r="W22" s="1570"/>
      <c r="X22" s="2578"/>
      <c r="Y22" s="3395"/>
      <c r="Z22" s="2577"/>
      <c r="AA22" s="1572">
        <v>1</v>
      </c>
      <c r="AB22" s="1572">
        <v>1</v>
      </c>
      <c r="AC22" s="1572">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395"/>
      <c r="Q23" s="1568" t="str">
        <f>B23</f>
        <v>环境质量</v>
      </c>
      <c r="R23" s="1569" t="s">
        <v>8</v>
      </c>
      <c r="S23" s="1570">
        <f>F23</f>
        <v>100</v>
      </c>
      <c r="T23" s="1569" t="s">
        <v>8</v>
      </c>
      <c r="U23" s="1570">
        <f>H23</f>
        <v>100</v>
      </c>
      <c r="V23" s="1569" t="s">
        <v>8</v>
      </c>
      <c r="W23" s="1570">
        <f>J23</f>
        <v>100</v>
      </c>
      <c r="X23" s="1563"/>
      <c r="Y23" s="3395"/>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395"/>
      <c r="Q24" s="1568"/>
      <c r="R24" s="1569"/>
      <c r="S24" s="1570"/>
      <c r="T24" s="1569"/>
      <c r="U24" s="1570"/>
      <c r="V24" s="1569"/>
      <c r="W24" s="1570"/>
      <c r="X24" s="1563"/>
      <c r="Y24" s="3395"/>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395"/>
      <c r="Q25" s="1568">
        <f>B25</f>
        <v>111</v>
      </c>
      <c r="R25" s="1569" t="s">
        <v>8</v>
      </c>
      <c r="S25" s="1570">
        <f>F25</f>
        <v>100</v>
      </c>
      <c r="T25" s="1569" t="s">
        <v>8</v>
      </c>
      <c r="U25" s="1570">
        <f>H25</f>
        <v>100</v>
      </c>
      <c r="V25" s="1569" t="s">
        <v>8</v>
      </c>
      <c r="W25" s="1570">
        <f>J25</f>
        <v>100</v>
      </c>
      <c r="X25" s="1563"/>
      <c r="Y25" s="3395"/>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395"/>
      <c r="Q26" s="1568">
        <f t="shared" ref="Q26:Q40" si="11">B26</f>
        <v>111</v>
      </c>
      <c r="R26" s="1569" t="s">
        <v>8</v>
      </c>
      <c r="S26" s="1570">
        <f>F26</f>
        <v>100</v>
      </c>
      <c r="T26" s="1569" t="s">
        <v>8</v>
      </c>
      <c r="U26" s="1570">
        <f>H26</f>
        <v>100</v>
      </c>
      <c r="V26" s="1569" t="s">
        <v>8</v>
      </c>
      <c r="W26" s="1570">
        <f>J26</f>
        <v>100</v>
      </c>
      <c r="X26" s="1563"/>
      <c r="Y26" s="3395"/>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395"/>
      <c r="Q27" s="1148">
        <f t="shared" si="11"/>
        <v>111</v>
      </c>
      <c r="R27" s="1564" t="s">
        <v>8</v>
      </c>
      <c r="S27" s="1565">
        <f>F27</f>
        <v>100</v>
      </c>
      <c r="T27" s="1564" t="s">
        <v>8</v>
      </c>
      <c r="U27" s="1565">
        <f>H27</f>
        <v>100</v>
      </c>
      <c r="V27" s="1564" t="s">
        <v>8</v>
      </c>
      <c r="W27" s="1565">
        <f>J27</f>
        <v>100</v>
      </c>
      <c r="X27" s="1566"/>
      <c r="Y27" s="3395"/>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395"/>
      <c r="Q28" s="1568">
        <f t="shared" si="11"/>
        <v>111</v>
      </c>
      <c r="R28" s="1569" t="s">
        <v>8</v>
      </c>
      <c r="S28" s="1570">
        <f t="shared" ref="S28:S40" si="12">F28</f>
        <v>100</v>
      </c>
      <c r="T28" s="1569" t="s">
        <v>8</v>
      </c>
      <c r="U28" s="1570">
        <f t="shared" ref="U28:U40" si="13">H28</f>
        <v>100</v>
      </c>
      <c r="V28" s="1569" t="s">
        <v>8</v>
      </c>
      <c r="W28" s="1570">
        <f t="shared" ref="W28:W40" si="14">J28</f>
        <v>100</v>
      </c>
      <c r="X28" s="1563"/>
      <c r="Y28" s="3395"/>
      <c r="Z28" s="1571">
        <f t="shared" ref="Z28:Z40" si="15">Q28</f>
        <v>111</v>
      </c>
      <c r="AA28" s="1572">
        <f t="shared" si="3"/>
        <v>1</v>
      </c>
      <c r="AB28" s="1572">
        <f t="shared" si="4"/>
        <v>1</v>
      </c>
      <c r="AC28" s="1572">
        <f t="shared" si="5"/>
        <v>1</v>
      </c>
    </row>
    <row r="29" spans="1:29" ht="15">
      <c r="A29" s="2904" t="s">
        <v>2756</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396" t="s">
        <v>549</v>
      </c>
      <c r="Q29" s="1568" t="str">
        <f t="shared" si="11"/>
        <v>建筑类型</v>
      </c>
      <c r="R29" s="1569" t="s">
        <v>8</v>
      </c>
      <c r="S29" s="1570">
        <f t="shared" si="12"/>
        <v>100</v>
      </c>
      <c r="T29" s="1569" t="s">
        <v>8</v>
      </c>
      <c r="U29" s="1570">
        <f t="shared" si="13"/>
        <v>100</v>
      </c>
      <c r="V29" s="1569" t="s">
        <v>8</v>
      </c>
      <c r="W29" s="1570">
        <f t="shared" si="14"/>
        <v>100</v>
      </c>
      <c r="X29" s="1563"/>
      <c r="Y29" s="3397" t="s">
        <v>549</v>
      </c>
      <c r="Z29" s="1571" t="str">
        <f t="shared" si="15"/>
        <v>建筑类型</v>
      </c>
      <c r="AA29" s="1572">
        <f t="shared" si="3"/>
        <v>1</v>
      </c>
      <c r="AB29" s="1572">
        <f t="shared" si="4"/>
        <v>1</v>
      </c>
      <c r="AC29" s="1572">
        <f t="shared" si="5"/>
        <v>1</v>
      </c>
    </row>
    <row r="30" spans="1:29" s="1336" customFormat="1" ht="15">
      <c r="A30" s="600"/>
      <c r="B30" s="524" t="s">
        <v>725</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397"/>
      <c r="Q30" s="1601" t="str">
        <f t="shared" si="11"/>
        <v>项目建筑规模</v>
      </c>
      <c r="R30" s="1573" t="s">
        <v>8</v>
      </c>
      <c r="S30" s="1574" t="e">
        <f t="shared" si="12"/>
        <v>#N/A</v>
      </c>
      <c r="T30" s="1573" t="s">
        <v>8</v>
      </c>
      <c r="U30" s="1574" t="e">
        <f t="shared" si="13"/>
        <v>#N/A</v>
      </c>
      <c r="V30" s="1573" t="s">
        <v>8</v>
      </c>
      <c r="W30" s="1574" t="e">
        <f t="shared" si="14"/>
        <v>#N/A</v>
      </c>
      <c r="X30" s="1575"/>
      <c r="Y30" s="3397"/>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397"/>
      <c r="Q31" s="1568" t="str">
        <f t="shared" si="11"/>
        <v>建筑结构</v>
      </c>
      <c r="R31" s="1569" t="s">
        <v>8</v>
      </c>
      <c r="S31" s="1570">
        <f t="shared" si="12"/>
        <v>100</v>
      </c>
      <c r="T31" s="1569" t="s">
        <v>8</v>
      </c>
      <c r="U31" s="1570">
        <f t="shared" si="13"/>
        <v>100</v>
      </c>
      <c r="V31" s="1569" t="s">
        <v>8</v>
      </c>
      <c r="W31" s="1570">
        <f t="shared" si="14"/>
        <v>100</v>
      </c>
      <c r="X31" s="1563"/>
      <c r="Y31" s="3397"/>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397"/>
      <c r="Q32" s="1568" t="str">
        <f t="shared" si="11"/>
        <v>公共部分装修</v>
      </c>
      <c r="R32" s="1569" t="s">
        <v>8</v>
      </c>
      <c r="S32" s="1570">
        <f t="shared" si="12"/>
        <v>100</v>
      </c>
      <c r="T32" s="1569" t="s">
        <v>8</v>
      </c>
      <c r="U32" s="1570">
        <f t="shared" si="13"/>
        <v>100</v>
      </c>
      <c r="V32" s="1569" t="s">
        <v>8</v>
      </c>
      <c r="W32" s="1570">
        <f t="shared" si="14"/>
        <v>100</v>
      </c>
      <c r="X32" s="1563"/>
      <c r="Y32" s="3397"/>
      <c r="Z32" s="1571" t="str">
        <f t="shared" si="15"/>
        <v>公共部分装修</v>
      </c>
      <c r="AA32" s="1572">
        <f t="shared" si="3"/>
        <v>1</v>
      </c>
      <c r="AB32" s="1572">
        <f t="shared" si="4"/>
        <v>1</v>
      </c>
      <c r="AC32" s="1572">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397"/>
      <c r="Q33" s="1568" t="str">
        <f t="shared" si="11"/>
        <v>成新度</v>
      </c>
      <c r="R33" s="1569" t="s">
        <v>8</v>
      </c>
      <c r="S33" s="1570" t="e">
        <f t="shared" si="12"/>
        <v>#N/A</v>
      </c>
      <c r="T33" s="1569" t="s">
        <v>8</v>
      </c>
      <c r="U33" s="1570" t="e">
        <f t="shared" si="13"/>
        <v>#N/A</v>
      </c>
      <c r="V33" s="1569" t="s">
        <v>8</v>
      </c>
      <c r="W33" s="1570" t="e">
        <f t="shared" si="14"/>
        <v>#N/A</v>
      </c>
      <c r="X33" s="1563"/>
      <c r="Y33" s="3397"/>
      <c r="Z33" s="1571" t="str">
        <f t="shared" si="15"/>
        <v>成新度</v>
      </c>
      <c r="AA33" s="1572" t="e">
        <f t="shared" si="3"/>
        <v>#N/A</v>
      </c>
      <c r="AB33" s="1572" t="e">
        <f t="shared" si="4"/>
        <v>#N/A</v>
      </c>
      <c r="AC33" s="1572" t="e">
        <f t="shared" si="5"/>
        <v>#N/A</v>
      </c>
    </row>
    <row r="34" spans="1:29" s="1217"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397"/>
      <c r="Q34" s="1148" t="str">
        <f t="shared" si="11"/>
        <v>物业管理</v>
      </c>
      <c r="R34" s="1564" t="s">
        <v>8</v>
      </c>
      <c r="S34" s="1565">
        <f t="shared" si="12"/>
        <v>100</v>
      </c>
      <c r="T34" s="1564" t="s">
        <v>8</v>
      </c>
      <c r="U34" s="1565">
        <f t="shared" si="13"/>
        <v>100</v>
      </c>
      <c r="V34" s="1564" t="s">
        <v>8</v>
      </c>
      <c r="W34" s="1565">
        <f t="shared" si="14"/>
        <v>100</v>
      </c>
      <c r="X34" s="1566"/>
      <c r="Y34" s="3397"/>
      <c r="Z34" s="1147" t="str">
        <f t="shared" si="15"/>
        <v>物业管理</v>
      </c>
      <c r="AA34" s="1567">
        <f t="shared" si="3"/>
        <v>1</v>
      </c>
      <c r="AB34" s="1567">
        <f t="shared" si="4"/>
        <v>1</v>
      </c>
      <c r="AC34" s="1567">
        <f t="shared" si="5"/>
        <v>1</v>
      </c>
    </row>
    <row r="35" spans="1:29" ht="15">
      <c r="A35" s="591"/>
      <c r="B35" s="1892"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397" t="s">
        <v>549</v>
      </c>
      <c r="Q35" s="1568" t="str">
        <f t="shared" si="11"/>
        <v>市政基础设施</v>
      </c>
      <c r="R35" s="1569" t="s">
        <v>8</v>
      </c>
      <c r="S35" s="1570">
        <f t="shared" si="12"/>
        <v>100</v>
      </c>
      <c r="T35" s="1569" t="s">
        <v>8</v>
      </c>
      <c r="U35" s="1570">
        <f t="shared" si="13"/>
        <v>100</v>
      </c>
      <c r="V35" s="1569" t="s">
        <v>8</v>
      </c>
      <c r="W35" s="1570">
        <f t="shared" si="14"/>
        <v>100</v>
      </c>
      <c r="X35" s="1563"/>
      <c r="Y35" s="3397" t="s">
        <v>549</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397"/>
      <c r="Q36" s="1568" t="str">
        <f t="shared" si="11"/>
        <v>内部装修</v>
      </c>
      <c r="R36" s="1569" t="s">
        <v>8</v>
      </c>
      <c r="S36" s="1570">
        <f t="shared" si="12"/>
        <v>100</v>
      </c>
      <c r="T36" s="1569" t="s">
        <v>8</v>
      </c>
      <c r="U36" s="1570">
        <f t="shared" si="13"/>
        <v>100</v>
      </c>
      <c r="V36" s="1569" t="s">
        <v>8</v>
      </c>
      <c r="W36" s="1570">
        <f t="shared" si="14"/>
        <v>100</v>
      </c>
      <c r="X36" s="1563"/>
      <c r="Y36" s="3397"/>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397"/>
      <c r="Q37" s="1568" t="str">
        <f t="shared" si="11"/>
        <v>内部装修状况</v>
      </c>
      <c r="R37" s="1569" t="s">
        <v>8</v>
      </c>
      <c r="S37" s="1570">
        <f t="shared" si="12"/>
        <v>100</v>
      </c>
      <c r="T37" s="1569" t="s">
        <v>8</v>
      </c>
      <c r="U37" s="1570">
        <f t="shared" si="13"/>
        <v>100</v>
      </c>
      <c r="V37" s="1569" t="s">
        <v>8</v>
      </c>
      <c r="W37" s="1570">
        <f t="shared" si="14"/>
        <v>100</v>
      </c>
      <c r="X37" s="1563"/>
      <c r="Y37" s="3397"/>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397"/>
      <c r="Q38" s="1601">
        <f t="shared" si="11"/>
        <v>111</v>
      </c>
      <c r="R38" s="1573" t="s">
        <v>8</v>
      </c>
      <c r="S38" s="1574">
        <f t="shared" si="12"/>
        <v>100</v>
      </c>
      <c r="T38" s="1573" t="s">
        <v>8</v>
      </c>
      <c r="U38" s="1574">
        <f t="shared" si="13"/>
        <v>100</v>
      </c>
      <c r="V38" s="1573" t="s">
        <v>8</v>
      </c>
      <c r="W38" s="1574">
        <f t="shared" si="14"/>
        <v>100</v>
      </c>
      <c r="X38" s="1575"/>
      <c r="Y38" s="3397"/>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397"/>
      <c r="Q39" s="1568">
        <f t="shared" si="11"/>
        <v>111</v>
      </c>
      <c r="R39" s="1569" t="s">
        <v>8</v>
      </c>
      <c r="S39" s="1570">
        <f t="shared" si="12"/>
        <v>100</v>
      </c>
      <c r="T39" s="1569" t="s">
        <v>8</v>
      </c>
      <c r="U39" s="1570">
        <f t="shared" si="13"/>
        <v>100</v>
      </c>
      <c r="V39" s="1569" t="s">
        <v>8</v>
      </c>
      <c r="W39" s="1570">
        <f t="shared" si="14"/>
        <v>100</v>
      </c>
      <c r="X39" s="1563"/>
      <c r="Y39" s="3397"/>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496"/>
      <c r="Q40" s="1568">
        <f t="shared" si="11"/>
        <v>111</v>
      </c>
      <c r="R40" s="1569" t="s">
        <v>8</v>
      </c>
      <c r="S40" s="1570">
        <f t="shared" si="12"/>
        <v>100</v>
      </c>
      <c r="T40" s="1569" t="s">
        <v>8</v>
      </c>
      <c r="U40" s="1570">
        <f t="shared" si="13"/>
        <v>100</v>
      </c>
      <c r="V40" s="1569" t="s">
        <v>8</v>
      </c>
      <c r="W40" s="1570">
        <f t="shared" si="14"/>
        <v>100</v>
      </c>
      <c r="X40" s="1563"/>
      <c r="Y40" s="3496"/>
      <c r="Z40" s="1571">
        <f t="shared" si="15"/>
        <v>111</v>
      </c>
      <c r="AA40" s="1572">
        <f t="shared" si="3"/>
        <v>1</v>
      </c>
      <c r="AB40" s="1572">
        <f t="shared" si="4"/>
        <v>1</v>
      </c>
      <c r="AC40" s="1572">
        <f t="shared" si="5"/>
        <v>1</v>
      </c>
    </row>
    <row r="41" spans="1:29" ht="15">
      <c r="A41" s="604" t="s">
        <v>735</v>
      </c>
      <c r="B41" s="884"/>
      <c r="C41" s="2624" t="s">
        <v>1</v>
      </c>
      <c r="D41" s="2625"/>
      <c r="E41" s="2626"/>
      <c r="F41" s="2627"/>
      <c r="G41" s="2628"/>
      <c r="H41" s="2629"/>
      <c r="I41" s="2626"/>
      <c r="J41" s="2629"/>
      <c r="K41" s="1607"/>
      <c r="L41" s="2141"/>
      <c r="M41" s="2142"/>
      <c r="N41" s="2131"/>
      <c r="O41" s="2142"/>
      <c r="P41" s="3392" t="str">
        <f>A41</f>
        <v>成交单价（元/平方米）</v>
      </c>
      <c r="Q41" s="3392"/>
      <c r="R41" s="3495">
        <f>E41</f>
        <v>0</v>
      </c>
      <c r="S41" s="3495"/>
      <c r="T41" s="3495">
        <f>G41</f>
        <v>0</v>
      </c>
      <c r="U41" s="3495"/>
      <c r="V41" s="3495">
        <f>I41</f>
        <v>0</v>
      </c>
      <c r="W41" s="3495"/>
      <c r="X41" s="1555"/>
      <c r="Y41" s="1577"/>
      <c r="Z41" s="1555"/>
      <c r="AA41" s="1555"/>
      <c r="AB41" s="1555"/>
      <c r="AC41" s="1555"/>
    </row>
    <row r="42" spans="1:29" ht="15.75" thickBot="1">
      <c r="A42" s="612" t="s">
        <v>2761</v>
      </c>
      <c r="B42" s="885"/>
      <c r="C42" s="2630" t="e">
        <f>R43</f>
        <v>#DIV/0!</v>
      </c>
      <c r="D42" s="2631"/>
      <c r="E42" s="2632" t="e">
        <f>R42</f>
        <v>#DIV/0!</v>
      </c>
      <c r="F42" s="2632"/>
      <c r="G42" s="2630" t="e">
        <f>T42</f>
        <v>#DIV/0!</v>
      </c>
      <c r="H42" s="2631"/>
      <c r="I42" s="2632" t="e">
        <f>V42</f>
        <v>#DIV/0!</v>
      </c>
      <c r="J42" s="2631"/>
      <c r="K42" s="1608"/>
      <c r="L42" s="2141"/>
      <c r="M42" s="2142"/>
      <c r="N42" s="2131"/>
      <c r="O42" s="2142"/>
      <c r="P42" s="3392" t="str">
        <f>A42</f>
        <v>比较价格（元/平方米）</v>
      </c>
      <c r="Q42" s="3392"/>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5"/>
      <c r="Y42" s="1555"/>
      <c r="Z42" s="1555"/>
      <c r="AA42" s="1555"/>
      <c r="AB42" s="1555"/>
      <c r="AC42" s="1555"/>
    </row>
    <row r="43" spans="1:29" ht="15.75" thickBot="1">
      <c r="A43" s="618" t="s">
        <v>2933</v>
      </c>
      <c r="B43" s="619"/>
      <c r="C43" s="2633" t="e">
        <f>R43</f>
        <v>#DIV/0!</v>
      </c>
      <c r="D43" s="2633"/>
      <c r="E43" s="2633"/>
      <c r="F43" s="2633"/>
      <c r="G43" s="2633"/>
      <c r="H43" s="2633"/>
      <c r="I43" s="2633"/>
      <c r="J43" s="2633"/>
      <c r="K43" s="1609"/>
      <c r="L43" s="2141"/>
      <c r="M43" s="2142"/>
      <c r="N43" s="2142"/>
      <c r="O43" s="2142"/>
      <c r="P43" s="3415" t="str">
        <f>A43</f>
        <v>估价对象XX用房的比较价格（楼面单价，元/平方米）</v>
      </c>
      <c r="Q43" s="3416"/>
      <c r="R43" s="3494" t="e">
        <f>IF(F1="售价",ROUND(AVERAGE(R42:V42),0),ROUND(AVERAGE(R42:V42),1))</f>
        <v>#DIV/0!</v>
      </c>
      <c r="S43" s="3494"/>
      <c r="T43" s="3494"/>
      <c r="U43" s="3494"/>
      <c r="V43" s="3494"/>
      <c r="W43" s="3494"/>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528</v>
      </c>
      <c r="B52" s="643"/>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574</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530</v>
      </c>
      <c r="B55" s="645"/>
      <c r="C55" s="657" t="s">
        <v>575</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576</v>
      </c>
      <c r="B57" s="662" t="s">
        <v>533</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538</v>
      </c>
      <c r="B70" s="662" t="s">
        <v>584</v>
      </c>
      <c r="C70" s="700" t="s">
        <v>578</v>
      </c>
      <c r="D70" s="700" t="s">
        <v>579</v>
      </c>
      <c r="E70" s="700" t="s">
        <v>580</v>
      </c>
      <c r="F70" s="700" t="s">
        <v>581</v>
      </c>
      <c r="G70" s="700" t="s">
        <v>582</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585</v>
      </c>
      <c r="C72" s="705" t="s">
        <v>578</v>
      </c>
      <c r="D72" s="705" t="s">
        <v>579</v>
      </c>
      <c r="E72" s="705" t="s">
        <v>580</v>
      </c>
      <c r="F72" s="705" t="s">
        <v>581</v>
      </c>
      <c r="G72" s="705" t="s">
        <v>582</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2559</v>
      </c>
      <c r="C74" s="705" t="s">
        <v>578</v>
      </c>
      <c r="D74" s="705" t="s">
        <v>579</v>
      </c>
      <c r="E74" s="705" t="s">
        <v>580</v>
      </c>
      <c r="F74" s="705" t="s">
        <v>581</v>
      </c>
      <c r="G74" s="705" t="s">
        <v>582</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594" t="s">
        <v>2560</v>
      </c>
      <c r="C76" s="2595" t="s">
        <v>2561</v>
      </c>
      <c r="D76" s="2595" t="s">
        <v>2562</v>
      </c>
      <c r="E76" s="2595" t="s">
        <v>2563</v>
      </c>
      <c r="F76" s="2595" t="s">
        <v>2564</v>
      </c>
      <c r="G76" s="2595" t="s">
        <v>2565</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783</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550</v>
      </c>
      <c r="B88" s="662" t="s">
        <v>746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750</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752</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2558</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754</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147515.15平方米。根据《建设工程规划许可证》[]、《出让合同》[]，估价对象规划建筑面积为317024.16平方米。</v>
      </c>
    </row>
    <row r="7" spans="1:4" ht="93.75">
      <c r="A7" s="2870" t="s">
        <v>2749</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2018年10月30日（评估专业人员勘察现场之日）</v>
      </c>
    </row>
    <row r="12" spans="1:4" ht="18.75">
      <c r="A12" s="1794" t="s">
        <v>2027</v>
      </c>
    </row>
    <row r="13" spans="1:4" ht="18.75">
      <c r="A13" s="1788" t="s">
        <v>2073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根据《国有土地使用证》[]，估价对象（分摊）出让国有建设用地使用权面积为147515.15平方米。根据《建设工程规划许可证》[]、《出让合同》[]，估价对象规划建筑面积为317024.16平方米。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72" t="s">
        <v>2750</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IF(B37="元/平方米",C39,ROUND(B2*10000/D3,0))</f>
        <v>#DIV/0!</v>
      </c>
      <c r="C3" s="849" t="s">
        <v>795</v>
      </c>
      <c r="D3" s="848">
        <f>SUMIF('数据-汇总表'!$C19:$C33,D1,'数据-汇总表'!$E19:$E33)</f>
        <v>0</v>
      </c>
      <c r="E3" s="1845" t="s">
        <v>2078</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98" t="s">
        <v>797</v>
      </c>
      <c r="D4" s="3399"/>
      <c r="E4" s="3398" t="s">
        <v>798</v>
      </c>
      <c r="F4" s="3399"/>
      <c r="G4" s="3398" t="s">
        <v>799</v>
      </c>
      <c r="H4" s="3399"/>
      <c r="I4" s="3398" t="s">
        <v>800</v>
      </c>
      <c r="J4" s="3399"/>
      <c r="K4" s="511" t="s">
        <v>801</v>
      </c>
      <c r="L4" s="2130"/>
      <c r="M4" s="2131"/>
      <c r="N4" s="2131"/>
      <c r="O4" s="2131"/>
      <c r="P4" s="3400" t="s">
        <v>802</v>
      </c>
      <c r="Q4" s="3401"/>
      <c r="R4" s="3386" t="s">
        <v>798</v>
      </c>
      <c r="S4" s="3387"/>
      <c r="T4" s="3386" t="s">
        <v>799</v>
      </c>
      <c r="U4" s="3387"/>
      <c r="V4" s="3406" t="s">
        <v>800</v>
      </c>
      <c r="W4" s="3406"/>
      <c r="X4" s="1563"/>
      <c r="Y4" s="3386" t="s">
        <v>802</v>
      </c>
      <c r="Z4" s="3387"/>
      <c r="AA4" s="3381" t="s">
        <v>798</v>
      </c>
      <c r="AB4" s="3382" t="s">
        <v>799</v>
      </c>
      <c r="AC4" s="3381" t="s">
        <v>800</v>
      </c>
    </row>
    <row r="5" spans="1:29" ht="15">
      <c r="A5" s="512"/>
      <c r="B5" s="513"/>
      <c r="C5" s="3409" t="s">
        <v>2927</v>
      </c>
      <c r="D5" s="3410"/>
      <c r="E5" s="3409" t="s">
        <v>2928</v>
      </c>
      <c r="F5" s="3410"/>
      <c r="G5" s="3409" t="s">
        <v>2929</v>
      </c>
      <c r="H5" s="3410"/>
      <c r="I5" s="3409" t="s">
        <v>2930</v>
      </c>
      <c r="J5" s="3410"/>
      <c r="K5" s="511"/>
      <c r="L5" s="2130"/>
      <c r="M5" s="2131"/>
      <c r="N5" s="2131"/>
      <c r="O5" s="2131"/>
      <c r="P5" s="3402"/>
      <c r="Q5" s="3403"/>
      <c r="R5" s="3388"/>
      <c r="S5" s="3389"/>
      <c r="T5" s="3388"/>
      <c r="U5" s="3389"/>
      <c r="V5" s="3406"/>
      <c r="W5" s="3406"/>
      <c r="X5" s="1563"/>
      <c r="Y5" s="3388"/>
      <c r="Z5" s="3389"/>
      <c r="AA5" s="3382"/>
      <c r="AB5" s="3382"/>
      <c r="AC5" s="3382"/>
    </row>
    <row r="6" spans="1:29" ht="15.75" thickBot="1">
      <c r="A6" s="514"/>
      <c r="B6" s="515"/>
      <c r="C6" s="3428" t="s">
        <v>2931</v>
      </c>
      <c r="D6" s="3408"/>
      <c r="E6" s="3501" t="s">
        <v>2931</v>
      </c>
      <c r="F6" s="3413"/>
      <c r="G6" s="3428" t="s">
        <v>2931</v>
      </c>
      <c r="H6" s="3408"/>
      <c r="I6" s="3428" t="s">
        <v>2931</v>
      </c>
      <c r="J6" s="3408"/>
      <c r="K6" s="511" t="s">
        <v>527</v>
      </c>
      <c r="L6" s="2130"/>
      <c r="M6" s="2131"/>
      <c r="N6" s="2131"/>
      <c r="O6" s="2131"/>
      <c r="P6" s="3404"/>
      <c r="Q6" s="3405"/>
      <c r="R6" s="3388"/>
      <c r="S6" s="3389"/>
      <c r="T6" s="3390"/>
      <c r="U6" s="3391"/>
      <c r="V6" s="3406"/>
      <c r="W6" s="3406"/>
      <c r="X6" s="1563"/>
      <c r="Y6" s="3390"/>
      <c r="Z6" s="3391"/>
      <c r="AA6" s="3383"/>
      <c r="AB6" s="3383"/>
      <c r="AC6" s="3383"/>
    </row>
    <row r="7" spans="1:29" s="1217" customFormat="1" ht="15.75" thickBot="1">
      <c r="A7" s="2908"/>
      <c r="B7" s="2915" t="s">
        <v>528</v>
      </c>
      <c r="C7" s="516">
        <f>'数据-取费表'!B2</f>
        <v>43403</v>
      </c>
      <c r="D7" s="517">
        <v>100</v>
      </c>
      <c r="E7" s="518"/>
      <c r="F7" s="519">
        <f>SUMIF(48:48,YEAR(E7)&amp;"-"&amp;MONTH(E7),49:49)</f>
        <v>0</v>
      </c>
      <c r="G7" s="520"/>
      <c r="H7" s="517">
        <f>SUMIF(48:48,YEAR(G7)&amp;"-"&amp;MONTH(G7),49:49)</f>
        <v>0</v>
      </c>
      <c r="I7" s="520"/>
      <c r="J7" s="517">
        <f>SUMIF(48:48,YEAR(I7)&amp;"-"&amp;MONTH(I7),49:49)</f>
        <v>0</v>
      </c>
      <c r="K7" s="521"/>
      <c r="L7" s="2132"/>
      <c r="M7" s="2133"/>
      <c r="N7" s="2133"/>
      <c r="O7" s="2133"/>
      <c r="P7" s="3384" t="s">
        <v>529</v>
      </c>
      <c r="Q7" s="3393"/>
      <c r="R7" s="1564" t="s">
        <v>8</v>
      </c>
      <c r="S7" s="1565">
        <f t="shared" ref="S7:S14" si="0">F7</f>
        <v>0</v>
      </c>
      <c r="T7" s="1564" t="s">
        <v>8</v>
      </c>
      <c r="U7" s="1565">
        <f t="shared" ref="U7:U14" si="1">H7</f>
        <v>0</v>
      </c>
      <c r="V7" s="1564" t="s">
        <v>8</v>
      </c>
      <c r="W7" s="1565">
        <f t="shared" ref="W7:W14" si="2">J7</f>
        <v>0</v>
      </c>
      <c r="X7" s="1566"/>
      <c r="Y7" s="3384" t="s">
        <v>529</v>
      </c>
      <c r="Z7" s="3385"/>
      <c r="AA7" s="1567" t="e">
        <f>D7/F7</f>
        <v>#DIV/0!</v>
      </c>
      <c r="AB7" s="1567" t="e">
        <f>D7/H7</f>
        <v>#DIV/0!</v>
      </c>
      <c r="AC7" s="1567" t="e">
        <f>D7/J7</f>
        <v>#DIV/0!</v>
      </c>
    </row>
    <row r="8" spans="1:29" s="1217" customFormat="1" ht="15.75" thickBot="1">
      <c r="A8" s="2909"/>
      <c r="B8" s="2916" t="s">
        <v>530</v>
      </c>
      <c r="C8" s="522" t="s">
        <v>575</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384" t="s">
        <v>532</v>
      </c>
      <c r="Q8" s="3385"/>
      <c r="R8" s="1564" t="s">
        <v>8</v>
      </c>
      <c r="S8" s="1565">
        <f t="shared" si="0"/>
        <v>0</v>
      </c>
      <c r="T8" s="1564" t="s">
        <v>8</v>
      </c>
      <c r="U8" s="1565">
        <f t="shared" si="1"/>
        <v>0</v>
      </c>
      <c r="V8" s="1564" t="s">
        <v>8</v>
      </c>
      <c r="W8" s="1565">
        <f t="shared" si="2"/>
        <v>0</v>
      </c>
      <c r="X8" s="1566"/>
      <c r="Y8" s="3384" t="s">
        <v>532</v>
      </c>
      <c r="Z8" s="3385"/>
      <c r="AA8" s="1567" t="e">
        <f t="shared" ref="AA8:AA36" si="3">D8/F8</f>
        <v>#DIV/0!</v>
      </c>
      <c r="AB8" s="1567" t="e">
        <f t="shared" ref="AB8:AB36" si="4">D8/H8</f>
        <v>#DIV/0!</v>
      </c>
      <c r="AC8" s="1567" t="e">
        <f t="shared" ref="AC8:AC36" si="5">D8/J8</f>
        <v>#DIV/0!</v>
      </c>
    </row>
    <row r="9" spans="1:29" s="1217" customFormat="1" ht="15">
      <c r="A9" s="2910"/>
      <c r="B9" s="2917" t="s">
        <v>2757</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392" t="s">
        <v>534</v>
      </c>
      <c r="Q9" s="1148" t="str">
        <f t="shared" ref="Q9:Q14" si="6">B9</f>
        <v>用途</v>
      </c>
      <c r="R9" s="1564" t="s">
        <v>8</v>
      </c>
      <c r="S9" s="1565">
        <f t="shared" si="0"/>
        <v>100</v>
      </c>
      <c r="T9" s="1564" t="s">
        <v>8</v>
      </c>
      <c r="U9" s="1565">
        <f t="shared" si="1"/>
        <v>100</v>
      </c>
      <c r="V9" s="1564" t="s">
        <v>8</v>
      </c>
      <c r="W9" s="1565">
        <f t="shared" si="2"/>
        <v>100</v>
      </c>
      <c r="X9" s="1566"/>
      <c r="Y9" s="3349"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392"/>
      <c r="Q10" s="1148" t="str">
        <f t="shared" si="6"/>
        <v>土地使用年限（年）</v>
      </c>
      <c r="R10" s="1564" t="s">
        <v>8</v>
      </c>
      <c r="S10" s="1565">
        <f t="shared" si="0"/>
        <v>100</v>
      </c>
      <c r="T10" s="1564" t="s">
        <v>8</v>
      </c>
      <c r="U10" s="1565">
        <f t="shared" si="1"/>
        <v>100</v>
      </c>
      <c r="V10" s="1564" t="s">
        <v>8</v>
      </c>
      <c r="W10" s="1565">
        <f t="shared" si="2"/>
        <v>100</v>
      </c>
      <c r="X10" s="1566"/>
      <c r="Y10" s="3349"/>
      <c r="Z10" s="1147" t="str">
        <f t="shared" si="7"/>
        <v>土地使用年限（年）</v>
      </c>
      <c r="AA10" s="1567">
        <f t="shared" si="3"/>
        <v>1</v>
      </c>
      <c r="AB10" s="1567">
        <f t="shared" si="4"/>
        <v>1</v>
      </c>
      <c r="AC10" s="1567">
        <f t="shared" si="5"/>
        <v>1</v>
      </c>
    </row>
    <row r="11" spans="1:29" ht="15">
      <c r="A11" s="2913"/>
      <c r="B11" s="2919">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392"/>
      <c r="Q11" s="1148">
        <f t="shared" si="6"/>
        <v>111</v>
      </c>
      <c r="R11" s="1564" t="s">
        <v>8</v>
      </c>
      <c r="S11" s="1565">
        <f t="shared" si="0"/>
        <v>100</v>
      </c>
      <c r="T11" s="1564" t="s">
        <v>8</v>
      </c>
      <c r="U11" s="1565">
        <f t="shared" si="1"/>
        <v>100</v>
      </c>
      <c r="V11" s="1564" t="s">
        <v>8</v>
      </c>
      <c r="W11" s="1565">
        <f t="shared" si="2"/>
        <v>100</v>
      </c>
      <c r="X11" s="1566"/>
      <c r="Y11" s="3349"/>
      <c r="Z11" s="1147">
        <f t="shared" si="7"/>
        <v>111</v>
      </c>
      <c r="AA11" s="1567">
        <f t="shared" si="3"/>
        <v>1</v>
      </c>
      <c r="AB11" s="1567">
        <f t="shared" si="4"/>
        <v>1</v>
      </c>
      <c r="AC11" s="1567">
        <f t="shared" si="5"/>
        <v>1</v>
      </c>
    </row>
    <row r="12" spans="1:29" s="1217" customFormat="1" ht="15">
      <c r="A12" s="2913"/>
      <c r="B12" s="2919">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392"/>
      <c r="Q12" s="1148">
        <f t="shared" si="6"/>
        <v>111</v>
      </c>
      <c r="R12" s="1564" t="s">
        <v>8</v>
      </c>
      <c r="S12" s="1565">
        <f t="shared" si="0"/>
        <v>100</v>
      </c>
      <c r="T12" s="1564" t="s">
        <v>8</v>
      </c>
      <c r="U12" s="1565">
        <f t="shared" si="1"/>
        <v>100</v>
      </c>
      <c r="V12" s="1564" t="s">
        <v>8</v>
      </c>
      <c r="W12" s="1565">
        <f t="shared" si="2"/>
        <v>100</v>
      </c>
      <c r="X12" s="1566"/>
      <c r="Y12" s="3349"/>
      <c r="Z12" s="1147">
        <f t="shared" si="7"/>
        <v>111</v>
      </c>
      <c r="AA12" s="1567">
        <f>D12/F12</f>
        <v>1</v>
      </c>
      <c r="AB12" s="1567">
        <f>D12/H12</f>
        <v>1</v>
      </c>
      <c r="AC12" s="1567">
        <f>D12/J12</f>
        <v>1</v>
      </c>
    </row>
    <row r="13" spans="1:29" ht="15.75" thickBot="1">
      <c r="A13" s="2914"/>
      <c r="B13" s="2920">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392"/>
      <c r="Q13" s="1148">
        <f t="shared" si="6"/>
        <v>111</v>
      </c>
      <c r="R13" s="1564" t="s">
        <v>8</v>
      </c>
      <c r="S13" s="1565">
        <f t="shared" si="0"/>
        <v>100</v>
      </c>
      <c r="T13" s="1564" t="s">
        <v>8</v>
      </c>
      <c r="U13" s="1565">
        <f t="shared" si="1"/>
        <v>100</v>
      </c>
      <c r="V13" s="1564" t="s">
        <v>8</v>
      </c>
      <c r="W13" s="1565">
        <f t="shared" si="2"/>
        <v>100</v>
      </c>
      <c r="X13" s="1566"/>
      <c r="Y13" s="3349"/>
      <c r="Z13" s="1147">
        <f t="shared" si="7"/>
        <v>111</v>
      </c>
      <c r="AA13" s="1567">
        <f t="shared" si="3"/>
        <v>1</v>
      </c>
      <c r="AB13" s="1567">
        <f t="shared" si="4"/>
        <v>1</v>
      </c>
      <c r="AC13" s="1567">
        <f t="shared" si="5"/>
        <v>1</v>
      </c>
    </row>
    <row r="14" spans="1:29" ht="128.25">
      <c r="A14" s="2906" t="s">
        <v>2755</v>
      </c>
      <c r="B14" s="544"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394" t="s">
        <v>539</v>
      </c>
      <c r="Q14" s="1568" t="str">
        <f t="shared" si="6"/>
        <v>交通便捷度</v>
      </c>
      <c r="R14" s="1569" t="s">
        <v>8</v>
      </c>
      <c r="S14" s="1570">
        <f t="shared" si="0"/>
        <v>100</v>
      </c>
      <c r="T14" s="1569" t="s">
        <v>8</v>
      </c>
      <c r="U14" s="1570">
        <f t="shared" si="1"/>
        <v>100</v>
      </c>
      <c r="V14" s="1569" t="s">
        <v>8</v>
      </c>
      <c r="W14" s="1570">
        <f t="shared" si="2"/>
        <v>100</v>
      </c>
      <c r="X14" s="1563"/>
      <c r="Y14" s="3394" t="s">
        <v>539</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395"/>
      <c r="Q15" s="1568"/>
      <c r="R15" s="1569"/>
      <c r="S15" s="1570"/>
      <c r="T15" s="1569"/>
      <c r="U15" s="1570"/>
      <c r="V15" s="1569"/>
      <c r="W15" s="1570"/>
      <c r="X15" s="1563"/>
      <c r="Y15" s="3395"/>
      <c r="Z15" s="1571"/>
      <c r="AA15" s="1572">
        <v>1</v>
      </c>
      <c r="AB15" s="1572">
        <v>1</v>
      </c>
      <c r="AC15" s="1572">
        <v>1</v>
      </c>
    </row>
    <row r="16" spans="1:29" ht="71.25">
      <c r="A16" s="512"/>
      <c r="B16" s="2600" t="s">
        <v>2548</v>
      </c>
      <c r="C16" s="869" t="str">
        <f>IF(B1="工业",估价对象房地状况!G5,估价对象房地状况!C7)</f>
        <v>估价对象所在区域公共配套设施齐备情况较差，2公里内有银行、社区医院等</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395"/>
      <c r="Q16" s="1568" t="str">
        <f>B16</f>
        <v>公共配套设施</v>
      </c>
      <c r="R16" s="1569" t="s">
        <v>8</v>
      </c>
      <c r="S16" s="1570">
        <f>F16</f>
        <v>100</v>
      </c>
      <c r="T16" s="1569" t="s">
        <v>8</v>
      </c>
      <c r="U16" s="1570">
        <f>H16</f>
        <v>100</v>
      </c>
      <c r="V16" s="1569" t="s">
        <v>8</v>
      </c>
      <c r="W16" s="1570">
        <f>J16</f>
        <v>100</v>
      </c>
      <c r="X16" s="1563"/>
      <c r="Y16" s="3395"/>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395"/>
      <c r="Q17" s="1568"/>
      <c r="R17" s="1569"/>
      <c r="S17" s="1570"/>
      <c r="T17" s="1569"/>
      <c r="U17" s="1570"/>
      <c r="V17" s="1569"/>
      <c r="W17" s="1570"/>
      <c r="X17" s="1563"/>
      <c r="Y17" s="3395"/>
      <c r="Z17" s="1571"/>
      <c r="AA17" s="1572">
        <v>1</v>
      </c>
      <c r="AB17" s="1572">
        <v>1</v>
      </c>
      <c r="AC17" s="1572">
        <v>1</v>
      </c>
    </row>
    <row r="18" spans="1:29" ht="42.75">
      <c r="A18" s="512"/>
      <c r="B18" s="2588" t="s">
        <v>2560</v>
      </c>
      <c r="C18" s="869" t="str">
        <f>IF(B1="工业",估价对象房地状况!G6,估价对象房地状况!C8)</f>
        <v>估价对象所在区域基础设施水平七通一平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395"/>
      <c r="Q18" s="2576" t="str">
        <f>B18</f>
        <v>基础设施水平</v>
      </c>
      <c r="R18" s="1569" t="s">
        <v>8</v>
      </c>
      <c r="S18" s="1570">
        <f>F18</f>
        <v>100</v>
      </c>
      <c r="T18" s="1569" t="s">
        <v>8</v>
      </c>
      <c r="U18" s="1570">
        <f>H18</f>
        <v>100</v>
      </c>
      <c r="V18" s="1569" t="s">
        <v>8</v>
      </c>
      <c r="W18" s="1570">
        <f>J18</f>
        <v>100</v>
      </c>
      <c r="X18" s="2578"/>
      <c r="Y18" s="3395"/>
      <c r="Z18" s="2577"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9"/>
      <c r="L19" s="2139"/>
      <c r="M19" s="2131"/>
      <c r="N19" s="2131"/>
      <c r="O19" s="2138"/>
      <c r="P19" s="3395"/>
      <c r="Q19" s="2576"/>
      <c r="R19" s="1569"/>
      <c r="S19" s="1570"/>
      <c r="T19" s="1569"/>
      <c r="U19" s="1570"/>
      <c r="V19" s="1569"/>
      <c r="W19" s="1570"/>
      <c r="X19" s="2578"/>
      <c r="Y19" s="3395"/>
      <c r="Z19" s="2577"/>
      <c r="AA19" s="1572">
        <v>1</v>
      </c>
      <c r="AB19" s="1572">
        <v>1</v>
      </c>
      <c r="AC19" s="1572">
        <v>1</v>
      </c>
    </row>
    <row r="20" spans="1:29" ht="85.5">
      <c r="A20" s="512"/>
      <c r="B20" s="557" t="s">
        <v>803</v>
      </c>
      <c r="C20" s="869" t="str">
        <f>IF(B1="工业",估价对象房地状况!G7,估价对象房地状况!C9)</f>
        <v>区域自然环境：温榆河；人文环境：北京国际标准舞学院；综合评价环境状况较好</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395"/>
      <c r="Q20" s="1568" t="str">
        <f>B20</f>
        <v>自然及人文环境</v>
      </c>
      <c r="R20" s="1569" t="s">
        <v>8</v>
      </c>
      <c r="S20" s="1570">
        <f>F20</f>
        <v>100</v>
      </c>
      <c r="T20" s="1569" t="s">
        <v>8</v>
      </c>
      <c r="U20" s="1570">
        <f>H20</f>
        <v>100</v>
      </c>
      <c r="V20" s="1569" t="s">
        <v>8</v>
      </c>
      <c r="W20" s="1570">
        <f>J20</f>
        <v>100</v>
      </c>
      <c r="X20" s="1563"/>
      <c r="Y20" s="3395"/>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395"/>
      <c r="Q21" s="1568"/>
      <c r="R21" s="1569"/>
      <c r="S21" s="1570"/>
      <c r="T21" s="1569"/>
      <c r="U21" s="1570"/>
      <c r="V21" s="1569"/>
      <c r="W21" s="1570"/>
      <c r="X21" s="1563"/>
      <c r="Y21" s="3395"/>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395"/>
      <c r="Q22" s="1568" t="str">
        <f>B22</f>
        <v>楼层</v>
      </c>
      <c r="R22" s="1569" t="s">
        <v>8</v>
      </c>
      <c r="S22" s="1570">
        <f>F22</f>
        <v>100</v>
      </c>
      <c r="T22" s="1569" t="s">
        <v>8</v>
      </c>
      <c r="U22" s="1570">
        <f>H22</f>
        <v>100</v>
      </c>
      <c r="V22" s="1569" t="s">
        <v>8</v>
      </c>
      <c r="W22" s="1570">
        <f>J22</f>
        <v>100</v>
      </c>
      <c r="X22" s="1563"/>
      <c r="Y22" s="3395"/>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395"/>
      <c r="Q23" s="1568">
        <f>B23</f>
        <v>111</v>
      </c>
      <c r="R23" s="1569" t="s">
        <v>8</v>
      </c>
      <c r="S23" s="1570">
        <f>F23</f>
        <v>100</v>
      </c>
      <c r="T23" s="1569" t="s">
        <v>8</v>
      </c>
      <c r="U23" s="1570">
        <f>H23</f>
        <v>100</v>
      </c>
      <c r="V23" s="1569" t="s">
        <v>8</v>
      </c>
      <c r="W23" s="1570">
        <f>J23</f>
        <v>100</v>
      </c>
      <c r="X23" s="1563"/>
      <c r="Y23" s="3395"/>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395"/>
      <c r="Q24" s="1568">
        <f t="shared" ref="Q24:Q36" si="11">B24</f>
        <v>111</v>
      </c>
      <c r="R24" s="1569" t="s">
        <v>8</v>
      </c>
      <c r="S24" s="1570">
        <f>F24</f>
        <v>100</v>
      </c>
      <c r="T24" s="1569" t="s">
        <v>8</v>
      </c>
      <c r="U24" s="1570">
        <f>H24</f>
        <v>100</v>
      </c>
      <c r="V24" s="1569" t="s">
        <v>8</v>
      </c>
      <c r="W24" s="1570">
        <f>J24</f>
        <v>100</v>
      </c>
      <c r="X24" s="1563"/>
      <c r="Y24" s="3395"/>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395"/>
      <c r="Q25" s="1148">
        <f t="shared" si="11"/>
        <v>111</v>
      </c>
      <c r="R25" s="1564" t="s">
        <v>8</v>
      </c>
      <c r="S25" s="1565">
        <f>F25</f>
        <v>100</v>
      </c>
      <c r="T25" s="1564" t="s">
        <v>8</v>
      </c>
      <c r="U25" s="1565">
        <f>H25</f>
        <v>100</v>
      </c>
      <c r="V25" s="1564" t="s">
        <v>8</v>
      </c>
      <c r="W25" s="1565">
        <f>J25</f>
        <v>100</v>
      </c>
      <c r="X25" s="1566"/>
      <c r="Y25" s="3395"/>
      <c r="Z25" s="1147">
        <f>Q25</f>
        <v>111</v>
      </c>
      <c r="AA25" s="1572">
        <f>D25/F25</f>
        <v>1</v>
      </c>
      <c r="AB25" s="1572">
        <f>D25/H25</f>
        <v>1</v>
      </c>
      <c r="AC25" s="1572">
        <f>D25/J25</f>
        <v>1</v>
      </c>
    </row>
    <row r="26" spans="1:29" ht="15">
      <c r="A26" s="2904" t="s">
        <v>2756</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396"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397" t="s">
        <v>549</v>
      </c>
      <c r="Z26" s="1571" t="str">
        <f t="shared" ref="Z26:Z36" si="15">Q26</f>
        <v>配套类型</v>
      </c>
      <c r="AA26" s="1572">
        <f t="shared" si="3"/>
        <v>1</v>
      </c>
      <c r="AB26" s="1572">
        <f t="shared" si="4"/>
        <v>1</v>
      </c>
      <c r="AC26" s="1572">
        <f t="shared" si="5"/>
        <v>1</v>
      </c>
    </row>
    <row r="27" spans="1:29" s="1336" customFormat="1" ht="15">
      <c r="A27" s="926"/>
      <c r="B27" s="579" t="s">
        <v>806</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397"/>
      <c r="Q27" s="1601" t="str">
        <f t="shared" si="11"/>
        <v>项目停车位配比</v>
      </c>
      <c r="R27" s="1573" t="s">
        <v>8</v>
      </c>
      <c r="S27" s="1574">
        <f t="shared" si="12"/>
        <v>100</v>
      </c>
      <c r="T27" s="1573" t="s">
        <v>8</v>
      </c>
      <c r="U27" s="1574">
        <f t="shared" si="13"/>
        <v>100</v>
      </c>
      <c r="V27" s="1573" t="s">
        <v>8</v>
      </c>
      <c r="W27" s="1574">
        <f t="shared" si="14"/>
        <v>100</v>
      </c>
      <c r="X27" s="1575"/>
      <c r="Y27" s="3397"/>
      <c r="Z27" s="1576" t="str">
        <f t="shared" si="15"/>
        <v>项目停车位配比</v>
      </c>
      <c r="AA27" s="1572">
        <f t="shared" si="3"/>
        <v>1</v>
      </c>
      <c r="AB27" s="1572">
        <f t="shared" si="4"/>
        <v>1</v>
      </c>
      <c r="AC27" s="1572">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397"/>
      <c r="Q28" s="1568" t="str">
        <f t="shared" si="11"/>
        <v>公共部分装修</v>
      </c>
      <c r="R28" s="1569" t="s">
        <v>8</v>
      </c>
      <c r="S28" s="1570">
        <f t="shared" si="12"/>
        <v>100</v>
      </c>
      <c r="T28" s="1569" t="s">
        <v>8</v>
      </c>
      <c r="U28" s="1570">
        <f t="shared" si="13"/>
        <v>100</v>
      </c>
      <c r="V28" s="1569" t="s">
        <v>8</v>
      </c>
      <c r="W28" s="1570">
        <f t="shared" si="14"/>
        <v>100</v>
      </c>
      <c r="X28" s="1563"/>
      <c r="Y28" s="3397"/>
      <c r="Z28" s="1571" t="str">
        <f t="shared" si="15"/>
        <v>公共部分装修</v>
      </c>
      <c r="AA28" s="1572">
        <f t="shared" si="3"/>
        <v>1</v>
      </c>
      <c r="AB28" s="1572">
        <f t="shared" si="4"/>
        <v>1</v>
      </c>
      <c r="AC28" s="1572">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397"/>
      <c r="Q29" s="1568" t="str">
        <f t="shared" si="11"/>
        <v>成新率</v>
      </c>
      <c r="R29" s="1569" t="s">
        <v>8</v>
      </c>
      <c r="S29" s="1570" t="e">
        <f t="shared" si="12"/>
        <v>#N/A</v>
      </c>
      <c r="T29" s="1569" t="s">
        <v>8</v>
      </c>
      <c r="U29" s="1570" t="e">
        <f t="shared" si="13"/>
        <v>#N/A</v>
      </c>
      <c r="V29" s="1569" t="s">
        <v>8</v>
      </c>
      <c r="W29" s="1570" t="e">
        <f t="shared" si="14"/>
        <v>#N/A</v>
      </c>
      <c r="X29" s="1563"/>
      <c r="Y29" s="3397"/>
      <c r="Z29" s="1571" t="str">
        <f t="shared" si="15"/>
        <v>成新率</v>
      </c>
      <c r="AA29" s="1572" t="e">
        <f t="shared" si="3"/>
        <v>#N/A</v>
      </c>
      <c r="AB29" s="1572" t="e">
        <f t="shared" si="4"/>
        <v>#N/A</v>
      </c>
      <c r="AC29" s="1572"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397"/>
      <c r="Q30" s="1568" t="str">
        <f t="shared" si="11"/>
        <v>物业等级</v>
      </c>
      <c r="R30" s="1569" t="s">
        <v>8</v>
      </c>
      <c r="S30" s="1570">
        <f t="shared" si="12"/>
        <v>100</v>
      </c>
      <c r="T30" s="1569" t="s">
        <v>8</v>
      </c>
      <c r="U30" s="1570">
        <f t="shared" si="13"/>
        <v>100</v>
      </c>
      <c r="V30" s="1569" t="s">
        <v>8</v>
      </c>
      <c r="W30" s="1570">
        <f t="shared" si="14"/>
        <v>100</v>
      </c>
      <c r="X30" s="1563"/>
      <c r="Y30" s="3397"/>
      <c r="Z30" s="1571" t="str">
        <f t="shared" si="15"/>
        <v>物业等级</v>
      </c>
      <c r="AA30" s="1572">
        <f t="shared" si="3"/>
        <v>1</v>
      </c>
      <c r="AB30" s="1572">
        <f t="shared" si="4"/>
        <v>1</v>
      </c>
      <c r="AC30" s="1572">
        <f t="shared" si="5"/>
        <v>1</v>
      </c>
    </row>
    <row r="31" spans="1:29" s="1217" customFormat="1" ht="15">
      <c r="A31" s="930"/>
      <c r="B31" s="579" t="s">
        <v>810</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397"/>
      <c r="Q31" s="1148" t="str">
        <f t="shared" si="11"/>
        <v>停车位面积</v>
      </c>
      <c r="R31" s="1564" t="s">
        <v>8</v>
      </c>
      <c r="S31" s="1565" t="e">
        <f t="shared" si="12"/>
        <v>#N/A</v>
      </c>
      <c r="T31" s="1564" t="s">
        <v>8</v>
      </c>
      <c r="U31" s="1565" t="e">
        <f t="shared" si="13"/>
        <v>#N/A</v>
      </c>
      <c r="V31" s="1564" t="s">
        <v>8</v>
      </c>
      <c r="W31" s="1565" t="e">
        <f t="shared" si="14"/>
        <v>#N/A</v>
      </c>
      <c r="X31" s="1566"/>
      <c r="Y31" s="3397"/>
      <c r="Z31" s="1147" t="str">
        <f t="shared" si="15"/>
        <v>停车位面积</v>
      </c>
      <c r="AA31" s="1567" t="e">
        <f t="shared" si="3"/>
        <v>#N/A</v>
      </c>
      <c r="AB31" s="1567" t="e">
        <f t="shared" si="4"/>
        <v>#N/A</v>
      </c>
      <c r="AC31" s="1567"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397" t="s">
        <v>549</v>
      </c>
      <c r="Q32" s="1568" t="str">
        <f t="shared" si="11"/>
        <v>车位类型</v>
      </c>
      <c r="R32" s="1569" t="s">
        <v>8</v>
      </c>
      <c r="S32" s="1570">
        <f t="shared" si="12"/>
        <v>100</v>
      </c>
      <c r="T32" s="1569" t="s">
        <v>8</v>
      </c>
      <c r="U32" s="1570">
        <f t="shared" si="13"/>
        <v>100</v>
      </c>
      <c r="V32" s="1569" t="s">
        <v>8</v>
      </c>
      <c r="W32" s="1570">
        <f t="shared" si="14"/>
        <v>100</v>
      </c>
      <c r="X32" s="1563"/>
      <c r="Y32" s="3397" t="s">
        <v>549</v>
      </c>
      <c r="Z32" s="1571" t="str">
        <f t="shared" si="15"/>
        <v>车位类型</v>
      </c>
      <c r="AA32" s="1572">
        <f t="shared" si="3"/>
        <v>1</v>
      </c>
      <c r="AB32" s="1572">
        <f t="shared" si="4"/>
        <v>1</v>
      </c>
      <c r="AC32" s="1572">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397"/>
      <c r="Q33" s="1568" t="str">
        <f t="shared" si="11"/>
        <v>是否直接入户</v>
      </c>
      <c r="R33" s="1569" t="s">
        <v>8</v>
      </c>
      <c r="S33" s="1570">
        <f t="shared" si="12"/>
        <v>100</v>
      </c>
      <c r="T33" s="1569" t="s">
        <v>8</v>
      </c>
      <c r="U33" s="1570">
        <f t="shared" si="13"/>
        <v>100</v>
      </c>
      <c r="V33" s="1569" t="s">
        <v>8</v>
      </c>
      <c r="W33" s="1570">
        <f t="shared" si="14"/>
        <v>100</v>
      </c>
      <c r="X33" s="1563"/>
      <c r="Y33" s="3397"/>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397"/>
      <c r="Q34" s="1568">
        <f t="shared" si="11"/>
        <v>111</v>
      </c>
      <c r="R34" s="1569" t="s">
        <v>8</v>
      </c>
      <c r="S34" s="1570">
        <f t="shared" si="12"/>
        <v>100</v>
      </c>
      <c r="T34" s="1569" t="s">
        <v>8</v>
      </c>
      <c r="U34" s="1570">
        <f t="shared" si="13"/>
        <v>100</v>
      </c>
      <c r="V34" s="1569" t="s">
        <v>8</v>
      </c>
      <c r="W34" s="1570">
        <f t="shared" si="14"/>
        <v>100</v>
      </c>
      <c r="X34" s="1563"/>
      <c r="Y34" s="3397"/>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397"/>
      <c r="Q35" s="1601">
        <f t="shared" si="11"/>
        <v>111</v>
      </c>
      <c r="R35" s="1573" t="s">
        <v>8</v>
      </c>
      <c r="S35" s="1574">
        <f t="shared" si="12"/>
        <v>100</v>
      </c>
      <c r="T35" s="1573" t="s">
        <v>8</v>
      </c>
      <c r="U35" s="1574">
        <f t="shared" si="13"/>
        <v>100</v>
      </c>
      <c r="V35" s="1573" t="s">
        <v>8</v>
      </c>
      <c r="W35" s="1574">
        <f t="shared" si="14"/>
        <v>100</v>
      </c>
      <c r="X35" s="1575"/>
      <c r="Y35" s="3397"/>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397"/>
      <c r="Q36" s="1568">
        <f t="shared" si="11"/>
        <v>111</v>
      </c>
      <c r="R36" s="1569" t="s">
        <v>8</v>
      </c>
      <c r="S36" s="1570">
        <f t="shared" si="12"/>
        <v>100</v>
      </c>
      <c r="T36" s="1569" t="s">
        <v>8</v>
      </c>
      <c r="U36" s="1570">
        <f t="shared" si="13"/>
        <v>100</v>
      </c>
      <c r="V36" s="1569" t="s">
        <v>8</v>
      </c>
      <c r="W36" s="1570">
        <f t="shared" si="14"/>
        <v>100</v>
      </c>
      <c r="X36" s="1563"/>
      <c r="Y36" s="3397"/>
      <c r="Z36" s="1571">
        <f t="shared" si="15"/>
        <v>111</v>
      </c>
      <c r="AA36" s="1572">
        <f t="shared" si="3"/>
        <v>1</v>
      </c>
      <c r="AB36" s="1572">
        <f t="shared" si="4"/>
        <v>1</v>
      </c>
      <c r="AC36" s="1572">
        <f t="shared" si="5"/>
        <v>1</v>
      </c>
    </row>
    <row r="37" spans="1:29" ht="15">
      <c r="A37" s="1843" t="s">
        <v>2079</v>
      </c>
      <c r="B37" s="1844" t="s">
        <v>2080</v>
      </c>
      <c r="C37" s="2624" t="s">
        <v>1</v>
      </c>
      <c r="D37" s="2625"/>
      <c r="E37" s="2626"/>
      <c r="F37" s="2627"/>
      <c r="G37" s="2628"/>
      <c r="H37" s="2629"/>
      <c r="I37" s="2626"/>
      <c r="J37" s="2629"/>
      <c r="K37" s="1607"/>
      <c r="L37" s="2141"/>
      <c r="M37" s="2142"/>
      <c r="N37" s="2131"/>
      <c r="O37" s="2142"/>
      <c r="P37" s="3392" t="str">
        <f>A37</f>
        <v>成交单价</v>
      </c>
      <c r="Q37" s="3392"/>
      <c r="R37" s="3495">
        <f>E37</f>
        <v>0</v>
      </c>
      <c r="S37" s="3495"/>
      <c r="T37" s="3495">
        <f>G37</f>
        <v>0</v>
      </c>
      <c r="U37" s="3495"/>
      <c r="V37" s="3495">
        <f>I37</f>
        <v>0</v>
      </c>
      <c r="W37" s="3495"/>
      <c r="X37" s="1555"/>
      <c r="Y37" s="1577"/>
      <c r="Z37" s="1555"/>
      <c r="AA37" s="1555"/>
      <c r="AB37" s="1555"/>
      <c r="AC37" s="1555"/>
    </row>
    <row r="38" spans="1:29" ht="15.75" thickBot="1">
      <c r="A38" s="612" t="s">
        <v>2761</v>
      </c>
      <c r="B38" s="885"/>
      <c r="C38" s="2630" t="e">
        <f>R39</f>
        <v>#DIV/0!</v>
      </c>
      <c r="D38" s="2631"/>
      <c r="E38" s="2632" t="e">
        <f>R38</f>
        <v>#DIV/0!</v>
      </c>
      <c r="F38" s="2632"/>
      <c r="G38" s="2630" t="e">
        <f>T38</f>
        <v>#DIV/0!</v>
      </c>
      <c r="H38" s="2631"/>
      <c r="I38" s="2632" t="e">
        <f>V38</f>
        <v>#DIV/0!</v>
      </c>
      <c r="J38" s="2631"/>
      <c r="K38" s="1608"/>
      <c r="L38" s="2141"/>
      <c r="M38" s="2142"/>
      <c r="N38" s="2142"/>
      <c r="O38" s="2142"/>
      <c r="P38" s="3392" t="str">
        <f>A38</f>
        <v>比较价格（元/平方米）</v>
      </c>
      <c r="Q38" s="3392"/>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5"/>
      <c r="Y38" s="1555"/>
      <c r="Z38" s="1555"/>
      <c r="AA38" s="1555"/>
      <c r="AB38" s="1555"/>
      <c r="AC38" s="1555"/>
    </row>
    <row r="39" spans="1:29" ht="15.75" thickBot="1">
      <c r="A39" s="618" t="s">
        <v>2933</v>
      </c>
      <c r="B39" s="619"/>
      <c r="C39" s="2633" t="e">
        <f>R39</f>
        <v>#DIV/0!</v>
      </c>
      <c r="D39" s="2633"/>
      <c r="E39" s="2633"/>
      <c r="F39" s="2633"/>
      <c r="G39" s="2633"/>
      <c r="H39" s="2633"/>
      <c r="I39" s="2633"/>
      <c r="J39" s="2633"/>
      <c r="K39" s="1609"/>
      <c r="L39" s="2141"/>
      <c r="M39" s="2142"/>
      <c r="N39" s="2142"/>
      <c r="O39" s="2142"/>
      <c r="P39" s="3415" t="str">
        <f>A39</f>
        <v>估价对象XX用房的比较价格（楼面单价，元/平方米）</v>
      </c>
      <c r="Q39" s="3416"/>
      <c r="R39" s="3494" t="e">
        <f>IF(F1="售价",ROUND(AVERAGE(R38:V38),0),ROUND(AVERAGE(R38:V38),1))</f>
        <v>#DIV/0!</v>
      </c>
      <c r="S39" s="3494"/>
      <c r="T39" s="3494"/>
      <c r="U39" s="3494"/>
      <c r="V39" s="3494"/>
      <c r="W39" s="3494"/>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528</v>
      </c>
      <c r="B48" s="643"/>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7" customFormat="1" ht="15">
      <c r="A49" s="644"/>
      <c r="B49" s="645"/>
      <c r="C49" s="2800">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574</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530</v>
      </c>
      <c r="B51" s="645"/>
      <c r="C51" s="657" t="s">
        <v>575</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576</v>
      </c>
      <c r="B53" s="662" t="s">
        <v>533</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2559</v>
      </c>
      <c r="C65" s="705" t="s">
        <v>578</v>
      </c>
      <c r="D65" s="705" t="s">
        <v>579</v>
      </c>
      <c r="E65" s="705" t="s">
        <v>580</v>
      </c>
      <c r="F65" s="705" t="s">
        <v>581</v>
      </c>
      <c r="G65" s="705" t="s">
        <v>582</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594" t="s">
        <v>2560</v>
      </c>
      <c r="C67" s="2595" t="s">
        <v>2561</v>
      </c>
      <c r="D67" s="2595" t="s">
        <v>2562</v>
      </c>
      <c r="E67" s="2595" t="s">
        <v>2563</v>
      </c>
      <c r="F67" s="2595" t="s">
        <v>2564</v>
      </c>
      <c r="G67" s="2595" t="s">
        <v>2565</v>
      </c>
      <c r="H67" s="671"/>
      <c r="I67" s="671"/>
      <c r="J67" s="671"/>
      <c r="K67" s="671"/>
      <c r="L67" s="671"/>
      <c r="M67" s="2598"/>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705" t="s">
        <v>578</v>
      </c>
      <c r="D69" s="705" t="s">
        <v>579</v>
      </c>
      <c r="E69" s="705" t="s">
        <v>580</v>
      </c>
      <c r="F69" s="705" t="s">
        <v>581</v>
      </c>
      <c r="G69" s="705" t="s">
        <v>582</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744</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550</v>
      </c>
      <c r="B79" s="662" t="s">
        <v>813</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750</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819</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C37</f>
        <v>#DIV/0!</v>
      </c>
      <c r="C3" s="849" t="s">
        <v>795</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98" t="s">
        <v>797</v>
      </c>
      <c r="D4" s="3399"/>
      <c r="E4" s="3424" t="s">
        <v>798</v>
      </c>
      <c r="F4" s="3425"/>
      <c r="G4" s="3398" t="s">
        <v>799</v>
      </c>
      <c r="H4" s="3399"/>
      <c r="I4" s="3398" t="s">
        <v>800</v>
      </c>
      <c r="J4" s="3399"/>
      <c r="K4" s="511" t="s">
        <v>801</v>
      </c>
      <c r="L4" s="2130"/>
      <c r="M4" s="2131"/>
      <c r="N4" s="2131"/>
      <c r="O4" s="2131"/>
      <c r="P4" s="3400" t="s">
        <v>802</v>
      </c>
      <c r="Q4" s="3401"/>
      <c r="R4" s="3386" t="s">
        <v>798</v>
      </c>
      <c r="S4" s="3387"/>
      <c r="T4" s="3386" t="s">
        <v>799</v>
      </c>
      <c r="U4" s="3387"/>
      <c r="V4" s="3406" t="s">
        <v>800</v>
      </c>
      <c r="W4" s="3406"/>
      <c r="X4" s="1563"/>
      <c r="Y4" s="3386" t="s">
        <v>802</v>
      </c>
      <c r="Z4" s="3387"/>
      <c r="AA4" s="3381" t="s">
        <v>798</v>
      </c>
      <c r="AB4" s="3382" t="s">
        <v>799</v>
      </c>
      <c r="AC4" s="3381" t="s">
        <v>800</v>
      </c>
    </row>
    <row r="5" spans="1:29" ht="15">
      <c r="A5" s="512"/>
      <c r="B5" s="513"/>
      <c r="C5" s="3409" t="s">
        <v>2927</v>
      </c>
      <c r="D5" s="3410"/>
      <c r="E5" s="3426" t="s">
        <v>2928</v>
      </c>
      <c r="F5" s="3427"/>
      <c r="G5" s="3409" t="s">
        <v>2929</v>
      </c>
      <c r="H5" s="3410"/>
      <c r="I5" s="3409" t="s">
        <v>2930</v>
      </c>
      <c r="J5" s="3410"/>
      <c r="K5" s="511"/>
      <c r="L5" s="2130"/>
      <c r="M5" s="2131"/>
      <c r="N5" s="2131"/>
      <c r="O5" s="2131"/>
      <c r="P5" s="3402"/>
      <c r="Q5" s="3403"/>
      <c r="R5" s="3388"/>
      <c r="S5" s="3389"/>
      <c r="T5" s="3388"/>
      <c r="U5" s="3389"/>
      <c r="V5" s="3406"/>
      <c r="W5" s="3406"/>
      <c r="X5" s="1563"/>
      <c r="Y5" s="3388"/>
      <c r="Z5" s="3389"/>
      <c r="AA5" s="3382"/>
      <c r="AB5" s="3382"/>
      <c r="AC5" s="3382"/>
    </row>
    <row r="6" spans="1:29" ht="15.75" thickBot="1">
      <c r="A6" s="514"/>
      <c r="B6" s="515"/>
      <c r="C6" s="3428" t="s">
        <v>2931</v>
      </c>
      <c r="D6" s="3408"/>
      <c r="E6" s="3429" t="s">
        <v>2931</v>
      </c>
      <c r="F6" s="3430"/>
      <c r="G6" s="3428" t="s">
        <v>2931</v>
      </c>
      <c r="H6" s="3408"/>
      <c r="I6" s="3428" t="s">
        <v>2931</v>
      </c>
      <c r="J6" s="3408"/>
      <c r="K6" s="511" t="s">
        <v>527</v>
      </c>
      <c r="L6" s="2130"/>
      <c r="M6" s="2131"/>
      <c r="N6" s="2131"/>
      <c r="O6" s="2131"/>
      <c r="P6" s="3404"/>
      <c r="Q6" s="3405"/>
      <c r="R6" s="3388"/>
      <c r="S6" s="3389"/>
      <c r="T6" s="3390"/>
      <c r="U6" s="3391"/>
      <c r="V6" s="3406"/>
      <c r="W6" s="3406"/>
      <c r="X6" s="1563"/>
      <c r="Y6" s="3390"/>
      <c r="Z6" s="3391"/>
      <c r="AA6" s="3383"/>
      <c r="AB6" s="3383"/>
      <c r="AC6" s="3383"/>
    </row>
    <row r="7" spans="1:29" s="1217" customFormat="1" ht="15.75" thickBot="1">
      <c r="A7" s="2908"/>
      <c r="B7" s="2915" t="s">
        <v>528</v>
      </c>
      <c r="C7" s="516">
        <f>'数据-取费表'!B2</f>
        <v>43403</v>
      </c>
      <c r="D7" s="517">
        <v>100</v>
      </c>
      <c r="E7" s="518"/>
      <c r="F7" s="519">
        <f>SUMIF(46:46,YEAR(E7)&amp;"-"&amp;MONTH(E7),47:47)</f>
        <v>0</v>
      </c>
      <c r="G7" s="520"/>
      <c r="H7" s="517">
        <f>SUMIF(46:46,YEAR(G7)&amp;"-"&amp;MONTH(G7),47:47)</f>
        <v>0</v>
      </c>
      <c r="I7" s="520"/>
      <c r="J7" s="517">
        <f>SUMIF(46:46,YEAR(I7)&amp;"-"&amp;MONTH(I7),47:47)</f>
        <v>0</v>
      </c>
      <c r="K7" s="521"/>
      <c r="L7" s="2132"/>
      <c r="M7" s="2133"/>
      <c r="N7" s="2133"/>
      <c r="O7" s="2133"/>
      <c r="P7" s="3384" t="s">
        <v>529</v>
      </c>
      <c r="Q7" s="3393"/>
      <c r="R7" s="1564" t="s">
        <v>8</v>
      </c>
      <c r="S7" s="1565">
        <f t="shared" ref="S7:S14" si="0">F7</f>
        <v>0</v>
      </c>
      <c r="T7" s="1564" t="s">
        <v>8</v>
      </c>
      <c r="U7" s="1565">
        <f t="shared" ref="U7:U14" si="1">H7</f>
        <v>0</v>
      </c>
      <c r="V7" s="1564" t="s">
        <v>8</v>
      </c>
      <c r="W7" s="1565">
        <f t="shared" ref="W7:W14" si="2">J7</f>
        <v>0</v>
      </c>
      <c r="X7" s="1566"/>
      <c r="Y7" s="3384" t="s">
        <v>529</v>
      </c>
      <c r="Z7" s="3385"/>
      <c r="AA7" s="1567" t="e">
        <f>D7/F7</f>
        <v>#DIV/0!</v>
      </c>
      <c r="AB7" s="1567" t="e">
        <f>D7/H7</f>
        <v>#DIV/0!</v>
      </c>
      <c r="AC7" s="1567" t="e">
        <f>D7/J7</f>
        <v>#DIV/0!</v>
      </c>
    </row>
    <row r="8" spans="1:29" s="1217" customFormat="1" ht="15.75" thickBot="1">
      <c r="A8" s="2909"/>
      <c r="B8" s="2916" t="s">
        <v>530</v>
      </c>
      <c r="C8" s="522" t="s">
        <v>575</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384" t="s">
        <v>532</v>
      </c>
      <c r="Q8" s="3385"/>
      <c r="R8" s="1564" t="s">
        <v>8</v>
      </c>
      <c r="S8" s="1565">
        <f t="shared" si="0"/>
        <v>0</v>
      </c>
      <c r="T8" s="1564" t="s">
        <v>8</v>
      </c>
      <c r="U8" s="1565">
        <f t="shared" si="1"/>
        <v>0</v>
      </c>
      <c r="V8" s="1564" t="s">
        <v>8</v>
      </c>
      <c r="W8" s="1565">
        <f t="shared" si="2"/>
        <v>0</v>
      </c>
      <c r="X8" s="1566"/>
      <c r="Y8" s="3384" t="s">
        <v>532</v>
      </c>
      <c r="Z8" s="3385"/>
      <c r="AA8" s="1567" t="e">
        <f t="shared" ref="AA8:AA34" si="3">D8/F8</f>
        <v>#DIV/0!</v>
      </c>
      <c r="AB8" s="1567" t="e">
        <f t="shared" ref="AB8:AB34" si="4">D8/H8</f>
        <v>#DIV/0!</v>
      </c>
      <c r="AC8" s="1567" t="e">
        <f t="shared" ref="AC8:AC34" si="5">D8/J8</f>
        <v>#DIV/0!</v>
      </c>
    </row>
    <row r="9" spans="1:29" s="1217" customFormat="1" ht="15">
      <c r="A9" s="2910"/>
      <c r="B9" s="2917" t="s">
        <v>2757</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392" t="s">
        <v>534</v>
      </c>
      <c r="Q9" s="1148" t="str">
        <f t="shared" ref="Q9:Q14" si="6">B9</f>
        <v>用途</v>
      </c>
      <c r="R9" s="1564" t="s">
        <v>8</v>
      </c>
      <c r="S9" s="1565">
        <f t="shared" si="0"/>
        <v>100</v>
      </c>
      <c r="T9" s="1564" t="s">
        <v>8</v>
      </c>
      <c r="U9" s="1565">
        <f t="shared" si="1"/>
        <v>100</v>
      </c>
      <c r="V9" s="1564" t="s">
        <v>8</v>
      </c>
      <c r="W9" s="1565">
        <f t="shared" si="2"/>
        <v>100</v>
      </c>
      <c r="X9" s="1566"/>
      <c r="Y9" s="3349"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392"/>
      <c r="Q10" s="1148" t="str">
        <f t="shared" si="6"/>
        <v>土地使用年限（年）</v>
      </c>
      <c r="R10" s="1564" t="s">
        <v>8</v>
      </c>
      <c r="S10" s="1565">
        <f t="shared" si="0"/>
        <v>100</v>
      </c>
      <c r="T10" s="1564" t="s">
        <v>8</v>
      </c>
      <c r="U10" s="1565">
        <f t="shared" si="1"/>
        <v>100</v>
      </c>
      <c r="V10" s="1564" t="s">
        <v>8</v>
      </c>
      <c r="W10" s="1565">
        <f t="shared" si="2"/>
        <v>100</v>
      </c>
      <c r="X10" s="1566"/>
      <c r="Y10" s="3349"/>
      <c r="Z10" s="1147" t="str">
        <f t="shared" si="7"/>
        <v>土地使用年限（年）</v>
      </c>
      <c r="AA10" s="1567">
        <f t="shared" si="3"/>
        <v>1</v>
      </c>
      <c r="AB10" s="1567">
        <f t="shared" si="4"/>
        <v>1</v>
      </c>
      <c r="AC10" s="1567">
        <f t="shared" si="5"/>
        <v>1</v>
      </c>
    </row>
    <row r="11" spans="1:29" ht="15">
      <c r="A11" s="2913"/>
      <c r="B11" s="2919">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392"/>
      <c r="Q11" s="1148">
        <f t="shared" si="6"/>
        <v>111</v>
      </c>
      <c r="R11" s="1564" t="s">
        <v>8</v>
      </c>
      <c r="S11" s="1565">
        <f t="shared" si="0"/>
        <v>100</v>
      </c>
      <c r="T11" s="1564" t="s">
        <v>8</v>
      </c>
      <c r="U11" s="1565">
        <f t="shared" si="1"/>
        <v>100</v>
      </c>
      <c r="V11" s="1564" t="s">
        <v>8</v>
      </c>
      <c r="W11" s="1565">
        <f t="shared" si="2"/>
        <v>100</v>
      </c>
      <c r="X11" s="1566"/>
      <c r="Y11" s="3349"/>
      <c r="Z11" s="1147">
        <f t="shared" si="7"/>
        <v>111</v>
      </c>
      <c r="AA11" s="1567">
        <f t="shared" si="3"/>
        <v>1</v>
      </c>
      <c r="AB11" s="1567">
        <f t="shared" si="4"/>
        <v>1</v>
      </c>
      <c r="AC11" s="1567">
        <f t="shared" si="5"/>
        <v>1</v>
      </c>
    </row>
    <row r="12" spans="1:29" s="1217" customFormat="1" ht="15">
      <c r="A12" s="2913"/>
      <c r="B12" s="2919">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392"/>
      <c r="Q12" s="1148">
        <f t="shared" si="6"/>
        <v>111</v>
      </c>
      <c r="R12" s="1564" t="s">
        <v>8</v>
      </c>
      <c r="S12" s="1565">
        <f t="shared" si="0"/>
        <v>100</v>
      </c>
      <c r="T12" s="1564" t="s">
        <v>8</v>
      </c>
      <c r="U12" s="1565">
        <f t="shared" si="1"/>
        <v>100</v>
      </c>
      <c r="V12" s="1564" t="s">
        <v>8</v>
      </c>
      <c r="W12" s="1565">
        <f t="shared" si="2"/>
        <v>100</v>
      </c>
      <c r="X12" s="1566"/>
      <c r="Y12" s="3349"/>
      <c r="Z12" s="1147">
        <f t="shared" si="7"/>
        <v>111</v>
      </c>
      <c r="AA12" s="1567">
        <f>D12/F12</f>
        <v>1</v>
      </c>
      <c r="AB12" s="1567">
        <f>D12/H12</f>
        <v>1</v>
      </c>
      <c r="AC12" s="1567">
        <f>D12/J12</f>
        <v>1</v>
      </c>
    </row>
    <row r="13" spans="1:29" ht="15.75" thickBot="1">
      <c r="A13" s="2914"/>
      <c r="B13" s="2920">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392"/>
      <c r="Q13" s="1148">
        <f t="shared" si="6"/>
        <v>111</v>
      </c>
      <c r="R13" s="1564" t="s">
        <v>8</v>
      </c>
      <c r="S13" s="1565">
        <f t="shared" si="0"/>
        <v>100</v>
      </c>
      <c r="T13" s="1564" t="s">
        <v>8</v>
      </c>
      <c r="U13" s="1565">
        <f t="shared" si="1"/>
        <v>100</v>
      </c>
      <c r="V13" s="1564" t="s">
        <v>8</v>
      </c>
      <c r="W13" s="1565">
        <f t="shared" si="2"/>
        <v>100</v>
      </c>
      <c r="X13" s="1566"/>
      <c r="Y13" s="3349"/>
      <c r="Z13" s="1147">
        <f t="shared" si="7"/>
        <v>111</v>
      </c>
      <c r="AA13" s="1567">
        <f t="shared" si="3"/>
        <v>1</v>
      </c>
      <c r="AB13" s="1567">
        <f t="shared" si="4"/>
        <v>1</v>
      </c>
      <c r="AC13" s="1567">
        <f t="shared" si="5"/>
        <v>1</v>
      </c>
    </row>
    <row r="14" spans="1:29" ht="128.25">
      <c r="A14" s="2906" t="s">
        <v>2755</v>
      </c>
      <c r="B14" s="165"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394" t="s">
        <v>539</v>
      </c>
      <c r="Q14" s="1568" t="str">
        <f t="shared" si="6"/>
        <v>交通便捷度</v>
      </c>
      <c r="R14" s="1569" t="s">
        <v>8</v>
      </c>
      <c r="S14" s="1570">
        <f t="shared" si="0"/>
        <v>100</v>
      </c>
      <c r="T14" s="1569" t="s">
        <v>8</v>
      </c>
      <c r="U14" s="1570">
        <f t="shared" si="1"/>
        <v>100</v>
      </c>
      <c r="V14" s="1569" t="s">
        <v>8</v>
      </c>
      <c r="W14" s="1570">
        <f t="shared" si="2"/>
        <v>100</v>
      </c>
      <c r="X14" s="1563"/>
      <c r="Y14" s="3394" t="s">
        <v>539</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395"/>
      <c r="Q15" s="1568"/>
      <c r="R15" s="1569"/>
      <c r="S15" s="1570"/>
      <c r="T15" s="1569"/>
      <c r="U15" s="1570"/>
      <c r="V15" s="1569"/>
      <c r="W15" s="1570"/>
      <c r="X15" s="1563"/>
      <c r="Y15" s="3395"/>
      <c r="Z15" s="1571"/>
      <c r="AA15" s="1572">
        <v>1</v>
      </c>
      <c r="AB15" s="1572">
        <v>1</v>
      </c>
      <c r="AC15" s="1572">
        <v>1</v>
      </c>
    </row>
    <row r="16" spans="1:29" ht="71.25">
      <c r="A16" s="529"/>
      <c r="B16" s="2600" t="s">
        <v>2548</v>
      </c>
      <c r="C16" s="869" t="str">
        <f>IF(B1="工业",估价对象房地状况!G5,估价对象房地状况!C7)</f>
        <v>估价对象所在区域公共配套设施齐备情况较差，2公里内有银行、社区医院等</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395"/>
      <c r="Q16" s="1568" t="str">
        <f>B16</f>
        <v>公共配套设施</v>
      </c>
      <c r="R16" s="1569" t="s">
        <v>8</v>
      </c>
      <c r="S16" s="1570">
        <f>F16</f>
        <v>100</v>
      </c>
      <c r="T16" s="1569" t="s">
        <v>8</v>
      </c>
      <c r="U16" s="1570">
        <f>H16</f>
        <v>100</v>
      </c>
      <c r="V16" s="1569" t="s">
        <v>8</v>
      </c>
      <c r="W16" s="1570">
        <f>J16</f>
        <v>100</v>
      </c>
      <c r="X16" s="1563"/>
      <c r="Y16" s="3395"/>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395"/>
      <c r="Q17" s="1568"/>
      <c r="R17" s="1569"/>
      <c r="S17" s="1570"/>
      <c r="T17" s="1569"/>
      <c r="U17" s="1570"/>
      <c r="V17" s="1569"/>
      <c r="W17" s="1570"/>
      <c r="X17" s="1563"/>
      <c r="Y17" s="3395"/>
      <c r="Z17" s="1571"/>
      <c r="AA17" s="1572">
        <v>1</v>
      </c>
      <c r="AB17" s="1572">
        <v>1</v>
      </c>
      <c r="AC17" s="1572">
        <v>1</v>
      </c>
    </row>
    <row r="18" spans="1:29" ht="42.75">
      <c r="A18" s="529"/>
      <c r="B18" s="2588" t="s">
        <v>2560</v>
      </c>
      <c r="C18" s="869" t="str">
        <f>IF(B1="工业",估价对象房地状况!G6,估价对象房地状况!C8)</f>
        <v>估价对象所在区域基础设施水平七通一平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395"/>
      <c r="Q18" s="2576" t="str">
        <f>B18</f>
        <v>基础设施水平</v>
      </c>
      <c r="R18" s="1569" t="s">
        <v>8</v>
      </c>
      <c r="S18" s="1570">
        <f>F18</f>
        <v>100</v>
      </c>
      <c r="T18" s="1569" t="s">
        <v>8</v>
      </c>
      <c r="U18" s="1570">
        <f>H18</f>
        <v>100</v>
      </c>
      <c r="V18" s="1569" t="s">
        <v>8</v>
      </c>
      <c r="W18" s="1570">
        <f>J18</f>
        <v>100</v>
      </c>
      <c r="X18" s="2578"/>
      <c r="Y18" s="3395"/>
      <c r="Z18" s="2577"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9"/>
      <c r="L19" s="2139"/>
      <c r="M19" s="2131"/>
      <c r="N19" s="2131"/>
      <c r="O19" s="2138"/>
      <c r="P19" s="3395"/>
      <c r="Q19" s="2576"/>
      <c r="R19" s="1569"/>
      <c r="S19" s="1570"/>
      <c r="T19" s="1569"/>
      <c r="U19" s="1570"/>
      <c r="V19" s="1569"/>
      <c r="W19" s="1570"/>
      <c r="X19" s="2578"/>
      <c r="Y19" s="3395"/>
      <c r="Z19" s="2577"/>
      <c r="AA19" s="1572">
        <v>1</v>
      </c>
      <c r="AB19" s="1572">
        <v>1</v>
      </c>
      <c r="AC19" s="1572">
        <v>1</v>
      </c>
    </row>
    <row r="20" spans="1:29" ht="85.5">
      <c r="A20" s="529"/>
      <c r="B20" s="868" t="s">
        <v>803</v>
      </c>
      <c r="C20" s="869" t="str">
        <f>IF(B1="工业",估价对象房地状况!G7,估价对象房地状况!C9)</f>
        <v>区域自然环境：温榆河；人文环境：北京国际标准舞学院；综合评价环境状况较好</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395"/>
      <c r="Q20" s="1568" t="str">
        <f>B20</f>
        <v>自然及人文环境</v>
      </c>
      <c r="R20" s="1569" t="s">
        <v>8</v>
      </c>
      <c r="S20" s="1570">
        <f>F20</f>
        <v>100</v>
      </c>
      <c r="T20" s="1569" t="s">
        <v>8</v>
      </c>
      <c r="U20" s="1570">
        <f>H20</f>
        <v>100</v>
      </c>
      <c r="V20" s="1569" t="s">
        <v>8</v>
      </c>
      <c r="W20" s="1570">
        <f>J20</f>
        <v>100</v>
      </c>
      <c r="X20" s="1563"/>
      <c r="Y20" s="3395"/>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395"/>
      <c r="Q21" s="1568"/>
      <c r="R21" s="1569"/>
      <c r="S21" s="1570"/>
      <c r="T21" s="1569"/>
      <c r="U21" s="1570"/>
      <c r="V21" s="1569"/>
      <c r="W21" s="1570"/>
      <c r="X21" s="1563"/>
      <c r="Y21" s="3395"/>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395"/>
      <c r="Q22" s="1568" t="str">
        <f>B22</f>
        <v>楼层</v>
      </c>
      <c r="R22" s="1569" t="s">
        <v>8</v>
      </c>
      <c r="S22" s="1570">
        <f>F22</f>
        <v>100</v>
      </c>
      <c r="T22" s="1569" t="s">
        <v>8</v>
      </c>
      <c r="U22" s="1570">
        <f>H22</f>
        <v>100</v>
      </c>
      <c r="V22" s="1569" t="s">
        <v>8</v>
      </c>
      <c r="W22" s="1570">
        <f>J22</f>
        <v>100</v>
      </c>
      <c r="X22" s="1563"/>
      <c r="Y22" s="3395"/>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395"/>
      <c r="Q23" s="1568">
        <f>B23</f>
        <v>111</v>
      </c>
      <c r="R23" s="1569" t="s">
        <v>8</v>
      </c>
      <c r="S23" s="1570">
        <f>F23</f>
        <v>100</v>
      </c>
      <c r="T23" s="1569" t="s">
        <v>8</v>
      </c>
      <c r="U23" s="1570">
        <f>H23</f>
        <v>100</v>
      </c>
      <c r="V23" s="1569" t="s">
        <v>8</v>
      </c>
      <c r="W23" s="1570">
        <f>J23</f>
        <v>100</v>
      </c>
      <c r="X23" s="1563"/>
      <c r="Y23" s="3395"/>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395"/>
      <c r="Q24" s="1568">
        <f t="shared" ref="Q24:Q34" si="11">B24</f>
        <v>111</v>
      </c>
      <c r="R24" s="1569" t="s">
        <v>8</v>
      </c>
      <c r="S24" s="1570">
        <f>F24</f>
        <v>100</v>
      </c>
      <c r="T24" s="1569" t="s">
        <v>8</v>
      </c>
      <c r="U24" s="1570">
        <f>H24</f>
        <v>100</v>
      </c>
      <c r="V24" s="1569" t="s">
        <v>8</v>
      </c>
      <c r="W24" s="1570">
        <f>J24</f>
        <v>100</v>
      </c>
      <c r="X24" s="1563"/>
      <c r="Y24" s="3395"/>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395"/>
      <c r="Q25" s="1148">
        <f t="shared" si="11"/>
        <v>111</v>
      </c>
      <c r="R25" s="1564" t="s">
        <v>8</v>
      </c>
      <c r="S25" s="1565">
        <f>F25</f>
        <v>100</v>
      </c>
      <c r="T25" s="1564" t="s">
        <v>8</v>
      </c>
      <c r="U25" s="1565">
        <f>H25</f>
        <v>100</v>
      </c>
      <c r="V25" s="1564" t="s">
        <v>8</v>
      </c>
      <c r="W25" s="1565">
        <f>J25</f>
        <v>100</v>
      </c>
      <c r="X25" s="1566"/>
      <c r="Y25" s="3395"/>
      <c r="Z25" s="1147">
        <f>Q25</f>
        <v>111</v>
      </c>
      <c r="AA25" s="1572">
        <f>D25/F25</f>
        <v>1</v>
      </c>
      <c r="AB25" s="1572">
        <f>D25/H25</f>
        <v>1</v>
      </c>
      <c r="AC25" s="1572">
        <f>D25/J25</f>
        <v>1</v>
      </c>
    </row>
    <row r="26" spans="1:29" ht="15">
      <c r="A26" s="2904" t="s">
        <v>2756</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396"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397" t="s">
        <v>820</v>
      </c>
      <c r="Z26" s="1571" t="str">
        <f t="shared" ref="Z26:Z34" si="15">Q26</f>
        <v>公共部分装修</v>
      </c>
      <c r="AA26" s="1572">
        <f t="shared" si="3"/>
        <v>1</v>
      </c>
      <c r="AB26" s="1572">
        <f t="shared" si="4"/>
        <v>1</v>
      </c>
      <c r="AC26" s="1572">
        <f t="shared" si="5"/>
        <v>1</v>
      </c>
    </row>
    <row r="27" spans="1:29" s="1336" customFormat="1" ht="15">
      <c r="A27" s="600"/>
      <c r="B27" s="524" t="s">
        <v>808</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397"/>
      <c r="Q27" s="1601" t="str">
        <f t="shared" si="11"/>
        <v>成新率</v>
      </c>
      <c r="R27" s="1573" t="s">
        <v>8</v>
      </c>
      <c r="S27" s="1574" t="e">
        <f t="shared" si="12"/>
        <v>#N/A</v>
      </c>
      <c r="T27" s="1573" t="s">
        <v>8</v>
      </c>
      <c r="U27" s="1574" t="e">
        <f t="shared" si="13"/>
        <v>#N/A</v>
      </c>
      <c r="V27" s="1573" t="s">
        <v>8</v>
      </c>
      <c r="W27" s="1574" t="e">
        <f t="shared" si="14"/>
        <v>#N/A</v>
      </c>
      <c r="X27" s="1575"/>
      <c r="Y27" s="3397"/>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397"/>
      <c r="Q28" s="1568" t="str">
        <f t="shared" si="11"/>
        <v>物业等级</v>
      </c>
      <c r="R28" s="1569" t="s">
        <v>8</v>
      </c>
      <c r="S28" s="1570">
        <f t="shared" si="12"/>
        <v>100</v>
      </c>
      <c r="T28" s="1569" t="s">
        <v>8</v>
      </c>
      <c r="U28" s="1570">
        <f t="shared" si="13"/>
        <v>100</v>
      </c>
      <c r="V28" s="1569" t="s">
        <v>8</v>
      </c>
      <c r="W28" s="1570">
        <f t="shared" si="14"/>
        <v>100</v>
      </c>
      <c r="X28" s="1563"/>
      <c r="Y28" s="3397"/>
      <c r="Z28" s="1571" t="str">
        <f t="shared" si="15"/>
        <v>物业等级</v>
      </c>
      <c r="AA28" s="1572">
        <f t="shared" si="3"/>
        <v>1</v>
      </c>
      <c r="AB28" s="1572">
        <f t="shared" si="4"/>
        <v>1</v>
      </c>
      <c r="AC28" s="1572">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397"/>
      <c r="Q29" s="1568" t="str">
        <f t="shared" si="11"/>
        <v>有无电梯</v>
      </c>
      <c r="R29" s="1569" t="s">
        <v>8</v>
      </c>
      <c r="S29" s="1570">
        <f t="shared" si="12"/>
        <v>100</v>
      </c>
      <c r="T29" s="1569" t="s">
        <v>8</v>
      </c>
      <c r="U29" s="1570">
        <f t="shared" si="13"/>
        <v>100</v>
      </c>
      <c r="V29" s="1569" t="s">
        <v>8</v>
      </c>
      <c r="W29" s="1570">
        <f t="shared" si="14"/>
        <v>100</v>
      </c>
      <c r="X29" s="1563"/>
      <c r="Y29" s="3397"/>
      <c r="Z29" s="1571" t="str">
        <f t="shared" si="15"/>
        <v>有无电梯</v>
      </c>
      <c r="AA29" s="1572">
        <f t="shared" si="3"/>
        <v>1</v>
      </c>
      <c r="AB29" s="1572">
        <f t="shared" si="4"/>
        <v>1</v>
      </c>
      <c r="AC29" s="1572">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397"/>
      <c r="Q30" s="1568" t="str">
        <f t="shared" si="11"/>
        <v>建筑面积</v>
      </c>
      <c r="R30" s="1569" t="s">
        <v>8</v>
      </c>
      <c r="S30" s="1570" t="e">
        <f t="shared" si="12"/>
        <v>#N/A</v>
      </c>
      <c r="T30" s="1569" t="s">
        <v>8</v>
      </c>
      <c r="U30" s="1570" t="e">
        <f t="shared" si="13"/>
        <v>#N/A</v>
      </c>
      <c r="V30" s="1569" t="s">
        <v>8</v>
      </c>
      <c r="W30" s="1570" t="e">
        <f t="shared" si="14"/>
        <v>#N/A</v>
      </c>
      <c r="X30" s="1563"/>
      <c r="Y30" s="3397"/>
      <c r="Z30" s="1571" t="str">
        <f t="shared" si="15"/>
        <v>建筑面积</v>
      </c>
      <c r="AA30" s="1572" t="e">
        <f t="shared" si="3"/>
        <v>#N/A</v>
      </c>
      <c r="AB30" s="1572" t="e">
        <f t="shared" si="4"/>
        <v>#N/A</v>
      </c>
      <c r="AC30" s="1572" t="e">
        <f t="shared" si="5"/>
        <v>#N/A</v>
      </c>
    </row>
    <row r="31" spans="1:29" s="1217" customFormat="1" ht="15">
      <c r="A31" s="597"/>
      <c r="B31" s="524" t="s">
        <v>823</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397"/>
      <c r="Q31" s="1148" t="str">
        <f t="shared" si="11"/>
        <v>是否封闭</v>
      </c>
      <c r="R31" s="1564" t="s">
        <v>8</v>
      </c>
      <c r="S31" s="1565">
        <f t="shared" si="12"/>
        <v>100</v>
      </c>
      <c r="T31" s="1564" t="s">
        <v>8</v>
      </c>
      <c r="U31" s="1565">
        <f t="shared" si="13"/>
        <v>100</v>
      </c>
      <c r="V31" s="1564" t="s">
        <v>8</v>
      </c>
      <c r="W31" s="1565">
        <f t="shared" si="14"/>
        <v>100</v>
      </c>
      <c r="X31" s="1566"/>
      <c r="Y31" s="3397"/>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397" t="s">
        <v>549</v>
      </c>
      <c r="Q32" s="1568">
        <f t="shared" si="11"/>
        <v>111</v>
      </c>
      <c r="R32" s="1569" t="s">
        <v>8</v>
      </c>
      <c r="S32" s="1570">
        <f t="shared" si="12"/>
        <v>100</v>
      </c>
      <c r="T32" s="1569" t="s">
        <v>8</v>
      </c>
      <c r="U32" s="1570">
        <f t="shared" si="13"/>
        <v>100</v>
      </c>
      <c r="V32" s="1569" t="s">
        <v>8</v>
      </c>
      <c r="W32" s="1570">
        <f t="shared" si="14"/>
        <v>100</v>
      </c>
      <c r="X32" s="1563"/>
      <c r="Y32" s="3397" t="s">
        <v>549</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397"/>
      <c r="Q33" s="1568">
        <f t="shared" si="11"/>
        <v>111</v>
      </c>
      <c r="R33" s="1569" t="s">
        <v>8</v>
      </c>
      <c r="S33" s="1570">
        <f t="shared" si="12"/>
        <v>100</v>
      </c>
      <c r="T33" s="1569" t="s">
        <v>8</v>
      </c>
      <c r="U33" s="1570">
        <f t="shared" si="13"/>
        <v>100</v>
      </c>
      <c r="V33" s="1569" t="s">
        <v>8</v>
      </c>
      <c r="W33" s="1570">
        <f t="shared" si="14"/>
        <v>100</v>
      </c>
      <c r="X33" s="1563"/>
      <c r="Y33" s="3397"/>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397"/>
      <c r="Q34" s="1568">
        <f t="shared" si="11"/>
        <v>111</v>
      </c>
      <c r="R34" s="1569" t="s">
        <v>8</v>
      </c>
      <c r="S34" s="1570">
        <f t="shared" si="12"/>
        <v>100</v>
      </c>
      <c r="T34" s="1569" t="s">
        <v>8</v>
      </c>
      <c r="U34" s="1570">
        <f t="shared" si="13"/>
        <v>100</v>
      </c>
      <c r="V34" s="1569" t="s">
        <v>8</v>
      </c>
      <c r="W34" s="1570">
        <f t="shared" si="14"/>
        <v>100</v>
      </c>
      <c r="X34" s="1563"/>
      <c r="Y34" s="3397"/>
      <c r="Z34" s="1571">
        <f t="shared" si="15"/>
        <v>111</v>
      </c>
      <c r="AA34" s="1572">
        <f t="shared" si="3"/>
        <v>1</v>
      </c>
      <c r="AB34" s="1572">
        <f t="shared" si="4"/>
        <v>1</v>
      </c>
      <c r="AC34" s="1572">
        <f t="shared" si="5"/>
        <v>1</v>
      </c>
    </row>
    <row r="35" spans="1:29" ht="15">
      <c r="A35" s="604" t="s">
        <v>735</v>
      </c>
      <c r="B35" s="884"/>
      <c r="C35" s="2624" t="s">
        <v>1</v>
      </c>
      <c r="D35" s="2625"/>
      <c r="E35" s="2626"/>
      <c r="F35" s="2627"/>
      <c r="G35" s="2628"/>
      <c r="H35" s="2629"/>
      <c r="I35" s="2626"/>
      <c r="J35" s="2629"/>
      <c r="K35" s="1607"/>
      <c r="L35" s="2141"/>
      <c r="M35" s="2142"/>
      <c r="N35" s="2131"/>
      <c r="O35" s="2142"/>
      <c r="P35" s="3392" t="str">
        <f>A35</f>
        <v>成交单价（元/平方米）</v>
      </c>
      <c r="Q35" s="3392"/>
      <c r="R35" s="3495">
        <f>E35</f>
        <v>0</v>
      </c>
      <c r="S35" s="3495"/>
      <c r="T35" s="3495">
        <f>G35</f>
        <v>0</v>
      </c>
      <c r="U35" s="3495"/>
      <c r="V35" s="3495">
        <f>I35</f>
        <v>0</v>
      </c>
      <c r="W35" s="3495"/>
      <c r="X35" s="1555"/>
      <c r="Y35" s="1577"/>
      <c r="Z35" s="1555"/>
      <c r="AA35" s="1555"/>
      <c r="AB35" s="1555"/>
      <c r="AC35" s="1555"/>
    </row>
    <row r="36" spans="1:29" ht="15.75" thickBot="1">
      <c r="A36" s="612" t="s">
        <v>2761</v>
      </c>
      <c r="B36" s="885"/>
      <c r="C36" s="2630" t="e">
        <f>R37</f>
        <v>#DIV/0!</v>
      </c>
      <c r="D36" s="2631"/>
      <c r="E36" s="2632" t="e">
        <f>R36</f>
        <v>#DIV/0!</v>
      </c>
      <c r="F36" s="2632"/>
      <c r="G36" s="2630" t="e">
        <f>T36</f>
        <v>#DIV/0!</v>
      </c>
      <c r="H36" s="2631"/>
      <c r="I36" s="2632" t="e">
        <f>V36</f>
        <v>#DIV/0!</v>
      </c>
      <c r="J36" s="2631"/>
      <c r="K36" s="1608"/>
      <c r="L36" s="2141"/>
      <c r="M36" s="2142"/>
      <c r="N36" s="2131"/>
      <c r="O36" s="2142"/>
      <c r="P36" s="3392" t="str">
        <f>A36</f>
        <v>比较价格（元/平方米）</v>
      </c>
      <c r="Q36" s="3392"/>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5"/>
      <c r="Y36" s="1555"/>
      <c r="Z36" s="1555"/>
      <c r="AA36" s="1555"/>
      <c r="AB36" s="1555"/>
      <c r="AC36" s="1555"/>
    </row>
    <row r="37" spans="1:29" ht="15.75" thickBot="1">
      <c r="A37" s="618" t="s">
        <v>2933</v>
      </c>
      <c r="B37" s="619"/>
      <c r="C37" s="2633" t="e">
        <f>R37</f>
        <v>#DIV/0!</v>
      </c>
      <c r="D37" s="2633"/>
      <c r="E37" s="2633"/>
      <c r="F37" s="2633"/>
      <c r="G37" s="2633"/>
      <c r="H37" s="2633"/>
      <c r="I37" s="2633"/>
      <c r="J37" s="2633"/>
      <c r="K37" s="1609"/>
      <c r="L37" s="2141"/>
      <c r="M37" s="2142"/>
      <c r="N37" s="2142"/>
      <c r="O37" s="2142"/>
      <c r="P37" s="3415" t="str">
        <f>A37</f>
        <v>估价对象XX用房的比较价格（楼面单价，元/平方米）</v>
      </c>
      <c r="Q37" s="3416"/>
      <c r="R37" s="3494" t="e">
        <f>IF(F1="售价",ROUND(AVERAGE(R36:V36),0),ROUND(AVERAGE(R36:V36),1))</f>
        <v>#DIV/0!</v>
      </c>
      <c r="S37" s="3494"/>
      <c r="T37" s="3494"/>
      <c r="U37" s="3494"/>
      <c r="V37" s="3494"/>
      <c r="W37" s="3494"/>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528</v>
      </c>
      <c r="B46" s="643"/>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574</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530</v>
      </c>
      <c r="B49" s="645"/>
      <c r="C49" s="657" t="s">
        <v>575</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576</v>
      </c>
      <c r="B51" s="662" t="s">
        <v>533</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2559</v>
      </c>
      <c r="C63" s="705" t="s">
        <v>578</v>
      </c>
      <c r="D63" s="705" t="s">
        <v>579</v>
      </c>
      <c r="E63" s="705" t="s">
        <v>580</v>
      </c>
      <c r="F63" s="705" t="s">
        <v>581</v>
      </c>
      <c r="G63" s="705" t="s">
        <v>582</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594" t="s">
        <v>2560</v>
      </c>
      <c r="C65" s="2595" t="s">
        <v>2561</v>
      </c>
      <c r="D65" s="2595" t="s">
        <v>2562</v>
      </c>
      <c r="E65" s="2595" t="s">
        <v>2563</v>
      </c>
      <c r="F65" s="2595" t="s">
        <v>2564</v>
      </c>
      <c r="G65" s="2595" t="s">
        <v>2565</v>
      </c>
      <c r="H65" s="671"/>
      <c r="I65" s="671"/>
      <c r="J65" s="671"/>
      <c r="K65" s="671"/>
      <c r="L65" s="671"/>
      <c r="M65" s="2598"/>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743</v>
      </c>
      <c r="C67" s="705" t="s">
        <v>578</v>
      </c>
      <c r="D67" s="705" t="s">
        <v>579</v>
      </c>
      <c r="E67" s="705" t="s">
        <v>580</v>
      </c>
      <c r="F67" s="705" t="s">
        <v>581</v>
      </c>
      <c r="G67" s="705" t="s">
        <v>582</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550</v>
      </c>
      <c r="B77" s="662" t="s">
        <v>750</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816</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824</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826</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2305</v>
      </c>
      <c r="C1" s="3505" t="s">
        <v>2306</v>
      </c>
      <c r="D1" s="3506"/>
      <c r="E1" s="3506"/>
      <c r="F1" s="3506"/>
      <c r="G1" s="3506"/>
      <c r="H1" s="3506"/>
      <c r="I1" s="3506"/>
      <c r="J1" s="3506"/>
      <c r="K1" s="3506"/>
      <c r="L1" s="3506"/>
      <c r="M1" s="3506"/>
      <c r="N1" s="3506"/>
      <c r="O1" s="3506"/>
      <c r="P1" s="3506"/>
      <c r="Q1" s="3506"/>
      <c r="R1" s="3506"/>
      <c r="S1" s="3507"/>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2"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4" t="s">
        <v>2925</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4" t="s">
        <v>2924</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2"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2"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2"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829</v>
      </c>
      <c r="B22" s="53">
        <f>SUM(B24:B10000)</f>
        <v>0</v>
      </c>
      <c r="C22" s="3502" t="s">
        <v>20</v>
      </c>
      <c r="D22" s="3503"/>
      <c r="E22" s="3503"/>
      <c r="F22" s="3503"/>
      <c r="G22" s="3503"/>
      <c r="H22" s="3503"/>
      <c r="I22" s="3503"/>
      <c r="J22" s="3503"/>
      <c r="K22" s="3503"/>
      <c r="L22" s="3503"/>
      <c r="M22" s="3503"/>
      <c r="N22" s="3503"/>
      <c r="O22" s="3503"/>
      <c r="P22" s="3503"/>
      <c r="Q22" s="3504"/>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2789</v>
      </c>
      <c r="C1" s="3000">
        <f>项目基本情况!D3</f>
        <v>43403</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2820</v>
      </c>
      <c r="C2" s="3001">
        <f>'数据-取费表'!B22</f>
        <v>2</v>
      </c>
      <c r="D2" s="2996" t="s">
        <v>2790</v>
      </c>
      <c r="E2" s="2999">
        <f ca="1">INDIRECT("I"&amp;$I$1)/100</f>
        <v>4.7500000000000001E-2</v>
      </c>
      <c r="G2" s="2936"/>
      <c r="H2" s="2936"/>
      <c r="I2" s="2936" t="s">
        <v>2791</v>
      </c>
      <c r="K2" s="2936"/>
      <c r="L2" s="2936"/>
      <c r="M2" s="2936"/>
      <c r="N2" s="2936" t="s">
        <v>2792</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2822</v>
      </c>
      <c r="C3" s="2998">
        <f>'数据-取费表'!B19</f>
        <v>0</v>
      </c>
      <c r="D3" s="2996" t="s">
        <v>2790</v>
      </c>
      <c r="E3" s="2999">
        <f ca="1">INDIRECT("J"&amp;$J$1)/100</f>
        <v>0</v>
      </c>
      <c r="G3" s="2938" t="s">
        <v>2793</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2821</v>
      </c>
      <c r="C4" s="2999">
        <f ca="1">N4/100</f>
        <v>1.4999999999999999E-2</v>
      </c>
      <c r="G4" s="2944" t="s">
        <v>2794</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2795</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2796</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2797</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2798</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2799</v>
      </c>
      <c r="C10" s="2963"/>
      <c r="D10" s="2963"/>
      <c r="E10" s="2963"/>
      <c r="F10" s="2963"/>
      <c r="G10" s="2963"/>
      <c r="H10" s="2963"/>
      <c r="I10" s="2937"/>
      <c r="J10" s="2937"/>
      <c r="K10" s="2963"/>
      <c r="L10" s="2964" t="s">
        <v>2800</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2801</v>
      </c>
      <c r="C11" s="2968" t="s">
        <v>2802</v>
      </c>
      <c r="D11" s="2969" t="s">
        <v>2803</v>
      </c>
      <c r="E11" s="2970"/>
      <c r="F11" s="2969" t="s">
        <v>2804</v>
      </c>
      <c r="G11" s="2971"/>
      <c r="H11" s="2970"/>
      <c r="I11" s="2969" t="s">
        <v>2805</v>
      </c>
      <c r="J11" s="2970"/>
      <c r="K11" s="2966"/>
      <c r="L11" s="2967" t="s">
        <v>2801</v>
      </c>
      <c r="M11" s="2968" t="s">
        <v>2802</v>
      </c>
      <c r="N11" s="2967" t="s">
        <v>2806</v>
      </c>
      <c r="O11" s="2969" t="s">
        <v>2807</v>
      </c>
      <c r="P11" s="2971"/>
      <c r="Q11" s="2971"/>
      <c r="R11" s="2971"/>
      <c r="S11" s="2971"/>
      <c r="T11" s="2970"/>
      <c r="U11" s="2969" t="s">
        <v>2808</v>
      </c>
      <c r="V11" s="2971"/>
      <c r="W11" s="2970"/>
      <c r="X11" s="2967" t="s">
        <v>2809</v>
      </c>
      <c r="Y11" s="2967" t="s">
        <v>2810</v>
      </c>
      <c r="Z11" s="2967" t="s">
        <v>2811</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2812</v>
      </c>
      <c r="E12" s="2976" t="s">
        <v>2813</v>
      </c>
      <c r="F12" s="2976" t="s">
        <v>2814</v>
      </c>
      <c r="G12" s="2976" t="s">
        <v>2815</v>
      </c>
      <c r="H12" s="2976" t="s">
        <v>2797</v>
      </c>
      <c r="I12" s="2977" t="s">
        <v>2816</v>
      </c>
      <c r="J12" s="2977" t="s">
        <v>2816</v>
      </c>
      <c r="K12" s="2973"/>
      <c r="L12" s="2974"/>
      <c r="M12" s="2975"/>
      <c r="N12" s="2974"/>
      <c r="O12" s="2977" t="s">
        <v>2817</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2818</v>
      </c>
      <c r="C13" s="2981">
        <v>42301</v>
      </c>
      <c r="D13" s="2982">
        <v>4.3499999999999996</v>
      </c>
      <c r="E13" s="2982">
        <v>4.3499999999999996</v>
      </c>
      <c r="F13" s="2982">
        <v>4.75</v>
      </c>
      <c r="G13" s="2982">
        <v>4.75</v>
      </c>
      <c r="H13" s="2982">
        <v>4.9000000000000004</v>
      </c>
      <c r="I13" s="2982">
        <v>2.75</v>
      </c>
      <c r="J13" s="2982">
        <v>3.25</v>
      </c>
      <c r="K13" s="2979"/>
      <c r="L13" s="2980" t="s">
        <v>2818</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2819</v>
      </c>
      <c r="Y42" s="2986" t="s">
        <v>2819</v>
      </c>
      <c r="Z42" s="2986" t="s">
        <v>2819</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2819</v>
      </c>
      <c r="Y43" s="2986" t="s">
        <v>2819</v>
      </c>
      <c r="Z43" s="2986" t="s">
        <v>2819</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2819</v>
      </c>
      <c r="Y44" s="2986" t="s">
        <v>2819</v>
      </c>
      <c r="Z44" s="2986" t="s">
        <v>2819</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2819</v>
      </c>
      <c r="Y45" s="2986" t="s">
        <v>2819</v>
      </c>
      <c r="Z45" s="2986" t="s">
        <v>2819</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2819</v>
      </c>
      <c r="Y46" s="2986" t="s">
        <v>2819</v>
      </c>
      <c r="Z46" s="2986" t="s">
        <v>2819</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2819</v>
      </c>
      <c r="Y47" s="2986" t="s">
        <v>2819</v>
      </c>
      <c r="Z47" s="2986" t="s">
        <v>2819</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2819</v>
      </c>
      <c r="Y48" s="2986" t="s">
        <v>2819</v>
      </c>
      <c r="Z48" s="2986" t="s">
        <v>2819</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2819</v>
      </c>
      <c r="Y49" s="2986" t="s">
        <v>2819</v>
      </c>
      <c r="Z49" s="2986" t="s">
        <v>2819</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2819</v>
      </c>
      <c r="Y50" s="2986" t="s">
        <v>2819</v>
      </c>
      <c r="Z50" s="2986" t="s">
        <v>2819</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2819</v>
      </c>
      <c r="V51" s="2986" t="s">
        <v>2819</v>
      </c>
      <c r="W51" s="2986" t="s">
        <v>2819</v>
      </c>
      <c r="X51" s="2986" t="s">
        <v>2819</v>
      </c>
      <c r="Y51" s="2986" t="s">
        <v>2819</v>
      </c>
      <c r="Z51" s="2986" t="s">
        <v>2819</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2819</v>
      </c>
      <c r="J55" s="2986" t="s">
        <v>2819</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J34" sqref="J34"/>
    </sheetView>
  </sheetViews>
  <sheetFormatPr defaultRowHeight="13.5"/>
  <cols>
    <col min="8" max="8" width="13.5" customWidth="1"/>
  </cols>
  <sheetData>
    <row r="1" spans="1:13" s="2935" customFormat="1">
      <c r="A1" s="2935" t="s">
        <v>3125</v>
      </c>
      <c r="B1" s="2935" t="s">
        <v>3126</v>
      </c>
      <c r="C1" s="2935" t="s">
        <v>3127</v>
      </c>
      <c r="D1" s="2935" t="s">
        <v>3128</v>
      </c>
      <c r="E1" s="2935" t="s">
        <v>3129</v>
      </c>
      <c r="F1" s="2935" t="s">
        <v>2034</v>
      </c>
      <c r="G1" s="2935" t="s">
        <v>3130</v>
      </c>
      <c r="H1" s="2935" t="s">
        <v>3131</v>
      </c>
      <c r="I1" s="2935" t="s">
        <v>3132</v>
      </c>
      <c r="J1" s="2935" t="s">
        <v>3133</v>
      </c>
      <c r="K1" s="2935" t="s">
        <v>3134</v>
      </c>
      <c r="L1" s="2935" t="s">
        <v>3135</v>
      </c>
      <c r="M1" s="2935" t="s">
        <v>3136</v>
      </c>
    </row>
    <row r="2" spans="1:13" s="3182" customFormat="1">
      <c r="A2" s="3182" t="s">
        <v>3137</v>
      </c>
      <c r="B2" s="3182" t="s">
        <v>1947</v>
      </c>
      <c r="C2" s="3182" t="s">
        <v>3138</v>
      </c>
      <c r="D2" s="3182">
        <v>36365.370000000003</v>
      </c>
      <c r="E2" s="3182">
        <v>65458</v>
      </c>
      <c r="F2" s="3182">
        <v>1.8</v>
      </c>
      <c r="G2" s="3182" t="s">
        <v>3139</v>
      </c>
      <c r="H2" s="3182" t="s">
        <v>3140</v>
      </c>
      <c r="I2" s="3182">
        <v>180000</v>
      </c>
      <c r="J2" s="3182">
        <v>260000</v>
      </c>
      <c r="K2" s="3182">
        <v>39720.120000000003</v>
      </c>
      <c r="L2" s="3182">
        <v>44.44</v>
      </c>
      <c r="M2" s="3182" t="s">
        <v>3141</v>
      </c>
    </row>
    <row r="3" spans="1:13" s="2935" customFormat="1">
      <c r="A3" s="2935" t="s">
        <v>3142</v>
      </c>
      <c r="B3" s="2935" t="s">
        <v>1947</v>
      </c>
      <c r="C3" s="2935" t="s">
        <v>3143</v>
      </c>
      <c r="D3" s="2935">
        <v>151738.6</v>
      </c>
      <c r="E3" s="2935">
        <v>152374</v>
      </c>
      <c r="F3" s="2935">
        <v>1.004</v>
      </c>
      <c r="G3" s="2935" t="s">
        <v>3139</v>
      </c>
      <c r="H3" s="2935" t="s">
        <v>3144</v>
      </c>
      <c r="I3" s="2935">
        <v>460000</v>
      </c>
      <c r="J3" s="2935">
        <v>685400</v>
      </c>
      <c r="K3" s="2935">
        <v>44981.43</v>
      </c>
      <c r="L3" s="2935">
        <v>49</v>
      </c>
      <c r="M3" s="2935" t="s">
        <v>3145</v>
      </c>
    </row>
    <row r="4" spans="1:13" s="2935" customFormat="1">
      <c r="A4" s="2935" t="s">
        <v>3146</v>
      </c>
      <c r="B4" s="2935" t="s">
        <v>1947</v>
      </c>
      <c r="C4" s="2935" t="s">
        <v>3143</v>
      </c>
      <c r="D4" s="2935">
        <v>132352.79999999999</v>
      </c>
      <c r="E4" s="2935">
        <v>201775</v>
      </c>
      <c r="F4" s="2935">
        <v>1.52</v>
      </c>
      <c r="G4" s="2935" t="s">
        <v>3139</v>
      </c>
      <c r="H4" s="2935" t="s">
        <v>3147</v>
      </c>
      <c r="I4" s="2935">
        <v>365000</v>
      </c>
      <c r="J4" s="2935">
        <v>380000</v>
      </c>
      <c r="K4" s="2935">
        <v>18832.86</v>
      </c>
      <c r="L4" s="2935">
        <v>4.1100000000000003</v>
      </c>
      <c r="M4" s="2935" t="s">
        <v>3148</v>
      </c>
    </row>
    <row r="5" spans="1:13" s="3182" customFormat="1">
      <c r="A5" s="3182" t="s">
        <v>3149</v>
      </c>
      <c r="B5" s="3182" t="s">
        <v>1947</v>
      </c>
      <c r="C5" s="3182" t="s">
        <v>3143</v>
      </c>
      <c r="D5" s="3182">
        <v>65602.95</v>
      </c>
      <c r="E5" s="3182">
        <v>120165</v>
      </c>
      <c r="F5" s="3182">
        <v>1.83</v>
      </c>
      <c r="G5" s="3182" t="s">
        <v>3139</v>
      </c>
      <c r="H5" s="3182" t="s">
        <v>3150</v>
      </c>
      <c r="I5" s="3182">
        <v>330000</v>
      </c>
      <c r="J5" s="3182">
        <v>495000</v>
      </c>
      <c r="K5" s="3182">
        <v>41193.360000000001</v>
      </c>
      <c r="L5" s="3182">
        <v>50</v>
      </c>
      <c r="M5" s="3182" t="s">
        <v>3151</v>
      </c>
    </row>
    <row r="6" spans="1:13" s="2935" customFormat="1">
      <c r="A6" s="2935" t="s">
        <v>3152</v>
      </c>
      <c r="B6" s="2935" t="s">
        <v>1947</v>
      </c>
      <c r="C6" s="2935" t="s">
        <v>3143</v>
      </c>
      <c r="D6" s="2935">
        <v>151051.70000000001</v>
      </c>
      <c r="E6" s="2935">
        <v>274253</v>
      </c>
      <c r="F6" s="2935" t="s">
        <v>3153</v>
      </c>
      <c r="G6" s="2935" t="s">
        <v>3139</v>
      </c>
      <c r="H6" s="2935" t="s">
        <v>3154</v>
      </c>
      <c r="I6" s="2935">
        <v>385000</v>
      </c>
      <c r="J6" s="2935">
        <v>502000</v>
      </c>
      <c r="K6" s="2935">
        <v>18304.27</v>
      </c>
      <c r="L6" s="2935">
        <v>30.39</v>
      </c>
      <c r="M6" s="2935" t="s">
        <v>3145</v>
      </c>
    </row>
    <row r="7" spans="1:13" s="3182" customFormat="1">
      <c r="A7" s="3182" t="s">
        <v>3155</v>
      </c>
      <c r="B7" s="3182" t="s">
        <v>1947</v>
      </c>
      <c r="C7" s="3182" t="s">
        <v>3138</v>
      </c>
      <c r="D7" s="3182">
        <v>155132.79999999999</v>
      </c>
      <c r="E7" s="3182">
        <v>156684</v>
      </c>
      <c r="F7" s="3182">
        <v>1.009999305</v>
      </c>
      <c r="G7" s="3182" t="s">
        <v>3139</v>
      </c>
      <c r="H7" s="3182" t="s">
        <v>3156</v>
      </c>
      <c r="I7" s="3182">
        <v>470000</v>
      </c>
      <c r="J7" s="3182">
        <v>705000</v>
      </c>
      <c r="K7" s="3182">
        <v>44995.01</v>
      </c>
      <c r="L7" s="3182">
        <v>50</v>
      </c>
      <c r="M7" s="3182" t="s">
        <v>3157</v>
      </c>
    </row>
    <row r="8" spans="1:13" s="2935" customFormat="1">
      <c r="A8" s="2935" t="s">
        <v>3158</v>
      </c>
      <c r="B8" s="2935" t="s">
        <v>1947</v>
      </c>
      <c r="C8" s="2935" t="s">
        <v>3138</v>
      </c>
      <c r="D8" s="2935">
        <v>41170.230000000003</v>
      </c>
      <c r="E8" s="2935">
        <v>60109</v>
      </c>
      <c r="F8" s="2935">
        <v>1.46</v>
      </c>
      <c r="G8" s="2935" t="s">
        <v>3139</v>
      </c>
      <c r="H8" s="2935" t="s">
        <v>3159</v>
      </c>
      <c r="I8" s="2935">
        <v>88000</v>
      </c>
      <c r="J8" s="2935">
        <v>121000</v>
      </c>
      <c r="K8" s="2935">
        <v>20130.09</v>
      </c>
      <c r="L8" s="2935">
        <v>37.5</v>
      </c>
      <c r="M8" s="2935" t="s">
        <v>3160</v>
      </c>
    </row>
    <row r="9" spans="1:13" s="2935" customFormat="1">
      <c r="A9" s="2935" t="s">
        <v>3161</v>
      </c>
      <c r="B9" s="2935" t="s">
        <v>1947</v>
      </c>
      <c r="C9" s="2935" t="s">
        <v>3138</v>
      </c>
      <c r="D9" s="2935">
        <v>45104.74</v>
      </c>
      <c r="E9" s="2935">
        <v>112093</v>
      </c>
      <c r="F9" s="2935">
        <v>2.5</v>
      </c>
      <c r="G9" s="2935" t="s">
        <v>3139</v>
      </c>
      <c r="H9" s="2935" t="s">
        <v>3159</v>
      </c>
      <c r="I9" s="2935">
        <v>130000</v>
      </c>
      <c r="J9" s="2935">
        <v>193000</v>
      </c>
      <c r="K9" s="2935">
        <v>17217.84</v>
      </c>
      <c r="L9" s="2935">
        <v>48.46</v>
      </c>
      <c r="M9" s="2935" t="s">
        <v>3162</v>
      </c>
    </row>
    <row r="10" spans="1:13" s="2935" customFormat="1">
      <c r="A10" s="2935" t="s">
        <v>3163</v>
      </c>
      <c r="B10" s="2935" t="s">
        <v>1947</v>
      </c>
      <c r="C10" s="2935" t="s">
        <v>3143</v>
      </c>
      <c r="D10" s="2935">
        <v>17756.68</v>
      </c>
      <c r="E10" s="2935">
        <v>39065</v>
      </c>
      <c r="F10" s="2935">
        <v>2.2000000000000002</v>
      </c>
      <c r="G10" s="2935" t="s">
        <v>3139</v>
      </c>
      <c r="H10" s="2935" t="s">
        <v>3164</v>
      </c>
      <c r="I10" s="2935">
        <v>50000</v>
      </c>
      <c r="J10" s="2935">
        <v>75000</v>
      </c>
      <c r="K10" s="2935">
        <v>19198.77</v>
      </c>
      <c r="L10" s="2935">
        <v>50</v>
      </c>
      <c r="M10" s="2935" t="s">
        <v>3165</v>
      </c>
    </row>
    <row r="11" spans="1:13" s="2935" customFormat="1">
      <c r="A11" s="2935" t="s">
        <v>3166</v>
      </c>
      <c r="B11" s="2935" t="s">
        <v>1947</v>
      </c>
      <c r="C11" s="2935" t="s">
        <v>3143</v>
      </c>
      <c r="D11" s="2935">
        <v>74844.53</v>
      </c>
      <c r="E11" s="2935">
        <v>134689</v>
      </c>
      <c r="F11" s="2935">
        <v>1.8</v>
      </c>
      <c r="G11" s="2935" t="s">
        <v>3139</v>
      </c>
      <c r="H11" s="2935" t="s">
        <v>3167</v>
      </c>
      <c r="I11" s="2935">
        <v>87100</v>
      </c>
      <c r="J11" s="2935">
        <v>126000</v>
      </c>
      <c r="K11" s="2935">
        <v>9354.8700000000008</v>
      </c>
      <c r="L11" s="2935">
        <v>44.66</v>
      </c>
      <c r="M11" s="2935" t="s">
        <v>3168</v>
      </c>
    </row>
    <row r="12" spans="1:13" s="2935" customFormat="1">
      <c r="A12" s="2935" t="s">
        <v>3169</v>
      </c>
      <c r="B12" s="2935" t="s">
        <v>1947</v>
      </c>
      <c r="C12" s="2935" t="s">
        <v>3138</v>
      </c>
      <c r="D12" s="2935">
        <v>118126.9</v>
      </c>
      <c r="E12" s="2935">
        <v>208824</v>
      </c>
      <c r="F12" s="2935">
        <v>1.77</v>
      </c>
      <c r="G12" s="2935" t="s">
        <v>3139</v>
      </c>
      <c r="H12" s="2935" t="s">
        <v>3170</v>
      </c>
      <c r="I12" s="2935">
        <v>176500</v>
      </c>
      <c r="J12" s="2935">
        <v>264750</v>
      </c>
      <c r="K12" s="2935">
        <v>12678.13</v>
      </c>
      <c r="L12" s="2935">
        <v>50</v>
      </c>
      <c r="M12" s="2935" t="s">
        <v>3171</v>
      </c>
    </row>
    <row r="13" spans="1:13" s="2935" customFormat="1">
      <c r="A13" s="2935" t="s">
        <v>3172</v>
      </c>
      <c r="B13" s="2935" t="s">
        <v>1947</v>
      </c>
      <c r="C13" s="2935" t="s">
        <v>3143</v>
      </c>
      <c r="D13" s="2935">
        <v>139657.29999999999</v>
      </c>
      <c r="E13" s="2935">
        <v>204355</v>
      </c>
      <c r="F13" s="2935">
        <v>1.46</v>
      </c>
      <c r="G13" s="2935" t="s">
        <v>3139</v>
      </c>
      <c r="H13" s="2935" t="s">
        <v>3170</v>
      </c>
      <c r="I13" s="2935">
        <v>156100</v>
      </c>
      <c r="J13" s="2935">
        <v>234150</v>
      </c>
      <c r="K13" s="2935">
        <v>11458</v>
      </c>
      <c r="L13" s="2935">
        <v>50</v>
      </c>
      <c r="M13" s="2935" t="s">
        <v>3171</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24"/>
  <sheetViews>
    <sheetView topLeftCell="A13" workbookViewId="0">
      <selection activeCell="D4" sqref="D4:M24"/>
    </sheetView>
  </sheetViews>
  <sheetFormatPr defaultRowHeight="13.5"/>
  <cols>
    <col min="6" max="6" width="11.625" bestFit="1" customWidth="1"/>
    <col min="7" max="7" width="6" customWidth="1"/>
    <col min="8" max="8" width="13.75" customWidth="1"/>
    <col min="10" max="10" width="14.75" customWidth="1"/>
  </cols>
  <sheetData>
    <row r="4" spans="4:13">
      <c r="D4" s="3508" t="s">
        <v>3288</v>
      </c>
      <c r="E4" s="3508"/>
      <c r="F4" s="3508" t="s">
        <v>3289</v>
      </c>
      <c r="G4" s="3508"/>
      <c r="H4" s="3508" t="s">
        <v>3290</v>
      </c>
      <c r="I4" s="3508"/>
      <c r="J4" s="3508" t="s">
        <v>3291</v>
      </c>
      <c r="K4" s="3508"/>
      <c r="L4" s="3508" t="s">
        <v>3292</v>
      </c>
      <c r="M4" s="3508"/>
    </row>
    <row r="5" spans="4:13" ht="90.75" customHeight="1">
      <c r="D5" s="3508"/>
      <c r="E5" s="3508"/>
      <c r="F5" s="3193" t="s">
        <v>3280</v>
      </c>
      <c r="G5" s="3509" t="s">
        <v>3307</v>
      </c>
      <c r="H5" s="3193" t="s">
        <v>3155</v>
      </c>
      <c r="I5" s="3509" t="s">
        <v>3307</v>
      </c>
      <c r="J5" s="3193" t="s">
        <v>3149</v>
      </c>
      <c r="K5" s="3509" t="s">
        <v>3307</v>
      </c>
      <c r="L5" s="3193" t="s">
        <v>3137</v>
      </c>
      <c r="M5" s="3509" t="s">
        <v>3307</v>
      </c>
    </row>
    <row r="6" spans="4:13" ht="40.5">
      <c r="D6" s="3508"/>
      <c r="E6" s="3508"/>
      <c r="F6" s="3193" t="s">
        <v>3286</v>
      </c>
      <c r="G6" s="3508"/>
      <c r="H6" s="3193" t="s">
        <v>3281</v>
      </c>
      <c r="I6" s="3508"/>
      <c r="J6" s="3193" t="s">
        <v>3283</v>
      </c>
      <c r="K6" s="3508"/>
      <c r="L6" s="3193" t="s">
        <v>3283</v>
      </c>
      <c r="M6" s="3508"/>
    </row>
    <row r="7" spans="4:13" ht="27">
      <c r="D7" s="3508" t="s">
        <v>3293</v>
      </c>
      <c r="E7" s="3508"/>
      <c r="F7" s="3194">
        <v>43403</v>
      </c>
      <c r="G7" s="3193">
        <v>100</v>
      </c>
      <c r="H7" s="3193" t="s">
        <v>3156</v>
      </c>
      <c r="I7" s="3193">
        <v>97</v>
      </c>
      <c r="J7" s="3193" t="s">
        <v>3150</v>
      </c>
      <c r="K7" s="3193">
        <v>98</v>
      </c>
      <c r="L7" s="3193" t="s">
        <v>3140</v>
      </c>
      <c r="M7" s="3193">
        <v>99.5</v>
      </c>
    </row>
    <row r="8" spans="4:13">
      <c r="D8" s="3508" t="s">
        <v>3294</v>
      </c>
      <c r="E8" s="3508"/>
      <c r="F8" s="3193" t="s">
        <v>3180</v>
      </c>
      <c r="G8" s="3193">
        <v>100</v>
      </c>
      <c r="H8" s="3193" t="s">
        <v>3180</v>
      </c>
      <c r="I8" s="3193">
        <v>100</v>
      </c>
      <c r="J8" s="3193" t="s">
        <v>3180</v>
      </c>
      <c r="K8" s="3193">
        <v>100</v>
      </c>
      <c r="L8" s="3193" t="s">
        <v>3180</v>
      </c>
      <c r="M8" s="3193">
        <v>100</v>
      </c>
    </row>
    <row r="9" spans="4:13">
      <c r="D9" s="3508" t="s">
        <v>3295</v>
      </c>
      <c r="E9" s="3508"/>
      <c r="F9" s="3193" t="s">
        <v>922</v>
      </c>
      <c r="G9" s="3193">
        <v>100</v>
      </c>
      <c r="H9" s="3193" t="s">
        <v>922</v>
      </c>
      <c r="I9" s="3193">
        <v>100</v>
      </c>
      <c r="J9" s="3193" t="s">
        <v>922</v>
      </c>
      <c r="K9" s="3193">
        <v>100</v>
      </c>
      <c r="L9" s="3193" t="s">
        <v>922</v>
      </c>
      <c r="M9" s="3193">
        <v>100</v>
      </c>
    </row>
    <row r="10" spans="4:13" ht="27">
      <c r="D10" s="3508" t="s">
        <v>3296</v>
      </c>
      <c r="E10" s="3508"/>
      <c r="F10" s="3193">
        <v>69.75</v>
      </c>
      <c r="G10" s="3193">
        <v>100</v>
      </c>
      <c r="H10" s="3193" t="s">
        <v>3297</v>
      </c>
      <c r="I10" s="3193">
        <v>100</v>
      </c>
      <c r="J10" s="3193" t="s">
        <v>3297</v>
      </c>
      <c r="K10" s="3193">
        <v>100</v>
      </c>
      <c r="L10" s="3193" t="s">
        <v>3297</v>
      </c>
      <c r="M10" s="3193">
        <v>100</v>
      </c>
    </row>
    <row r="11" spans="4:13">
      <c r="D11" s="3508" t="s">
        <v>2034</v>
      </c>
      <c r="E11" s="3508"/>
      <c r="F11" s="3193">
        <v>1.01</v>
      </c>
      <c r="G11" s="3193">
        <v>100</v>
      </c>
      <c r="H11" s="3193">
        <v>1.01</v>
      </c>
      <c r="I11" s="3193">
        <v>100</v>
      </c>
      <c r="J11" s="3193">
        <v>1.83</v>
      </c>
      <c r="K11" s="3193">
        <v>99</v>
      </c>
      <c r="L11" s="3193">
        <v>1.8</v>
      </c>
      <c r="M11" s="3193">
        <v>99</v>
      </c>
    </row>
    <row r="12" spans="4:13" ht="27">
      <c r="D12" s="3508" t="s">
        <v>3298</v>
      </c>
      <c r="E12" s="3193" t="s">
        <v>1653</v>
      </c>
      <c r="F12" s="3193" t="s">
        <v>3176</v>
      </c>
      <c r="G12" s="3193">
        <v>100</v>
      </c>
      <c r="H12" s="3193" t="s">
        <v>3174</v>
      </c>
      <c r="I12" s="3193">
        <v>98</v>
      </c>
      <c r="J12" s="3193" t="s">
        <v>3174</v>
      </c>
      <c r="K12" s="3193">
        <v>98</v>
      </c>
      <c r="L12" s="3193" t="s">
        <v>3174</v>
      </c>
      <c r="M12" s="3193">
        <v>98</v>
      </c>
    </row>
    <row r="13" spans="4:13" ht="27">
      <c r="D13" s="3508"/>
      <c r="E13" s="3193" t="s">
        <v>1655</v>
      </c>
      <c r="F13" s="3193" t="s">
        <v>3176</v>
      </c>
      <c r="G13" s="3193">
        <v>100</v>
      </c>
      <c r="H13" s="3193" t="s">
        <v>3176</v>
      </c>
      <c r="I13" s="3193">
        <v>100</v>
      </c>
      <c r="J13" s="3193" t="s">
        <v>3174</v>
      </c>
      <c r="K13" s="3193">
        <v>98</v>
      </c>
      <c r="L13" s="3193" t="s">
        <v>3174</v>
      </c>
      <c r="M13" s="3193">
        <v>98</v>
      </c>
    </row>
    <row r="14" spans="4:13" ht="27">
      <c r="D14" s="3508"/>
      <c r="E14" s="3193" t="s">
        <v>1659</v>
      </c>
      <c r="F14" s="3193" t="s">
        <v>3176</v>
      </c>
      <c r="G14" s="3193">
        <v>100</v>
      </c>
      <c r="H14" s="3193" t="s">
        <v>3176</v>
      </c>
      <c r="I14" s="3193">
        <v>100</v>
      </c>
      <c r="J14" s="3193" t="s">
        <v>3176</v>
      </c>
      <c r="K14" s="3193">
        <v>100</v>
      </c>
      <c r="L14" s="3193" t="s">
        <v>3176</v>
      </c>
      <c r="M14" s="3193">
        <v>100</v>
      </c>
    </row>
    <row r="15" spans="4:13" ht="40.5">
      <c r="D15" s="3508"/>
      <c r="E15" s="3193" t="s">
        <v>1660</v>
      </c>
      <c r="F15" s="3193" t="s">
        <v>3176</v>
      </c>
      <c r="G15" s="3193">
        <v>100</v>
      </c>
      <c r="H15" s="3193" t="s">
        <v>3176</v>
      </c>
      <c r="I15" s="3193">
        <v>100</v>
      </c>
      <c r="J15" s="3193" t="s">
        <v>3176</v>
      </c>
      <c r="K15" s="3193">
        <v>100</v>
      </c>
      <c r="L15" s="3193" t="s">
        <v>3176</v>
      </c>
      <c r="M15" s="3193">
        <v>100</v>
      </c>
    </row>
    <row r="16" spans="4:13" ht="27">
      <c r="D16" s="3508"/>
      <c r="E16" s="3193" t="s">
        <v>3299</v>
      </c>
      <c r="F16" s="3193" t="s">
        <v>3211</v>
      </c>
      <c r="G16" s="3193">
        <v>100</v>
      </c>
      <c r="H16" s="3193" t="s">
        <v>3174</v>
      </c>
      <c r="I16" s="3193">
        <v>101.5</v>
      </c>
      <c r="J16" s="3193" t="s">
        <v>3174</v>
      </c>
      <c r="K16" s="3193">
        <v>101.5</v>
      </c>
      <c r="L16" s="3193" t="s">
        <v>3174</v>
      </c>
      <c r="M16" s="3193">
        <v>101.5</v>
      </c>
    </row>
    <row r="17" spans="4:13" ht="27">
      <c r="D17" s="3508"/>
      <c r="E17" s="3193" t="s">
        <v>3212</v>
      </c>
      <c r="F17" s="3193" t="s">
        <v>3179</v>
      </c>
      <c r="G17" s="3193">
        <v>100</v>
      </c>
      <c r="H17" s="3193" t="s">
        <v>3179</v>
      </c>
      <c r="I17" s="3193">
        <v>100</v>
      </c>
      <c r="J17" s="3193" t="s">
        <v>3179</v>
      </c>
      <c r="K17" s="3193">
        <v>100</v>
      </c>
      <c r="L17" s="3195" t="s">
        <v>3306</v>
      </c>
      <c r="M17" s="3193">
        <v>100</v>
      </c>
    </row>
    <row r="18" spans="4:13">
      <c r="D18" s="3508"/>
      <c r="E18" s="3193" t="s">
        <v>1661</v>
      </c>
      <c r="F18" s="3193" t="s">
        <v>3207</v>
      </c>
      <c r="G18" s="3193">
        <v>100</v>
      </c>
      <c r="H18" s="3193" t="s">
        <v>3207</v>
      </c>
      <c r="I18" s="3193">
        <v>100</v>
      </c>
      <c r="J18" s="3193" t="s">
        <v>3207</v>
      </c>
      <c r="K18" s="3193">
        <v>100</v>
      </c>
      <c r="L18" s="3193" t="s">
        <v>3207</v>
      </c>
      <c r="M18" s="3193">
        <v>100</v>
      </c>
    </row>
    <row r="19" spans="4:13" ht="40.5">
      <c r="D19" s="3508"/>
      <c r="E19" s="3193" t="s">
        <v>1662</v>
      </c>
      <c r="F19" s="3193" t="s">
        <v>3230</v>
      </c>
      <c r="G19" s="3193">
        <v>100</v>
      </c>
      <c r="H19" s="3193" t="s">
        <v>3230</v>
      </c>
      <c r="I19" s="3193">
        <v>100</v>
      </c>
      <c r="J19" s="3193" t="s">
        <v>3230</v>
      </c>
      <c r="K19" s="3193">
        <v>100</v>
      </c>
      <c r="L19" s="3193" t="s">
        <v>3230</v>
      </c>
      <c r="M19" s="3193">
        <v>100</v>
      </c>
    </row>
    <row r="20" spans="4:13">
      <c r="D20" s="3508" t="s">
        <v>3300</v>
      </c>
      <c r="E20" s="3193" t="s">
        <v>3301</v>
      </c>
      <c r="F20" s="3193">
        <v>147514.70000000001</v>
      </c>
      <c r="G20" s="3193">
        <v>100</v>
      </c>
      <c r="H20" s="3193">
        <v>155132.79999999999</v>
      </c>
      <c r="I20" s="3193">
        <v>99</v>
      </c>
      <c r="J20" s="3193">
        <v>65602.95</v>
      </c>
      <c r="K20" s="3193">
        <v>99</v>
      </c>
      <c r="L20" s="3193">
        <v>36365.370000000003</v>
      </c>
      <c r="M20" s="3193">
        <v>98</v>
      </c>
    </row>
    <row r="21" spans="4:13">
      <c r="D21" s="3508"/>
      <c r="E21" s="3193" t="s">
        <v>3302</v>
      </c>
      <c r="F21" s="3193" t="s">
        <v>3235</v>
      </c>
      <c r="G21" s="3193">
        <v>100</v>
      </c>
      <c r="H21" s="3193" t="s">
        <v>3233</v>
      </c>
      <c r="I21" s="3193">
        <v>102</v>
      </c>
      <c r="J21" s="3193" t="s">
        <v>3233</v>
      </c>
      <c r="K21" s="3193">
        <v>102</v>
      </c>
      <c r="L21" s="3193" t="s">
        <v>3233</v>
      </c>
      <c r="M21" s="3193">
        <v>102</v>
      </c>
    </row>
    <row r="22" spans="4:13" ht="27">
      <c r="D22" s="3508"/>
      <c r="E22" s="3193" t="s">
        <v>3303</v>
      </c>
      <c r="F22" s="3193" t="s">
        <v>3239</v>
      </c>
      <c r="G22" s="3193">
        <v>100</v>
      </c>
      <c r="H22" s="3193" t="s">
        <v>3239</v>
      </c>
      <c r="I22" s="3193">
        <v>100</v>
      </c>
      <c r="J22" s="3193" t="s">
        <v>3239</v>
      </c>
      <c r="K22" s="3193">
        <v>100</v>
      </c>
      <c r="L22" s="3193" t="s">
        <v>3239</v>
      </c>
      <c r="M22" s="3193">
        <v>100</v>
      </c>
    </row>
    <row r="23" spans="4:13" ht="27">
      <c r="D23" s="3508"/>
      <c r="E23" s="3193" t="s">
        <v>3304</v>
      </c>
      <c r="F23" s="3193" t="s">
        <v>3213</v>
      </c>
      <c r="G23" s="3193">
        <v>100</v>
      </c>
      <c r="H23" s="3193" t="s">
        <v>3248</v>
      </c>
      <c r="I23" s="3193">
        <v>95.5</v>
      </c>
      <c r="J23" s="3193" t="s">
        <v>3248</v>
      </c>
      <c r="K23" s="3193">
        <v>95.5</v>
      </c>
      <c r="L23" s="3193" t="s">
        <v>3248</v>
      </c>
      <c r="M23" s="3193">
        <v>95.5</v>
      </c>
    </row>
    <row r="24" spans="4:13" ht="27">
      <c r="D24" s="3508"/>
      <c r="E24" s="3193" t="s">
        <v>3305</v>
      </c>
      <c r="F24" s="3193" t="s">
        <v>3176</v>
      </c>
      <c r="G24" s="3193">
        <v>100</v>
      </c>
      <c r="H24" s="3193" t="s">
        <v>3176</v>
      </c>
      <c r="I24" s="3193">
        <v>100</v>
      </c>
      <c r="J24" s="3193" t="s">
        <v>3176</v>
      </c>
      <c r="K24" s="3193">
        <v>100</v>
      </c>
      <c r="L24" s="3193" t="s">
        <v>3176</v>
      </c>
      <c r="M24" s="3193">
        <v>100</v>
      </c>
    </row>
  </sheetData>
  <mergeCells count="16">
    <mergeCell ref="K5:K6"/>
    <mergeCell ref="M5:M6"/>
    <mergeCell ref="F4:G4"/>
    <mergeCell ref="H4:I4"/>
    <mergeCell ref="J4:K4"/>
    <mergeCell ref="L4:M4"/>
    <mergeCell ref="D20:D24"/>
    <mergeCell ref="D7:E7"/>
    <mergeCell ref="D8:E8"/>
    <mergeCell ref="G5:G6"/>
    <mergeCell ref="I5:I6"/>
    <mergeCell ref="D9:E9"/>
    <mergeCell ref="D10:E10"/>
    <mergeCell ref="D11:E11"/>
    <mergeCell ref="D4:E6"/>
    <mergeCell ref="D12:D19"/>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2040</v>
      </c>
      <c r="B1" s="3215"/>
      <c r="C1" s="3215"/>
      <c r="D1" s="3215"/>
      <c r="E1" s="3215"/>
      <c r="F1" s="3215"/>
      <c r="G1" s="3215"/>
      <c r="H1" s="3215"/>
      <c r="I1" s="3215"/>
      <c r="J1" s="3215"/>
      <c r="K1" s="3215"/>
      <c r="L1" s="3215"/>
      <c r="M1" s="3215"/>
      <c r="N1" s="3215"/>
      <c r="O1" s="3215"/>
      <c r="P1" s="3215"/>
      <c r="Q1" s="3215"/>
      <c r="R1" s="3215"/>
    </row>
    <row r="2" spans="1:18">
      <c r="A2" s="1804" t="s">
        <v>2042</v>
      </c>
      <c r="B2" s="1804"/>
      <c r="C2" s="1804"/>
      <c r="D2" s="1804"/>
      <c r="E2" s="1804"/>
      <c r="F2" s="1804"/>
      <c r="G2" s="1804"/>
      <c r="H2" s="1804"/>
      <c r="I2" s="1805"/>
      <c r="J2" s="1805"/>
      <c r="K2" s="1806" t="str">
        <f>"估价期日："&amp;TEXT(项目基本情况!D3,"yyyy年m月d日;;")</f>
        <v>估价期日：2018年10月30日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6" t="s">
        <v>2031</v>
      </c>
      <c r="B3" s="3216" t="s">
        <v>2732</v>
      </c>
      <c r="C3" s="3217" t="s">
        <v>2032</v>
      </c>
      <c r="D3" s="3216" t="s">
        <v>2736</v>
      </c>
      <c r="E3" s="3219" t="s">
        <v>2033</v>
      </c>
      <c r="F3" s="3219"/>
      <c r="G3" s="3219"/>
      <c r="H3" s="3219" t="s">
        <v>2034</v>
      </c>
      <c r="I3" s="3219"/>
      <c r="J3" s="3219"/>
      <c r="K3" s="3217" t="s">
        <v>2035</v>
      </c>
      <c r="L3" s="3217" t="s">
        <v>2036</v>
      </c>
      <c r="M3" s="3216" t="s">
        <v>2733</v>
      </c>
      <c r="N3" s="3218" t="str">
        <f>"（分摊）"&amp;项目基本情况!B16&amp;"国有建设用地使用权面积/㎡"</f>
        <v>（分摊）出让国有建设用地使用权面积/㎡</v>
      </c>
      <c r="O3" s="3216" t="s">
        <v>2065</v>
      </c>
      <c r="P3" s="3217" t="s">
        <v>2045</v>
      </c>
      <c r="Q3" s="3217" t="s">
        <v>2066</v>
      </c>
      <c r="R3" s="3217" t="s">
        <v>2037</v>
      </c>
    </row>
    <row r="4" spans="1:18" ht="36.75" customHeight="1">
      <c r="A4" s="3216"/>
      <c r="B4" s="3216"/>
      <c r="C4" s="3217"/>
      <c r="D4" s="3216"/>
      <c r="E4" s="2646" t="s">
        <v>2044</v>
      </c>
      <c r="F4" s="2646" t="s">
        <v>2745</v>
      </c>
      <c r="G4" s="2646" t="s">
        <v>2038</v>
      </c>
      <c r="H4" s="2646" t="s">
        <v>2039</v>
      </c>
      <c r="I4" s="2646" t="s">
        <v>2746</v>
      </c>
      <c r="J4" s="2646" t="s">
        <v>2038</v>
      </c>
      <c r="K4" s="3217"/>
      <c r="L4" s="3217"/>
      <c r="M4" s="3216"/>
      <c r="N4" s="3218"/>
      <c r="O4" s="3216"/>
      <c r="P4" s="3217"/>
      <c r="Q4" s="3217"/>
      <c r="R4" s="3217"/>
    </row>
    <row r="5" spans="1:18" ht="135" customHeight="1">
      <c r="A5" s="1940" t="s">
        <v>2656</v>
      </c>
      <c r="B5" s="2864" t="s">
        <v>2654</v>
      </c>
      <c r="C5" s="2645">
        <v>22</v>
      </c>
      <c r="D5" s="2644" t="s">
        <v>2655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147515.15</v>
      </c>
      <c r="O5" s="1807">
        <f>项目基本情况!C21</f>
        <v>317024.16000000015</v>
      </c>
      <c r="P5" s="1807">
        <f ca="1">结果表!E42</f>
        <v>47310</v>
      </c>
      <c r="Q5" s="1807">
        <f ca="1">结果表!D42</f>
        <v>22014</v>
      </c>
      <c r="R5" s="1808">
        <f ca="1">结果表!C42</f>
        <v>697897</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09">
        <f ca="1">结果表!O39</f>
        <v>660497</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09"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0" t="s">
        <v>2067</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2068</v>
      </c>
      <c r="B5" s="3223"/>
      <c r="C5" s="3223"/>
      <c r="D5" s="3223"/>
    </row>
    <row r="6" spans="1:4">
      <c r="A6" s="3220" t="s">
        <v>2046</v>
      </c>
      <c r="B6" s="3220"/>
      <c r="C6" s="3220"/>
      <c r="D6" s="3220"/>
    </row>
    <row r="7" spans="1:4" ht="33" customHeight="1">
      <c r="A7" s="3220" t="s">
        <v>2577</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v>
      </c>
      <c r="B11" s="3222"/>
      <c r="C11" s="3222"/>
      <c r="D11" s="3222"/>
    </row>
    <row r="12" spans="1:4" ht="168" customHeight="1">
      <c r="A12" s="3223" t="s">
        <v>2070</v>
      </c>
      <c r="B12" s="3223"/>
      <c r="C12" s="3223"/>
      <c r="D12" s="3223"/>
    </row>
    <row r="13" spans="1:4">
      <c r="A13" s="3221" t="s">
        <v>2747</v>
      </c>
      <c r="B13" s="3221"/>
      <c r="C13" s="3221"/>
      <c r="D13" s="3221"/>
    </row>
    <row r="14" spans="1:4">
      <c r="A14" s="3222" t="str">
        <f>IF(项目基本情况!B8="抵押","综上，"&amp;结果表!K47,"——")</f>
        <v>综上，本次评估估价师知悉的法定优先受偿款为人民币37400万元整。</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2703</v>
      </c>
      <c r="B17" s="3220"/>
      <c r="C17" s="3220"/>
      <c r="D17" s="3220"/>
    </row>
    <row r="18" spans="1:4">
      <c r="A18" s="3220" t="s">
        <v>2695</v>
      </c>
      <c r="B18" s="3220"/>
      <c r="C18" s="3220"/>
      <c r="D18" s="3220"/>
    </row>
    <row r="19" spans="1:4">
      <c r="A19" s="2865" t="s">
        <v>2696</v>
      </c>
      <c r="B19" s="2865" t="s">
        <v>2697</v>
      </c>
      <c r="C19" s="2865" t="s">
        <v>2698</v>
      </c>
      <c r="D19" s="2865" t="s">
        <v>2699</v>
      </c>
    </row>
    <row r="20" spans="1:4">
      <c r="A20" s="2865" t="str">
        <f>项目基本情况!B4</f>
        <v>崔锴</v>
      </c>
      <c r="B20" s="2865">
        <f ca="1">项目基本情况!C4</f>
        <v>2010110070</v>
      </c>
      <c r="C20" s="2867"/>
      <c r="D20" s="1797" t="s">
        <v>2704</v>
      </c>
    </row>
    <row r="21" spans="1:4">
      <c r="A21" s="2865" t="str">
        <f>项目基本情况!D4</f>
        <v>赵雯</v>
      </c>
      <c r="B21" s="2865">
        <f ca="1">项目基本情况!E4</f>
        <v>2011110090</v>
      </c>
      <c r="C21" s="2867"/>
      <c r="D21" s="1797" t="s">
        <v>2705</v>
      </c>
    </row>
    <row r="23" spans="1:4">
      <c r="A23" s="3220" t="s">
        <v>2700</v>
      </c>
      <c r="B23" s="3220"/>
      <c r="C23" s="3220"/>
      <c r="D23" s="3220"/>
    </row>
    <row r="24" spans="1:4">
      <c r="A24" s="2865" t="s">
        <v>2696</v>
      </c>
      <c r="B24" s="2865" t="s">
        <v>2701</v>
      </c>
      <c r="C24" s="2865" t="s">
        <v>2698</v>
      </c>
      <c r="D24" s="2865" t="s">
        <v>2699</v>
      </c>
    </row>
    <row r="25" spans="1:4">
      <c r="A25" s="2868" t="s">
        <v>2702</v>
      </c>
      <c r="B25" s="2865" t="s">
        <v>951</v>
      </c>
      <c r="C25" s="2867"/>
      <c r="D25" s="1797" t="s">
        <v>2705</v>
      </c>
    </row>
    <row r="29" spans="1:4">
      <c r="D29" s="2866" t="s">
        <v>2041</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32" t="s">
        <v>53</v>
      </c>
      <c r="B15" s="3233" t="s">
        <v>845</v>
      </c>
      <c r="C15" s="3229"/>
    </row>
    <row r="16" spans="1:7" ht="14.25">
      <c r="A16" s="3232"/>
      <c r="B16" s="3230" t="s">
        <v>54</v>
      </c>
      <c r="C16" s="1169" t="s">
        <v>53</v>
      </c>
    </row>
    <row r="17" spans="1:3" ht="14.25">
      <c r="A17" s="3232"/>
      <c r="B17" s="3230"/>
      <c r="C17" s="1169" t="s">
        <v>55</v>
      </c>
    </row>
    <row r="18" spans="1:3" ht="14.25">
      <c r="A18" s="3232"/>
      <c r="B18" s="3230"/>
      <c r="C18" s="1169" t="s">
        <v>56</v>
      </c>
    </row>
    <row r="19" spans="1:3" ht="14.25">
      <c r="A19" s="3232"/>
      <c r="B19" s="3228" t="s">
        <v>57</v>
      </c>
      <c r="C19" s="3229"/>
    </row>
    <row r="20" spans="1:3" ht="14.25">
      <c r="A20" s="1170" t="s">
        <v>58</v>
      </c>
      <c r="B20" s="1171"/>
      <c r="C20" s="1172"/>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3" t="s">
        <v>836</v>
      </c>
    </row>
    <row r="25" spans="1:3" ht="14.25">
      <c r="A25" s="3231"/>
      <c r="B25" s="3235"/>
      <c r="C25" s="1173" t="s">
        <v>837</v>
      </c>
    </row>
    <row r="26" spans="1:3" ht="14.25">
      <c r="A26" s="3231"/>
      <c r="B26" s="3235"/>
      <c r="C26" s="1173" t="s">
        <v>838</v>
      </c>
    </row>
    <row r="27" spans="1:3" ht="14.25">
      <c r="A27" s="3231"/>
      <c r="B27" s="3235"/>
      <c r="C27" s="1173" t="s">
        <v>839</v>
      </c>
    </row>
    <row r="28" spans="1:3" ht="14.25">
      <c r="A28" s="3231"/>
      <c r="B28" s="3235"/>
      <c r="C28" s="1173" t="s">
        <v>840</v>
      </c>
    </row>
    <row r="29" spans="1:3" ht="14.25">
      <c r="A29" s="3231"/>
      <c r="B29" s="3235"/>
      <c r="C29" s="1173" t="s">
        <v>841</v>
      </c>
    </row>
    <row r="30" spans="1:3" ht="14.25">
      <c r="A30" s="3231"/>
      <c r="B30" s="3235"/>
      <c r="C30" s="1173" t="s">
        <v>842</v>
      </c>
    </row>
    <row r="31" spans="1:3" ht="14.25">
      <c r="A31" s="3231"/>
      <c r="B31" s="3235"/>
      <c r="C31" s="1173" t="s">
        <v>843</v>
      </c>
    </row>
    <row r="32" spans="1:3" ht="14.25">
      <c r="A32" s="3231"/>
      <c r="B32" s="3235"/>
      <c r="C32" s="1173" t="s">
        <v>1646</v>
      </c>
    </row>
    <row r="33" spans="1:3" ht="14.25">
      <c r="A33" s="3231"/>
      <c r="B33" s="3225" t="s">
        <v>1652</v>
      </c>
      <c r="C33" s="1173" t="s">
        <v>1647</v>
      </c>
    </row>
    <row r="34" spans="1:3" ht="14.25">
      <c r="A34" s="3231"/>
      <c r="B34" s="3226"/>
      <c r="C34" s="1178" t="s">
        <v>1648</v>
      </c>
    </row>
    <row r="35" spans="1:3" ht="14.25">
      <c r="A35" s="3231"/>
      <c r="B35" s="3226"/>
      <c r="C35" s="1179" t="s">
        <v>1649</v>
      </c>
    </row>
    <row r="36" spans="1:3" ht="14.25">
      <c r="A36" s="3231"/>
      <c r="B36" s="3226"/>
      <c r="C36" s="1179" t="s">
        <v>1650</v>
      </c>
    </row>
    <row r="37" spans="1:3" ht="14.25">
      <c r="A37" s="3231"/>
      <c r="B37" s="3227"/>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43535</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2">
        <v>43849</v>
      </c>
      <c r="D4" s="2340" t="s">
        <v>1914</v>
      </c>
      <c r="E4" s="2340">
        <f ca="1">IF(F4&lt;B2,"已过期",96010014)</f>
        <v>96010014</v>
      </c>
      <c r="F4" s="3003">
        <v>47118</v>
      </c>
    </row>
    <row r="5" spans="1:6" ht="20.25" customHeight="1">
      <c r="A5" s="2340" t="s">
        <v>1915</v>
      </c>
      <c r="B5" s="2340">
        <f ca="1">IF(C5&lt;B2,"已过期",1119970074)</f>
        <v>1119970074</v>
      </c>
      <c r="C5" s="3002">
        <v>43849</v>
      </c>
      <c r="D5" s="2340" t="s">
        <v>1915</v>
      </c>
      <c r="E5" s="2340">
        <f ca="1">IF(F5&lt;B2,"已过期",2002110027)</f>
        <v>2002110027</v>
      </c>
      <c r="F5" s="3003">
        <v>46752</v>
      </c>
    </row>
    <row r="6" spans="1:6" ht="20.25" customHeight="1">
      <c r="A6" s="2340" t="s">
        <v>1916</v>
      </c>
      <c r="B6" s="2340">
        <f ca="1">IF(C6&lt;B2,"已过期",1119970111)</f>
        <v>1119970111</v>
      </c>
      <c r="C6" s="3002">
        <v>43849</v>
      </c>
      <c r="D6" s="2340" t="s">
        <v>1916</v>
      </c>
      <c r="E6" s="2340">
        <f ca="1">IF(F6&lt;B2,"已过期",94010078)</f>
        <v>94010078</v>
      </c>
      <c r="F6" s="3003">
        <v>46387</v>
      </c>
    </row>
    <row r="7" spans="1:6" ht="20.25" customHeight="1">
      <c r="A7" s="2340" t="s">
        <v>1917</v>
      </c>
      <c r="B7" s="2340">
        <f ca="1">IF(C7&lt;B2,"已过期",1120050019)</f>
        <v>1120050019</v>
      </c>
      <c r="C7" s="3002">
        <v>44395</v>
      </c>
      <c r="D7" s="2340" t="s">
        <v>1917</v>
      </c>
      <c r="E7" s="2340">
        <f ca="1">IF(F7&lt;B2,"已过期",2002110030)</f>
        <v>2002110030</v>
      </c>
      <c r="F7" s="3003">
        <v>46387</v>
      </c>
    </row>
    <row r="8" spans="1:6" ht="20.25" customHeight="1">
      <c r="A8" s="2340" t="s">
        <v>1918</v>
      </c>
      <c r="B8" s="2340">
        <f ca="1">IF(C8&lt;B2,"已过期",1120000080)</f>
        <v>1120000080</v>
      </c>
      <c r="C8" s="3002">
        <v>43849</v>
      </c>
      <c r="D8" s="2340" t="s">
        <v>1918</v>
      </c>
      <c r="E8" s="2340">
        <f ca="1">IF(F8&lt;B2,"已过期",2000110082)</f>
        <v>2000110082</v>
      </c>
      <c r="F8" s="3003">
        <v>46387</v>
      </c>
    </row>
    <row r="9" spans="1:6" ht="20.25" customHeight="1">
      <c r="A9" s="2340" t="s">
        <v>1919</v>
      </c>
      <c r="B9" s="2340">
        <f ca="1">IF(C9&lt;B2,"已过期",1419970001)</f>
        <v>1419970001</v>
      </c>
      <c r="C9" s="3002">
        <v>43867</v>
      </c>
      <c r="D9" s="2340" t="s">
        <v>1919</v>
      </c>
      <c r="E9" s="2340">
        <f ca="1">IF(F9&lt;B2,"已过期",2002110125)</f>
        <v>2002110125</v>
      </c>
      <c r="F9" s="3003">
        <v>47118</v>
      </c>
    </row>
    <row r="10" spans="1:6" ht="20.25" customHeight="1">
      <c r="A10" s="2340" t="s">
        <v>1920</v>
      </c>
      <c r="B10" s="2340" t="str">
        <f ca="1">IF(C10&lt;B2,"已过期",1120060040)</f>
        <v>已过期</v>
      </c>
      <c r="C10" s="3002">
        <v>43483</v>
      </c>
      <c r="D10" s="2340" t="s">
        <v>1920</v>
      </c>
      <c r="E10" s="2340">
        <f ca="1">IF(F10&lt;B2,"已过期",2004110096)</f>
        <v>2004110096</v>
      </c>
      <c r="F10" s="3003">
        <v>47118</v>
      </c>
    </row>
    <row r="11" spans="1:6" ht="20.25" customHeight="1">
      <c r="A11" s="2340" t="s">
        <v>1921</v>
      </c>
      <c r="B11" s="2340">
        <f ca="1">IF(C11&lt;B2,"已过期",1120100036)</f>
        <v>1120100036</v>
      </c>
      <c r="C11" s="3002">
        <v>43622</v>
      </c>
      <c r="D11" s="2340" t="s">
        <v>1921</v>
      </c>
      <c r="E11" s="2340">
        <f ca="1">IF(F11&lt;B2,"已过期",2010110070)</f>
        <v>2010110070</v>
      </c>
      <c r="F11" s="3003">
        <v>47907</v>
      </c>
    </row>
    <row r="12" spans="1:6" ht="20.25" customHeight="1">
      <c r="A12" s="2340" t="s">
        <v>2977</v>
      </c>
      <c r="B12" s="2340">
        <v>1120110054</v>
      </c>
      <c r="C12" s="3002">
        <v>43937</v>
      </c>
      <c r="D12" s="2340" t="s">
        <v>2977</v>
      </c>
      <c r="E12" s="2340">
        <v>2008110060</v>
      </c>
      <c r="F12" s="3003">
        <v>47177</v>
      </c>
    </row>
    <row r="13" spans="1:6" ht="20.25" customHeight="1">
      <c r="A13" s="2340" t="s">
        <v>1922</v>
      </c>
      <c r="B13" s="2340">
        <f ca="1">IF(C13&lt;B2,"已过期",1120070131)</f>
        <v>1120070131</v>
      </c>
      <c r="C13" s="3002">
        <v>43814</v>
      </c>
      <c r="D13" s="2340" t="s">
        <v>1922</v>
      </c>
      <c r="E13" s="2340">
        <v>2014110011</v>
      </c>
      <c r="F13" s="3003">
        <v>49302</v>
      </c>
    </row>
    <row r="14" spans="1:6" ht="20.25" customHeight="1">
      <c r="A14" s="2340" t="s">
        <v>1923</v>
      </c>
      <c r="B14" s="2340">
        <f ca="1">IF(C14&lt;B2,"已过期",1120130020)</f>
        <v>1120130020</v>
      </c>
      <c r="C14" s="3002">
        <v>43622</v>
      </c>
      <c r="D14" s="2340"/>
      <c r="E14" s="2340"/>
      <c r="F14" s="2340"/>
    </row>
    <row r="15" spans="1:6" ht="20.25" customHeight="1">
      <c r="A15" s="2340" t="s">
        <v>2576</v>
      </c>
      <c r="B15" s="2340">
        <v>1120070085</v>
      </c>
      <c r="C15" s="3002">
        <v>43814</v>
      </c>
      <c r="D15" s="2340" t="s">
        <v>2576</v>
      </c>
      <c r="E15" s="2340">
        <v>2004110128</v>
      </c>
      <c r="F15" s="3003">
        <v>47118</v>
      </c>
    </row>
    <row r="16" spans="1:6" ht="20.25" customHeight="1">
      <c r="A16" s="2340" t="s">
        <v>1924</v>
      </c>
      <c r="B16" s="2340">
        <f ca="1">IF(C16&lt;B2,"已过期",1120140022)</f>
        <v>1120140022</v>
      </c>
      <c r="C16" s="3002">
        <v>44029</v>
      </c>
      <c r="D16" s="2340" t="s">
        <v>1924</v>
      </c>
      <c r="E16" s="2340">
        <f ca="1">IF(F16&lt;B2,"已过期",2008110059)</f>
        <v>2008110059</v>
      </c>
      <c r="F16" s="3003">
        <v>47177</v>
      </c>
    </row>
    <row r="17" spans="1:7" ht="20.25" customHeight="1">
      <c r="A17" s="2340"/>
      <c r="B17" s="2340"/>
      <c r="C17" s="3002"/>
      <c r="D17" s="2340"/>
      <c r="E17" s="2340"/>
      <c r="F17" s="3003"/>
    </row>
    <row r="18" spans="1:7" ht="20.25" customHeight="1">
      <c r="A18" s="2340"/>
      <c r="B18" s="2340"/>
      <c r="C18" s="3002"/>
      <c r="D18" s="2340"/>
      <c r="E18" s="2340"/>
      <c r="F18" s="3003"/>
    </row>
    <row r="19" spans="1:7" ht="20.25" customHeight="1">
      <c r="A19" s="2340"/>
      <c r="B19" s="2340"/>
      <c r="C19" s="3002"/>
      <c r="D19" s="2340"/>
      <c r="E19" s="2340"/>
      <c r="F19" s="2340"/>
    </row>
    <row r="20" spans="1:7" ht="20.25" customHeight="1">
      <c r="A20" s="2340"/>
      <c r="B20" s="2340"/>
      <c r="C20" s="3002"/>
      <c r="D20" s="2340"/>
      <c r="E20" s="2340"/>
      <c r="F20" s="2340"/>
    </row>
    <row r="21" spans="1:7" ht="20.25" customHeight="1">
      <c r="A21" s="2340"/>
      <c r="B21" s="2340"/>
      <c r="C21" s="3002"/>
      <c r="D21" s="2340" t="s">
        <v>1925</v>
      </c>
      <c r="E21" s="2340">
        <f ca="1">IF(F21&lt;B2,"已过期",2011110090)</f>
        <v>2011110090</v>
      </c>
      <c r="F21" s="3003">
        <v>48302</v>
      </c>
    </row>
    <row r="22" spans="1:7" ht="20.25" customHeight="1">
      <c r="A22" s="2340" t="s">
        <v>1926</v>
      </c>
      <c r="B22" s="2340">
        <f ca="1">IF(C22&lt;B2,"已过期",1120020033)</f>
        <v>1120020033</v>
      </c>
      <c r="C22" s="3002">
        <v>44339</v>
      </c>
      <c r="D22" s="2340" t="s">
        <v>1926</v>
      </c>
      <c r="E22" s="2340">
        <f ca="1">IF(F22&lt;B2,"已过期",2000110137)</f>
        <v>2000110137</v>
      </c>
      <c r="F22" s="3003">
        <v>46387</v>
      </c>
    </row>
    <row r="23" spans="1:7" ht="20.25" customHeight="1">
      <c r="A23" s="2340" t="s">
        <v>1927</v>
      </c>
      <c r="B23" s="2340">
        <f ca="1">IF(C23&lt;B2,"已过期",1120130048)</f>
        <v>1120130048</v>
      </c>
      <c r="C23" s="3002">
        <v>43686</v>
      </c>
      <c r="D23" s="2340"/>
      <c r="E23" s="2340"/>
      <c r="F23" s="2340"/>
    </row>
    <row r="24" spans="1:7" s="2344" customFormat="1" ht="20.25" customHeight="1">
      <c r="A24" s="2342" t="s">
        <v>2055</v>
      </c>
      <c r="B24" s="2342" t="s">
        <v>2055</v>
      </c>
      <c r="C24" s="3002"/>
      <c r="D24" s="3004" t="s">
        <v>2055</v>
      </c>
      <c r="E24" s="2342" t="s">
        <v>2055</v>
      </c>
      <c r="F24" s="2343"/>
    </row>
    <row r="25" spans="1:7" ht="20.25" customHeight="1">
      <c r="A25" s="3236" t="s">
        <v>1928</v>
      </c>
      <c r="B25" s="3236"/>
      <c r="C25" s="3236"/>
      <c r="D25" s="3236"/>
      <c r="E25" s="3236"/>
      <c r="F25" s="3236"/>
      <c r="G25" s="3236"/>
    </row>
    <row r="26" spans="1:7" ht="20.25" customHeight="1">
      <c r="A26" s="3237" t="s">
        <v>1929</v>
      </c>
      <c r="B26" s="3237"/>
      <c r="C26" s="3237"/>
      <c r="D26" s="3237" t="s">
        <v>1930</v>
      </c>
      <c r="E26" s="3237"/>
      <c r="F26" s="3237"/>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W26" sqref="W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0" t="s">
        <v>2547</v>
      </c>
      <c r="R1" s="2579" t="s">
        <v>2541</v>
      </c>
      <c r="S1" s="6" t="s">
        <v>145</v>
      </c>
      <c r="T1" s="7" t="s">
        <v>146</v>
      </c>
      <c r="U1" s="6" t="s">
        <v>147</v>
      </c>
      <c r="V1" s="6" t="s">
        <v>148</v>
      </c>
      <c r="W1" s="1001"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3" t="s">
        <v>879</v>
      </c>
      <c r="Q2" s="9" t="s">
        <v>75</v>
      </c>
      <c r="R2" s="1003" t="s">
        <v>2542</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2543</v>
      </c>
      <c r="S3" s="9" t="s">
        <v>84</v>
      </c>
      <c r="T3" s="9" t="s">
        <v>85</v>
      </c>
      <c r="U3" s="9" t="s">
        <v>84</v>
      </c>
      <c r="V3" s="9" t="s">
        <v>86</v>
      </c>
      <c r="W3" s="9" t="s">
        <v>875</v>
      </c>
    </row>
    <row r="4" spans="1:23">
      <c r="A4" s="8" t="s">
        <v>87</v>
      </c>
      <c r="B4" s="8" t="s">
        <v>151</v>
      </c>
      <c r="C4" s="1547" t="s">
        <v>1711</v>
      </c>
      <c r="D4" s="9" t="s">
        <v>1996</v>
      </c>
      <c r="E4" s="9" t="s">
        <v>88</v>
      </c>
      <c r="F4" s="9" t="s">
        <v>89</v>
      </c>
      <c r="G4" s="9">
        <v>70</v>
      </c>
      <c r="H4" s="9" t="s">
        <v>90</v>
      </c>
      <c r="I4" s="9" t="s">
        <v>91</v>
      </c>
      <c r="K4" s="9" t="s">
        <v>92</v>
      </c>
      <c r="L4" s="9" t="s">
        <v>92</v>
      </c>
      <c r="M4" s="9" t="s">
        <v>92</v>
      </c>
      <c r="N4" s="9" t="s">
        <v>92</v>
      </c>
      <c r="O4" s="9" t="s">
        <v>92</v>
      </c>
      <c r="P4" s="1003" t="s">
        <v>759</v>
      </c>
      <c r="Q4" s="9" t="s">
        <v>92</v>
      </c>
      <c r="R4" s="1003" t="s">
        <v>2544</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3" t="s">
        <v>545</v>
      </c>
      <c r="Q5" s="9" t="s">
        <v>97</v>
      </c>
      <c r="R5" s="1003" t="s">
        <v>2545</v>
      </c>
      <c r="S5" s="9" t="s">
        <v>97</v>
      </c>
      <c r="T5" s="9" t="s">
        <v>98</v>
      </c>
      <c r="U5" s="9" t="s">
        <v>97</v>
      </c>
      <c r="W5" s="9" t="s">
        <v>877</v>
      </c>
    </row>
    <row r="6" spans="1:23">
      <c r="A6" s="8" t="s">
        <v>99</v>
      </c>
      <c r="B6" s="1146" t="s">
        <v>1640</v>
      </c>
      <c r="C6" s="1549" t="s">
        <v>1713</v>
      </c>
      <c r="F6" s="9" t="s">
        <v>71</v>
      </c>
      <c r="H6" s="9" t="s">
        <v>72</v>
      </c>
      <c r="I6" s="9" t="s">
        <v>100</v>
      </c>
      <c r="K6" s="9" t="s">
        <v>101</v>
      </c>
      <c r="L6" s="9" t="s">
        <v>101</v>
      </c>
      <c r="M6" s="9" t="s">
        <v>101</v>
      </c>
      <c r="N6" s="9" t="s">
        <v>101</v>
      </c>
      <c r="O6" s="9" t="s">
        <v>101</v>
      </c>
      <c r="P6" s="1003" t="s">
        <v>880</v>
      </c>
      <c r="Q6" s="9" t="s">
        <v>101</v>
      </c>
      <c r="R6" s="1003" t="s">
        <v>2546</v>
      </c>
      <c r="S6" s="9" t="s">
        <v>101</v>
      </c>
      <c r="T6" s="9"/>
      <c r="U6" s="9" t="s">
        <v>101</v>
      </c>
      <c r="W6" s="9" t="s">
        <v>878</v>
      </c>
    </row>
    <row r="7" spans="1:23">
      <c r="A7" s="8" t="s">
        <v>102</v>
      </c>
      <c r="B7" s="8" t="s">
        <v>103</v>
      </c>
      <c r="C7" s="1547" t="s">
        <v>1714</v>
      </c>
      <c r="F7" s="9" t="s">
        <v>153</v>
      </c>
      <c r="H7" s="9" t="s">
        <v>104</v>
      </c>
      <c r="I7" s="9" t="s">
        <v>105</v>
      </c>
    </row>
    <row r="8" spans="1:23">
      <c r="A8" s="8" t="s">
        <v>106</v>
      </c>
      <c r="B8" s="8" t="s">
        <v>107</v>
      </c>
      <c r="C8" s="1547" t="s">
        <v>1715</v>
      </c>
      <c r="F8" s="9" t="s">
        <v>154</v>
      </c>
      <c r="H8" s="9"/>
      <c r="I8" s="9" t="s">
        <v>108</v>
      </c>
    </row>
    <row r="9" spans="1:23">
      <c r="A9" s="1146" t="s">
        <v>3118</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105" t="s">
        <v>2955</v>
      </c>
      <c r="C18" s="1550"/>
    </row>
    <row r="19" spans="1:3">
      <c r="A19" s="8" t="s">
        <v>119</v>
      </c>
      <c r="B19" s="3105" t="s">
        <v>2963</v>
      </c>
      <c r="C19" s="1550"/>
    </row>
    <row r="20" spans="1:3">
      <c r="A20" s="8" t="s">
        <v>120</v>
      </c>
      <c r="B20" s="8" t="s">
        <v>3270</v>
      </c>
      <c r="C20" s="1550"/>
    </row>
    <row r="21" spans="1:3">
      <c r="A21" s="8" t="s">
        <v>121</v>
      </c>
      <c r="B21" s="8" t="s">
        <v>3271</v>
      </c>
      <c r="C21" s="1550"/>
    </row>
    <row r="22" spans="1:3">
      <c r="A22" s="8" t="s">
        <v>122</v>
      </c>
      <c r="B22" s="8" t="s">
        <v>3272</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31-18-001e地块R2二类居住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38"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30日，在规划利用条件下、设定土地开发程度为红线外“七通”、宗地内场地平整，设定用途为，剩余土地使用年限为的出让国有建设用地使用权价格。</v>
      </c>
      <c r="D53" s="1764"/>
      <c r="E53" s="1764"/>
    </row>
    <row r="54" spans="1:5">
      <c r="A54" s="3238"/>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38"/>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38"/>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38"/>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6"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不动产收益法-自持住宅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2019-03-11T04:20:35Z</dcterms:modified>
</cp:coreProperties>
</file>