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r:id="rId25"/>
    <sheet name="收益法" sheetId="15" state="hidden" r:id="rId26"/>
    <sheet name="收益法-酒店模型" sheetId="77"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Sheet2" sheetId="81"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04" i="33" l="1"/>
  <c r="F104" i="33"/>
  <c r="C104" i="33"/>
  <c r="D104" i="33"/>
  <c r="B14" i="74" l="1"/>
  <c r="U26" i="31"/>
  <c r="U25" i="31"/>
  <c r="B26" i="31"/>
  <c r="B25" i="31"/>
  <c r="B24" i="31"/>
  <c r="B35" i="1"/>
  <c r="B29" i="1"/>
  <c r="Y6" i="1"/>
  <c r="N6" i="1"/>
  <c r="N21" i="1"/>
  <c r="N19" i="1"/>
  <c r="I33" i="33"/>
  <c r="G33" i="33"/>
  <c r="E33" i="33"/>
  <c r="C33" i="33"/>
  <c r="D122" i="33"/>
  <c r="C122" i="33"/>
  <c r="G112" i="33"/>
  <c r="F112" i="33"/>
  <c r="E112" i="33"/>
  <c r="D112" i="33"/>
  <c r="C112" i="33"/>
  <c r="G89" i="33"/>
  <c r="F89" i="33"/>
  <c r="E89" i="33"/>
  <c r="D89" i="33"/>
  <c r="I47" i="33"/>
  <c r="G47" i="33"/>
  <c r="E47" i="33"/>
  <c r="I5" i="33"/>
  <c r="G5" i="33"/>
  <c r="E5" i="33"/>
  <c r="I7" i="33"/>
  <c r="G7" i="33"/>
  <c r="F19" i="6"/>
  <c r="C11" i="4"/>
  <c r="D3" i="4"/>
  <c r="M16" i="80"/>
  <c r="M15" i="80"/>
  <c r="C10" i="80"/>
  <c r="C9" i="80"/>
  <c r="C7" i="80"/>
  <c r="I7" i="80" s="1"/>
  <c r="I5" i="80"/>
  <c r="D4" i="80"/>
  <c r="I4" i="80" s="1"/>
  <c r="C4" i="80"/>
  <c r="H3" i="80"/>
  <c r="I3" i="80"/>
  <c r="I6" i="80"/>
  <c r="I9" i="80"/>
  <c r="I10" i="80"/>
  <c r="I11" i="80"/>
  <c r="C3" i="80"/>
  <c r="I2" i="80"/>
  <c r="U27" i="31"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8" i="79" l="1"/>
  <c r="W28" i="79" s="1"/>
  <c r="T26" i="79"/>
  <c r="W26" i="79" s="1"/>
  <c r="T27" i="79"/>
  <c r="W27" i="79" s="1"/>
  <c r="T5" i="79"/>
  <c r="W5" i="79" s="1"/>
  <c r="R8" i="79"/>
  <c r="R7" i="79"/>
  <c r="R6" i="79"/>
  <c r="P9" i="79"/>
  <c r="T7" i="79"/>
  <c r="W7" i="79" s="1"/>
  <c r="T8" i="79"/>
  <c r="W8" i="79" s="1"/>
  <c r="T6" i="79"/>
  <c r="W6" i="79" s="1"/>
  <c r="V9" i="79"/>
  <c r="V6" i="79"/>
  <c r="V8" i="79"/>
  <c r="V7" i="79"/>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2" i="71"/>
  <c r="D31" i="71"/>
  <c r="C26" i="71"/>
  <c r="D26" i="71"/>
  <c r="D27" i="71"/>
  <c r="V28"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H14" i="33" s="1"/>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U33" i="33"/>
  <c r="S40" i="33"/>
  <c r="W39" i="33"/>
  <c r="H39" i="37"/>
  <c r="AB39" i="37" s="1"/>
  <c r="S27" i="35"/>
  <c r="F11" i="40"/>
  <c r="AA11" i="40"/>
  <c r="H11" i="40"/>
  <c r="AB11" i="40"/>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F14" i="33"/>
  <c r="S14" i="33" s="1"/>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J36" i="37"/>
  <c r="AC36" i="37"/>
  <c r="J10" i="36"/>
  <c r="AC10" i="36" s="1"/>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A36" i="39"/>
  <c r="F39" i="33"/>
  <c r="AA39" i="33"/>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s="1"/>
  <c r="S28" i="31"/>
  <c r="S27" i="31"/>
  <c r="U14" i="40"/>
  <c r="U35" i="35"/>
  <c r="AA12" i="35"/>
  <c r="W23" i="35"/>
  <c r="W14" i="37"/>
  <c r="AB28" i="37"/>
  <c r="U33" i="37"/>
  <c r="U39" i="37"/>
  <c r="W26" i="37"/>
  <c r="U26" i="37"/>
  <c r="W47" i="34"/>
  <c r="AB13" i="34"/>
  <c r="AC36" i="34"/>
  <c r="AC31" i="33"/>
  <c r="AC45" i="33"/>
  <c r="W44" i="33"/>
  <c r="U19" i="21"/>
  <c r="W44" i="21"/>
  <c r="U26" i="21"/>
  <c r="AC46" i="21"/>
  <c r="U12" i="21"/>
  <c r="AB38" i="21"/>
  <c r="F43" i="33"/>
  <c r="AA43" i="33" s="1"/>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B5" i="3"/>
  <c r="BR5" i="3"/>
  <c r="AZ380" i="3"/>
  <c r="AZ388" i="3"/>
  <c r="AZ396"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AC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s="1"/>
  <c r="H121" i="33" s="1"/>
  <c r="I121" i="33" s="1"/>
  <c r="J121" i="33" s="1"/>
  <c r="K121" i="33" s="1"/>
  <c r="L121" i="33" s="1"/>
  <c r="M121" i="33" s="1"/>
  <c r="G111" i="33"/>
  <c r="F36" i="33" s="1"/>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87" i="33"/>
  <c r="H25" i="33"/>
  <c r="U25" i="33" s="1"/>
  <c r="F25" i="33"/>
  <c r="S25" i="33" s="1"/>
  <c r="J23" i="33"/>
  <c r="AC23" i="33" s="1"/>
  <c r="F85" i="33"/>
  <c r="H23" i="33"/>
  <c r="U23" i="33" s="1"/>
  <c r="F81" i="33"/>
  <c r="F19" i="33"/>
  <c r="S19" i="33" s="1"/>
  <c r="J17" i="33"/>
  <c r="AC17" i="33" s="1"/>
  <c r="F79" i="33"/>
  <c r="G79" i="33" s="1"/>
  <c r="S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30" i="33"/>
  <c r="W30" i="33"/>
  <c r="S31" i="33"/>
  <c r="AA31" i="33"/>
  <c r="W13" i="33"/>
  <c r="AC13" i="33"/>
  <c r="U15"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36" i="33"/>
  <c r="U36" i="33" s="1"/>
  <c r="AC32" i="33"/>
  <c r="G87" i="33"/>
  <c r="H87" i="33" s="1"/>
  <c r="I87" i="33" s="1"/>
  <c r="J87" i="33" s="1"/>
  <c r="K87" i="33" s="1"/>
  <c r="L87" i="33" s="1"/>
  <c r="M87" i="33" s="1"/>
  <c r="J25" i="33"/>
  <c r="AC25" i="33" s="1"/>
  <c r="F23" i="33"/>
  <c r="G85" i="33"/>
  <c r="H19" i="33"/>
  <c r="AB19" i="33" s="1"/>
  <c r="G81" i="33"/>
  <c r="H17" i="33"/>
  <c r="U17" i="33" s="1"/>
  <c r="F17" i="33"/>
  <c r="AA17" i="33" s="1"/>
  <c r="W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B23" i="21"/>
  <c r="AC23" i="21"/>
  <c r="W23" i="2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9" i="76"/>
  <c r="M22" i="15"/>
  <c r="M9" i="67"/>
  <c r="F37" i="67"/>
  <c r="D35" i="9"/>
  <c r="M24" i="67"/>
  <c r="F20" i="31"/>
  <c r="F8" i="67"/>
  <c r="L47" i="15"/>
  <c r="M8" i="67"/>
  <c r="F7" i="67"/>
  <c r="D3" i="73"/>
  <c r="F16" i="67"/>
  <c r="F6" i="73"/>
  <c r="M29" i="67"/>
  <c r="E2" i="69"/>
  <c r="F43" i="67"/>
  <c r="AO13" i="1"/>
  <c r="M24" i="15"/>
  <c r="F26" i="67"/>
  <c r="M28" i="67"/>
  <c r="M6" i="15"/>
  <c r="B8" i="76"/>
  <c r="C19" i="9"/>
  <c r="J15" i="67"/>
  <c r="E8" i="76"/>
  <c r="E11" i="76"/>
  <c r="E10" i="76"/>
  <c r="F36" i="67"/>
  <c r="M29" i="15"/>
  <c r="C20" i="9"/>
  <c r="F3" i="73"/>
  <c r="D20" i="9"/>
  <c r="C76" i="67"/>
  <c r="F38" i="15"/>
  <c r="B13" i="76"/>
  <c r="E7" i="76"/>
  <c r="F37" i="15"/>
  <c r="E13" i="76"/>
  <c r="M6" i="67"/>
  <c r="D19" i="9"/>
  <c r="F9" i="15"/>
  <c r="F7" i="73"/>
  <c r="F40" i="15"/>
  <c r="M26" i="15"/>
  <c r="F13" i="15"/>
  <c r="F4" i="73"/>
  <c r="D6" i="73"/>
  <c r="F7" i="15"/>
  <c r="B10" i="76"/>
  <c r="B9" i="76"/>
  <c r="B7" i="76"/>
  <c r="B12" i="76"/>
  <c r="F36" i="15"/>
  <c r="D7" i="73"/>
  <c r="M9" i="15"/>
  <c r="F40" i="67"/>
  <c r="M26" i="67"/>
  <c r="F6" i="67"/>
  <c r="L47" i="67"/>
  <c r="F42" i="67"/>
  <c r="F5" i="73"/>
  <c r="C76" i="15"/>
  <c r="M23" i="15"/>
  <c r="F42" i="15"/>
  <c r="E2" i="68"/>
  <c r="J15" i="15"/>
  <c r="F26" i="15"/>
  <c r="M23" i="67"/>
  <c r="M8" i="15"/>
  <c r="B11" i="76"/>
  <c r="F16" i="15"/>
  <c r="E12" i="76"/>
  <c r="D34" i="9"/>
  <c r="F43" i="15"/>
  <c r="L48" i="15"/>
  <c r="F9" i="67"/>
  <c r="F8" i="15"/>
  <c r="M28" i="15"/>
  <c r="L48" i="67"/>
  <c r="F13" i="67"/>
  <c r="F38" i="67"/>
  <c r="M22" i="67"/>
  <c r="S33" i="33" l="1"/>
  <c r="R26" i="31"/>
  <c r="S26" i="31" s="1"/>
  <c r="S22" i="31" s="1"/>
  <c r="R25" i="31"/>
  <c r="S25" i="31" s="1"/>
  <c r="F32" i="15"/>
  <c r="F60" i="15" s="1"/>
  <c r="F54" i="9"/>
  <c r="F52" i="9"/>
  <c r="F28" i="15"/>
  <c r="F32" i="67"/>
  <c r="F60" i="67" s="1"/>
  <c r="F28" i="67"/>
  <c r="C28" i="67" s="1"/>
  <c r="D68" i="9"/>
  <c r="M18" i="15"/>
  <c r="F30" i="69"/>
  <c r="F48" i="69" s="1"/>
  <c r="M18" i="67"/>
  <c r="F31" i="12"/>
  <c r="F30" i="11"/>
  <c r="C48" i="11" s="1"/>
  <c r="J36" i="33"/>
  <c r="W36" i="33" s="1"/>
  <c r="H111" i="33"/>
  <c r="I111" i="33" s="1"/>
  <c r="J111" i="33" s="1"/>
  <c r="K111" i="33" s="1"/>
  <c r="L111" i="33" s="1"/>
  <c r="M111" i="33" s="1"/>
  <c r="S17" i="33"/>
  <c r="H27" i="33"/>
  <c r="AB27" i="33" s="1"/>
  <c r="F27" i="33"/>
  <c r="AA27" i="33" s="1"/>
  <c r="F91" i="33"/>
  <c r="G91" i="33" s="1"/>
  <c r="H91" i="33" s="1"/>
  <c r="I91" i="33" s="1"/>
  <c r="J91" i="33" s="1"/>
  <c r="K91" i="33" s="1"/>
  <c r="L91" i="33" s="1"/>
  <c r="M91" i="33" s="1"/>
  <c r="J27" i="33"/>
  <c r="AC27" i="33" s="1"/>
  <c r="J15" i="33"/>
  <c r="W33" i="33"/>
  <c r="AB36" i="33"/>
  <c r="S36" i="33"/>
  <c r="AA42" i="33"/>
  <c r="S42" i="33"/>
  <c r="H42" i="33"/>
  <c r="AB25" i="33"/>
  <c r="U37" i="33"/>
  <c r="AC37" i="33"/>
  <c r="W35" i="33"/>
  <c r="U35" i="33"/>
  <c r="AA35" i="33"/>
  <c r="AB34" i="33"/>
  <c r="AA34" i="33"/>
  <c r="U27" i="33"/>
  <c r="S27" i="33"/>
  <c r="S26" i="33"/>
  <c r="AB26" i="33"/>
  <c r="AA25" i="33"/>
  <c r="W25" i="33"/>
  <c r="U32" i="33"/>
  <c r="S32" i="33"/>
  <c r="U11" i="33"/>
  <c r="W23" i="33"/>
  <c r="U19" i="33"/>
  <c r="AB23" i="33"/>
  <c r="AA19" i="33"/>
  <c r="W19" i="33"/>
  <c r="AB17" i="33"/>
  <c r="AA13" i="33"/>
  <c r="AC12" i="33"/>
  <c r="W12" i="33"/>
  <c r="U14" i="33"/>
  <c r="AB14" i="33"/>
  <c r="F12" i="33"/>
  <c r="AA14" i="33"/>
  <c r="J14" i="33"/>
  <c r="H12" i="33"/>
  <c r="D17" i="71"/>
  <c r="C16" i="71"/>
  <c r="E15" i="71"/>
  <c r="E14" i="71" s="1"/>
  <c r="E13" i="71" s="1"/>
  <c r="E12" i="71" s="1"/>
  <c r="V16" i="71"/>
  <c r="D20" i="71"/>
  <c r="U20" i="71" s="1"/>
  <c r="T20" i="71"/>
  <c r="V20" i="71"/>
  <c r="AZ321" i="3"/>
  <c r="W12" i="34"/>
  <c r="AC12" i="34"/>
  <c r="U12" i="35"/>
  <c r="AB12" i="35"/>
  <c r="U27" i="37"/>
  <c r="AB27" i="37"/>
  <c r="AZ557" i="3"/>
  <c r="S12" i="21"/>
  <c r="AA12" i="21"/>
  <c r="AC9" i="34"/>
  <c r="W9" i="34"/>
  <c r="AC34" i="35"/>
  <c r="W34" i="35"/>
  <c r="AB9" i="36"/>
  <c r="U9" i="36"/>
  <c r="AB14" i="37"/>
  <c r="U14" i="37"/>
  <c r="AC12" i="40"/>
  <c r="W12" i="40"/>
  <c r="G28" i="6"/>
  <c r="F29" i="6"/>
  <c r="AA25" i="21"/>
  <c r="U43" i="33"/>
  <c r="AA41" i="34"/>
  <c r="S44" i="34"/>
  <c r="W29" i="33"/>
  <c r="S45" i="33"/>
  <c r="AC30" i="34"/>
  <c r="U46" i="33"/>
  <c r="AA13" i="35"/>
  <c r="AA29" i="35"/>
  <c r="B73" i="43"/>
  <c r="B79" i="43"/>
  <c r="B76" i="43"/>
  <c r="B75" i="43"/>
  <c r="F9" i="34"/>
  <c r="AA9" i="34" s="1"/>
  <c r="F12" i="34"/>
  <c r="F34" i="35"/>
  <c r="H34" i="35"/>
  <c r="J36" i="35"/>
  <c r="F23" i="36"/>
  <c r="H23" i="36"/>
  <c r="H38" i="40"/>
  <c r="J38" i="40"/>
  <c r="AZ400" i="3"/>
  <c r="AZ413" i="3"/>
  <c r="AZ424" i="3"/>
  <c r="AZ429" i="3"/>
  <c r="AZ439" i="3"/>
  <c r="AZ444" i="3"/>
  <c r="AZ447" i="3"/>
  <c r="AZ464" i="3"/>
  <c r="AZ467" i="3"/>
  <c r="AZ474" i="3"/>
  <c r="AZ480" i="3"/>
  <c r="AZ482" i="3"/>
  <c r="AZ486" i="3"/>
  <c r="AZ488" i="3"/>
  <c r="AZ397" i="3"/>
  <c r="AZ212" i="3"/>
  <c r="AZ217" i="3"/>
  <c r="AZ220" i="3"/>
  <c r="AZ228" i="3"/>
  <c r="AZ231" i="3"/>
  <c r="AZ244" i="3"/>
  <c r="AZ247" i="3"/>
  <c r="AZ260" i="3"/>
  <c r="AZ264" i="3"/>
  <c r="AZ282" i="3"/>
  <c r="AZ285" i="3"/>
  <c r="AZ290" i="3"/>
  <c r="AZ293" i="3"/>
  <c r="AZ153" i="3"/>
  <c r="AZ169" i="3"/>
  <c r="AZ185" i="3"/>
  <c r="AZ201" i="3"/>
  <c r="AZ207" i="3"/>
  <c r="AZ25" i="3"/>
  <c r="AZ30" i="3"/>
  <c r="AZ34" i="3"/>
  <c r="AZ44" i="3"/>
  <c r="AZ56" i="3"/>
  <c r="AZ60" i="3"/>
  <c r="AZ64" i="3"/>
  <c r="AZ78" i="3"/>
  <c r="AZ91" i="3"/>
  <c r="AZ98" i="3"/>
  <c r="AZ104" i="3"/>
  <c r="AZ108" i="3"/>
  <c r="AB21" i="21"/>
  <c r="AC21" i="34"/>
  <c r="C36" i="71"/>
  <c r="D35" i="71"/>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2" i="71"/>
  <c r="AA14" i="71"/>
  <c r="AB17" i="71"/>
  <c r="F67" i="71"/>
  <c r="X24" i="71"/>
  <c r="Y24" i="71"/>
  <c r="Z24" i="71" s="1"/>
  <c r="AB15" i="71"/>
  <c r="Y13" i="71"/>
  <c r="Z13" i="71" s="1"/>
  <c r="Y12" i="71"/>
  <c r="Z12" i="71" s="1"/>
  <c r="AA12" i="71"/>
  <c r="X13" i="71"/>
  <c r="AB11" i="71"/>
  <c r="AB13" i="71"/>
  <c r="Y23" i="71"/>
  <c r="Z23" i="71" s="1"/>
  <c r="Y22" i="71"/>
  <c r="Z22" i="71" s="1"/>
  <c r="AA23" i="71"/>
  <c r="X15" i="71"/>
  <c r="AA15" i="71"/>
  <c r="Y11" i="71"/>
  <c r="Z11" i="71" s="1"/>
  <c r="AA11" i="71"/>
  <c r="AA13" i="71"/>
  <c r="X11" i="71"/>
  <c r="X14" i="71"/>
  <c r="AB12" i="71"/>
  <c r="AB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C16" i="67"/>
  <c r="G1" i="73"/>
  <c r="C16" i="15"/>
  <c r="D4" i="73"/>
  <c r="R22" i="31" l="1"/>
  <c r="B20" i="31"/>
  <c r="B21" i="31" s="1"/>
  <c r="C30" i="11"/>
  <c r="W27" i="33"/>
  <c r="AC15" i="33"/>
  <c r="W15" i="33"/>
  <c r="AB42" i="33"/>
  <c r="U42" i="33"/>
  <c r="U12" i="33"/>
  <c r="AB12" i="33"/>
  <c r="W14" i="33"/>
  <c r="AC14" i="33"/>
  <c r="S12" i="33"/>
  <c r="AA12" i="33"/>
  <c r="N370" i="46"/>
  <c r="G26" i="43"/>
  <c r="B15" i="71"/>
  <c r="B14" i="71" s="1"/>
  <c r="B13" i="71" s="1"/>
  <c r="B12" i="71" s="1"/>
  <c r="S16" i="71"/>
  <c r="D36" i="71"/>
  <c r="T36" i="71"/>
  <c r="AC38" i="40"/>
  <c r="W38" i="40"/>
  <c r="AB23" i="36"/>
  <c r="U23" i="36"/>
  <c r="AC36" i="35"/>
  <c r="W36" i="35"/>
  <c r="AA34" i="35"/>
  <c r="S34" i="35"/>
  <c r="C15" i="71"/>
  <c r="T16" i="71"/>
  <c r="J7" i="37"/>
  <c r="H7" i="36"/>
  <c r="F66" i="71"/>
  <c r="Q67" i="71"/>
  <c r="C44" i="71"/>
  <c r="D43" i="71"/>
  <c r="U38" i="40"/>
  <c r="AB38" i="40"/>
  <c r="AA23" i="36"/>
  <c r="S23" i="36"/>
  <c r="AB34" i="35"/>
  <c r="U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E65" i="39" l="1"/>
  <c r="D44" i="71"/>
  <c r="T44" i="71"/>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F25" i="12"/>
  <c r="F22" i="69"/>
  <c r="F41" i="69" s="1"/>
  <c r="F24" i="67"/>
  <c r="C24" i="67" s="1"/>
  <c r="F22" i="11"/>
  <c r="F22" i="68"/>
  <c r="F24" i="15"/>
  <c r="C24" i="15" s="1"/>
  <c r="C35" i="9"/>
  <c r="M27" i="67"/>
  <c r="F41" i="15"/>
  <c r="M27"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7" i="15"/>
  <c r="C14" i="67"/>
  <c r="C17"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E10" i="74" s="1"/>
  <c r="B10" i="74" s="1"/>
  <c r="C49" i="33"/>
  <c r="H58" i="21"/>
  <c r="E47" i="37"/>
  <c r="F47" i="37" s="1"/>
  <c r="E46" i="37"/>
  <c r="F46" i="37" s="1"/>
  <c r="I47" i="37"/>
  <c r="J47" i="37" s="1"/>
  <c r="E53" i="33"/>
  <c r="F53" i="33" s="1"/>
  <c r="E52" i="33"/>
  <c r="F52" i="33" s="1"/>
  <c r="C22" i="11"/>
  <c r="C31" i="11" s="1"/>
  <c r="C33" i="67"/>
  <c r="J19" i="67"/>
  <c r="C34" i="68"/>
  <c r="E6" i="76"/>
  <c r="B6" i="76"/>
  <c r="C14" i="15"/>
  <c r="N45" i="33" l="1"/>
  <c r="U6" i="1"/>
  <c r="N48" i="33"/>
  <c r="N49" i="33" s="1"/>
  <c r="U22" i="3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F6" i="15"/>
  <c r="C6" i="15" l="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2" i="15" l="1"/>
  <c r="C5" i="15"/>
  <c r="C38" i="15" s="1"/>
  <c r="C33" i="15"/>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10" i="1"/>
  <c r="AO7"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N60" i="9"/>
  <c r="N61" i="9"/>
  <c r="H4" i="52"/>
  <c r="C104" i="9"/>
  <c r="C105" i="9"/>
  <c r="I4" i="52"/>
  <c r="P57" i="9"/>
  <c r="N58" i="9"/>
  <c r="B48" i="72"/>
  <c r="D8" i="52"/>
  <c r="B34" i="72"/>
  <c r="C7" i="74"/>
  <c r="C93" i="9"/>
  <c r="C86" i="9"/>
  <c r="N59" i="9"/>
  <c r="B51" i="72"/>
  <c r="L65" i="9"/>
  <c r="M65" i="9"/>
  <c r="M54" i="9"/>
  <c r="B52" i="72"/>
  <c r="C6" i="74"/>
  <c r="B21" i="72"/>
  <c r="B47" i="72"/>
  <c r="H108" i="9"/>
  <c r="D15" i="53"/>
  <c r="B31" i="72"/>
  <c r="C5" i="74"/>
  <c r="H102" i="9"/>
  <c r="D7" i="53"/>
  <c r="B30" i="72"/>
  <c r="F4" i="52"/>
  <c r="M55" i="9"/>
  <c r="L68" i="9"/>
  <c r="M68" i="9"/>
  <c r="D56" i="9"/>
  <c r="D54" i="9"/>
  <c r="D122" i="9"/>
  <c r="D123" i="9"/>
  <c r="D9" i="52"/>
  <c r="C81" i="9"/>
  <c r="M48" i="9"/>
  <c r="B22" i="72"/>
  <c r="B53" i="72"/>
  <c r="D11" i="52"/>
  <c r="C72" i="9"/>
  <c r="C79" i="9"/>
  <c r="C80" i="9"/>
  <c r="E80" i="9"/>
  <c r="E81" i="9"/>
  <c r="N69" i="9"/>
  <c r="C78" i="9"/>
  <c r="C73" i="9"/>
  <c r="G4" i="52"/>
  <c r="D10" i="52"/>
  <c r="D124" i="9"/>
  <c r="D125" i="9"/>
  <c r="D16" i="53"/>
  <c r="D17" i="53"/>
  <c r="B36" i="72"/>
  <c r="D55" i="9"/>
  <c r="M53" i="9"/>
  <c r="N57" i="9"/>
  <c r="D4" i="52"/>
  <c r="D119" i="9"/>
  <c r="D5" i="52"/>
  <c r="B49" i="72"/>
  <c r="H107" i="9"/>
  <c r="D13" i="53"/>
  <c r="D14" i="53"/>
  <c r="B32" i="72"/>
  <c r="L66" i="9"/>
  <c r="M66" i="9"/>
  <c r="D59" i="9"/>
  <c r="C64" i="9"/>
  <c r="C63" i="9"/>
  <c r="C67" i="9"/>
  <c r="C68" i="9"/>
  <c r="E4" i="52"/>
  <c r="E118" i="9"/>
  <c r="D118" i="9"/>
  <c r="L67" i="9"/>
  <c r="M67" i="9"/>
  <c r="H110" i="9"/>
  <c r="D18" i="53"/>
  <c r="B35" i="72"/>
  <c r="H119" i="9"/>
  <c r="H5" i="52"/>
  <c r="B20" i="72"/>
  <c r="D5" i="53"/>
  <c r="D6" i="53"/>
  <c r="L63" i="9"/>
  <c r="M63" i="9"/>
  <c r="M69" i="9"/>
  <c r="H109" i="9"/>
  <c r="M49" i="9"/>
  <c r="L64" i="9"/>
  <c r="M64" i="9"/>
  <c r="C96" i="9"/>
  <c r="E96" i="9"/>
  <c r="E97" i="9"/>
  <c r="G118" i="9"/>
  <c r="F118" i="9"/>
  <c r="F119" i="9"/>
  <c r="F5" i="5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<sst xmlns="http://schemas.openxmlformats.org/spreadsheetml/2006/main" count="7939" uniqueCount="3482">
  <si>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</si>
  <si>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</si>
  <si>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</si>
  <si>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</si>
  <si>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</si>
  <si>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</si>
  <si>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</si>
  <si>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</si>
  <si>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</si>
  <si>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</si>
  <si>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</si>
  <si>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</si>
  <si>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</si>
  <si>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</si>
  <si>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</si>
  <si>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</si>
  <si>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</si>
  <si>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</si>
  <si>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</si>
  <si>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</si>
  <si>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</si>
  <si>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</si>
  <si>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</si>
  <si>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</si>
  <si>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</si>
  <si>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</si>
  <si>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</si>
  <si>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</si>
  <si>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</si>
  <si>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</si>
  <si>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</si>
  <si>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</si>
  <si>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</si>
  <si>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</si>
  <si>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</si>
  <si>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</si>
  <si>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</si>
  <si>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</si>
  <si>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</si>
  <si>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</si>
  <si>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</si>
  <si>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</si>
  <si>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</si>
  <si>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</si>
  <si>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</si>
  <si>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</si>
  <si>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</si>
  <si>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</si>
  <si>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</si>
  <si>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</si>
  <si>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</si>
  <si>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</si>
  <si>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</si>
  <si>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</si>
  <si>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</si>
  <si>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</si>
  <si>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</si>
  <si>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</si>
  <si>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</si>
  <si>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</si>
  <si>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</si>
  <si>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</si>
  <si>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</si>
  <si>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</si>
  <si>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</si>
  <si>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</si>
  <si>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</si>
  <si>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</si>
  <si>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</si>
  <si>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</si>
  <si>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</si>
  <si>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</si>
  <si>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</si>
  <si>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</si>
  <si>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</si>
  <si>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</si>
  <si>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</si>
  <si>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</si>
  <si>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</si>
  <si>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</si>
  <si>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</si>
  <si>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</si>
  <si>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</si>
  <si>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</si>
  <si>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</si>
  <si>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</si>
  <si>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</si>
  <si>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</si>
  <si>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</si>
  <si>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</si>
  <si>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</si>
  <si>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</si>
  <si>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</si>
  <si>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</si>
  <si>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</si>
  <si>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</si>
  <si>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</si>
  <si>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</si>
  <si>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</si>
  <si>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</si>
  <si>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</si>
  <si>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</si>
  <si>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</si>
  <si>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</si>
  <si>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</si>
  <si>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</si>
  <si>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</si>
  <si>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</si>
  <si>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</si>
  <si>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</si>
  <si>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</si>
  <si>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</si>
  <si>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</si>
  <si>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</si>
  <si>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</si>
  <si>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</si>
  <si>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</si>
  <si>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</si>
  <si>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</si>
  <si>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</si>
  <si>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</si>
  <si>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</si>
  <si>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</si>
  <si>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</si>
  <si>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</si>
  <si>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</si>
  <si>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</si>
  <si>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</si>
  <si>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</si>
  <si>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</si>
  <si>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</si>
  <si>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</si>
  <si>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</si>
  <si>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</si>
  <si>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</si>
  <si>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</si>
  <si>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</si>
  <si>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</si>
  <si>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</si>
  <si>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</si>
  <si>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</si>
  <si>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</si>
  <si>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</si>
  <si>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</si>
  <si>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</si>
  <si>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</si>
  <si>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</si>
  <si>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</si>
  <si>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</si>
  <si>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</si>
  <si>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</si>
  <si>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</si>
  <si>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</si>
  <si>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</si>
  <si>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</si>
  <si>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</si>
  <si>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</si>
  <si>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</si>
  <si>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</si>
  <si>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</si>
  <si>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</si>
  <si>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</si>
  <si>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</si>
  <si>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</si>
  <si>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</si>
  <si>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</si>
  <si>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</si>
  <si>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</si>
  <si>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</si>
  <si>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</si>
  <si>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</si>
  <si>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</si>
  <si>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</si>
  <si>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</si>
  <si>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</si>
  <si>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</si>
  <si>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</si>
  <si>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</si>
  <si>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</si>
  <si>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</si>
  <si>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</si>
  <si>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</si>
  <si>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</si>
  <si>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</si>
  <si>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</si>
  <si>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</si>
  <si>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</si>
  <si>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</si>
  <si>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</si>
  <si>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</si>
  <si>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</si>
  <si>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</si>
  <si>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</si>
  <si>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</si>
  <si>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</si>
  <si>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</si>
  <si>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</si>
  <si>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</si>
  <si>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</si>
  <si>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</si>
  <si>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</si>
  <si>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</si>
  <si>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</si>
  <si>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</si>
  <si>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</si>
  <si>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</si>
  <si>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</si>
  <si>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</si>
  <si>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</si>
  <si>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</si>
  <si>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</si>
  <si>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</si>
  <si>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</si>
  <si>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</si>
  <si>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</si>
  <si>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</si>
  <si>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</si>
  <si>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</si>
  <si>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</si>
  <si>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</si>
  <si>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</si>
  <si>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</si>
  <si>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</si>
  <si>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</si>
  <si>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</si>
  <si>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</si>
  <si>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</si>
  <si>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</si>
  <si>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</si>
  <si>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</si>
  <si>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</si>
  <si>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</si>
  <si>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</si>
  <si>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</si>
  <si>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</si>
  <si>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</si>
  <si>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</si>
  <si>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</si>
  <si>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</si>
  <si>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</si>
  <si>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</si>
  <si>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</si>
  <si>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</si>
  <si>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</si>
  <si>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</si>
  <si>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</si>
  <si>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</si>
  <si>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</si>
  <si>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</si>
  <si>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</si>
  <si>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</si>
  <si>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</si>
  <si>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</si>
  <si>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</si>
  <si>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</si>
  <si>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</si>
  <si>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</si>
  <si>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</si>
  <si>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</si>
  <si>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</si>
  <si>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</si>
  <si>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</si>
  <si>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</si>
  <si>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</si>
  <si>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</si>
  <si>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</si>
  <si>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</si>
  <si>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</si>
  <si>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</si>
  <si>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</si>
  <si>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</si>
  <si>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</si>
  <si>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</si>
  <si>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</si>
  <si>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</si>
  <si>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</si>
  <si>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</si>
  <si>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</si>
  <si>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</si>
  <si>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</si>
  <si>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</si>
  <si>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</si>
  <si>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</si>
  <si>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</si>
  <si>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</si>
  <si>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</si>
  <si>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</si>
  <si>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</si>
  <si>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</si>
  <si>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</si>
  <si>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</si>
  <si>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</si>
  <si>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</si>
  <si>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</si>
  <si>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</si>
  <si>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</si>
  <si>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</si>
  <si>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</si>
  <si>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</si>
  <si>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</si>
  <si>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</si>
  <si>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</si>
  <si>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</si>
  <si>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</si>
  <si>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</si>
  <si>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</si>
  <si>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</si>
  <si>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</si>
  <si>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</si>
  <si>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</si>
  <si>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</si>
  <si>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</si>
  <si>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</si>
  <si>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</si>
  <si>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</si>
  <si>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</si>
  <si>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</si>
  <si>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</si>
  <si>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</si>
  <si>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</si>
  <si>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</si>
  <si>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</si>
  <si>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</si>
  <si>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</si>
  <si>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</si>
  <si>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</si>
  <si>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</si>
  <si>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</si>
  <si>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</si>
  <si>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</si>
  <si>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</si>
  <si>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</si>
  <si>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</si>
  <si>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</si>
  <si>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</si>
  <si>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</si>
  <si>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</si>
  <si>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</si>
  <si>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</si>
  <si>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</si>
  <si>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</si>
  <si>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</si>
  <si>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</si>
  <si>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</si>
  <si>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</si>
  <si>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</si>
  <si>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</si>
  <si>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</si>
  <si>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</si>
  <si>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</si>
  <si>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</si>
  <si>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</si>
  <si>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</si>
  <si>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</si>
  <si>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</si>
  <si>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</si>
  <si>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</si>
  <si>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</si>
  <si>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</si>
  <si>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</si>
  <si>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</si>
  <si>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</si>
  <si>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</si>
  <si>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</si>
  <si>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</si>
  <si>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</si>
  <si>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</si>
  <si>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</si>
  <si>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</si>
  <si>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</si>
  <si>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</si>
  <si>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</si>
  <si>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</si>
  <si>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</si>
  <si>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</si>
  <si>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</si>
  <si>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</si>
  <si>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</si>
  <si>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</si>
  <si>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</si>
  <si>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</si>
  <si>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</si>
  <si>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</si>
  <si>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</si>
  <si>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</si>
  <si>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</si>
  <si>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</si>
  <si>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</si>
  <si>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</si>
  <si>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</si>
  <si>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</si>
  <si>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</si>
  <si>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</si>
  <si>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</si>
  <si>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</si>
  <si>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</si>
  <si>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</si>
  <si>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</si>
  <si>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</si>
  <si>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</si>
  <si>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</si>
  <si>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</si>
  <si>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</si>
  <si>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</si>
  <si>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</si>
  <si>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</si>
  <si>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</si>
  <si>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</si>
  <si>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</si>
  <si>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</si>
  <si>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</si>
  <si>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</si>
  <si>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</si>
  <si>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</si>
  <si>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</si>
  <si>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</si>
  <si>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</si>
  <si>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</si>
  <si>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</si>
  <si>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</si>
  <si>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</si>
  <si>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</si>
  <si>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</si>
  <si>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</si>
  <si>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</si>
  <si>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</si>
  <si>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</si>
  <si>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</si>
  <si>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</si>
  <si>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</si>
  <si>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</si>
  <si>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</si>
  <si>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</si>
  <si>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</si>
  <si>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</si>
  <si>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</si>
  <si>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</si>
  <si>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</si>
  <si>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</si>
  <si>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</si>
  <si>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</si>
  <si>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</si>
  <si>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</si>
  <si>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</si>
  <si>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</si>
  <si>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</si>
  <si>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</si>
  <si>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</si>
  <si>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</si>
  <si>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</si>
  <si>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</si>
  <si>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</si>
  <si>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</si>
  <si>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</si>
  <si>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</si>
  <si>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</si>
  <si>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</si>
  <si>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</si>
  <si>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</si>
  <si>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</si>
  <si>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</si>
  <si>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</si>
  <si>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</si>
  <si>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</si>
  <si>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</si>
  <si>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</si>
  <si>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</si>
  <si>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</si>
  <si>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</si>
  <si>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</si>
  <si>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</si>
  <si>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</si>
  <si>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</si>
  <si>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</si>
  <si>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</si>
  <si>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</si>
  <si>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</si>
  <si>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</si>
  <si>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</si>
  <si>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</si>
  <si>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</si>
  <si>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</si>
  <si>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</si>
  <si>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</si>
  <si>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</si>
  <si>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</si>
  <si>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</si>
  <si>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</si>
  <si>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</si>
  <si>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</si>
  <si>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</si>
  <si>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</si>
  <si>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</si>
  <si>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</si>
  <si>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</si>
  <si>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</si>
  <si>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</si>
  <si>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</si>
  <si>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</si>
  <si>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</si>
  <si>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</si>
  <si>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</si>
  <si>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</si>
  <si>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</si>
  <si>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</si>
  <si>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</si>
  <si>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</si>
  <si>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</si>
  <si>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</si>
  <si>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</si>
  <si>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</si>
  <si>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</si>
  <si>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</si>
  <si>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</si>
  <si>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</si>
  <si>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</si>
  <si>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</si>
  <si>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</si>
  <si>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</si>
  <si>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</si>
  <si>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</si>
  <si>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</si>
  <si>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</si>
  <si>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</si>
  <si>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</si>
  <si>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</si>
  <si>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</si>
  <si>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</si>
  <si>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</si>
  <si>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</si>
  <si>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</si>
  <si>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</si>
  <si>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</si>
  <si>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</si>
  <si>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</si>
  <si>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</si>
  <si>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</si>
  <si>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</si>
  <si>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</si>
  <si>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</si>
  <si>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</si>
  <si>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</si>
  <si>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</si>
  <si>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</si>
  <si>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</si>
  <si>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</si>
  <si>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</si>
  <si>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</si>
  <si>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</si>
  <si>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</si>
  <si>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</si>
  <si>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</si>
  <si>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</si>
  <si>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</si>
  <si>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</si>
  <si>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</si>
  <si>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</si>
  <si>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</si>
  <si>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</si>
  <si>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</si>
  <si>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</si>
  <si>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</si>
  <si>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</si>
  <si>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</si>
  <si>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</si>
  <si>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</si>
  <si>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</si>
  <si>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</si>
  <si>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</si>
  <si>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</si>
  <si>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</si>
  <si>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</si>
  <si>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</si>
  <si>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</si>
  <si>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</si>
  <si>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</si>
  <si>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</si>
  <si>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</si>
  <si>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</si>
  <si>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</si>
  <si>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</si>
  <si>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</si>
  <si>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</si>
  <si>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</si>
  <si>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</si>
  <si>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</si>
  <si>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</si>
  <si>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</si>
  <si>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</si>
  <si>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</si>
  <si>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</si>
  <si>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</si>
  <si>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</si>
  <si>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</si>
  <si>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</si>
  <si>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</si>
  <si>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</si>
  <si>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</si>
  <si>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</si>
  <si>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</si>
  <si>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</si>
  <si>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</si>
  <si>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</si>
  <si>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</si>
  <si>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</si>
  <si>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</si>
  <si>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</si>
  <si>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</si>
  <si>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</si>
  <si>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</si>
  <si>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</si>
  <si>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</si>
  <si>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</si>
  <si>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</si>
  <si>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</si>
  <si>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</si>
  <si>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</si>
  <si>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</si>
  <si>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</si>
  <si>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</si>
  <si>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</si>
  <si>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</si>
  <si>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</si>
  <si>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</si>
  <si>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</si>
  <si>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</si>
  <si>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</si>
  <si>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</si>
  <si>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</si>
  <si>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</si>
  <si>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</si>
  <si>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</si>
  <si>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</si>
  <si>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</si>
  <si>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</si>
  <si>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</si>
  <si>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</si>
  <si>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</si>
  <si>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</si>
  <si>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</si>
  <si>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</si>
  <si>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</si>
  <si>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</si>
  <si>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</si>
  <si>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</si>
  <si>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</si>
  <si>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</si>
  <si>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</si>
  <si>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</si>
  <si>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</si>
  <si>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</si>
  <si>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</si>
  <si>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</si>
  <si>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</si>
  <si>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</si>
  <si>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</si>
  <si>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</si>
  <si>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</si>
  <si>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</si>
  <si>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</si>
  <si>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</si>
  <si>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</si>
  <si>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</si>
  <si>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</si>
  <si>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</si>
  <si>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</si>
  <si>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</si>
  <si>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</si>
  <si>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</si>
  <si>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</si>
  <si>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</si>
  <si>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</si>
  <si>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</si>
  <si>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</si>
  <si>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</si>
  <si>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</si>
  <si>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</si>
  <si>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</si>
  <si>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</si>
  <si>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</si>
  <si>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</si>
  <si>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</si>
  <si>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</si>
  <si>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</si>
  <si>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</si>
  <si>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</si>
  <si>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</si>
  <si>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</si>
  <si>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</si>
  <si>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</si>
  <si>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</si>
  <si>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</si>
  <si>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</si>
  <si>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</si>
  <si>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</si>
  <si>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</si>
  <si>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</si>
  <si>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</si>
  <si>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</si>
  <si>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</si>
  <si>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</si>
  <si>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</si>
  <si>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</si>
  <si>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</si>
  <si>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</si>
  <si>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</si>
  <si>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</si>
  <si>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</si>
  <si>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</si>
  <si>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</si>
  <si>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</si>
  <si>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</si>
  <si>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</si>
  <si>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</si>
  <si>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</si>
  <si>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</si>
  <si>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</si>
  <si>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</si>
  <si>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</si>
  <si>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</si>
  <si>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</si>
  <si>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</si>
  <si>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</si>
  <si>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</si>
  <si>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</si>
  <si>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</si>
  <si>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</si>
  <si>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</si>
  <si>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</si>
  <si>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</si>
  <si>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</si>
  <si>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</si>
  <si>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</si>
  <si>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</si>
  <si>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</si>
  <si>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</si>
  <si>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</si>
  <si>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</si>
  <si>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</si>
  <si>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</si>
  <si>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</si>
  <si>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</si>
  <si>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</si>
  <si>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</si>
  <si>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</si>
  <si>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</si>
  <si>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</si>
  <si>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</si>
  <si>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</si>
  <si>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</si>
  <si>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</si>
  <si>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</si>
  <si>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</si>
  <si>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</si>
  <si>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</si>
  <si>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</si>
  <si>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</si>
  <si>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</si>
  <si>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</si>
  <si>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</si>
  <si>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</si>
  <si>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</si>
  <si>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</si>
  <si>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</si>
  <si>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</si>
  <si>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</si>
  <si>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</si>
  <si>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</si>
  <si>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</si>
  <si>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</si>
  <si>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</si>
  <si>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</si>
  <si>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</si>
  <si>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</si>
  <si>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</si>
  <si>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</si>
  <si>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</si>
  <si>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</si>
  <si>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</si>
  <si>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</si>
  <si>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</si>
  <si>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</si>
  <si>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</si>
  <si>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</si>
  <si>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</si>
  <si>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</si>
  <si>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</si>
  <si>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</si>
  <si>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</si>
  <si>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</si>
  <si>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</si>
  <si>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</si>
  <si>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</si>
  <si>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</si>
  <si>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</si>
  <si>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</si>
  <si>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</si>
  <si>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</si>
  <si>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</si>
  <si>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</si>
  <si>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</si>
  <si>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</si>
  <si>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</si>
  <si>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</si>
  <si>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</si>
  <si>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</si>
  <si>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</si>
  <si>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</si>
  <si>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</si>
  <si>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</si>
  <si>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</si>
  <si>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</si>
  <si>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</si>
  <si>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</si>
  <si>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</si>
  <si>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</si>
  <si>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</si>
  <si>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</si>
  <si>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</si>
  <si>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</si>
  <si>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</si>
  <si>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</si>
  <si>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</si>
  <si>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</si>
  <si>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</si>
  <si>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</si>
  <si>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</si>
  <si>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</si>
  <si>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</si>
  <si>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</si>
  <si>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</si>
  <si>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</si>
  <si>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</si>
  <si>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</si>
  <si>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</si>
  <si>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</si>
  <si>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</si>
  <si>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</si>
  <si>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</si>
  <si>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</si>
  <si>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</si>
  <si>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</si>
  <si>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</si>
  <si>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</si>
  <si>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</si>
  <si>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</si>
  <si>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</si>
  <si>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</si>
  <si>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</si>
  <si>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</si>
  <si>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</si>
  <si>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</si>
  <si>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</si>
  <si>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</si>
  <si>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</si>
  <si>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</si>
  <si>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</si>
  <si>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</si>
  <si>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</si>
  <si>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</si>
  <si>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</si>
  <si>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</si>
  <si>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</si>
  <si>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</si>
  <si>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</si>
  <si>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</si>
  <si>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</si>
  <si>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</si>
  <si>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</si>
  <si>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</si>
  <si>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</si>
  <si>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</si>
  <si>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</si>
  <si>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</si>
  <si>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</si>
  <si>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</si>
  <si>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</si>
  <si>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</si>
  <si>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</si>
  <si>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</si>
  <si>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</si>
  <si>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</si>
  <si>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</si>
  <si>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</si>
  <si>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</si>
  <si>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</si>
  <si>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</si>
  <si>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</si>
  <si>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</si>
  <si>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</si>
  <si>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</si>
  <si>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</si>
  <si>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</si>
  <si>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</si>
  <si>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</si>
  <si>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</si>
  <si>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</si>
  <si>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</si>
  <si>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</si>
  <si>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</si>
  <si>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</si>
  <si>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</si>
  <si>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</si>
  <si>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</si>
  <si>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</si>
  <si>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</si>
  <si>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</si>
  <si>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</si>
  <si>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</si>
  <si>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</si>
  <si>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</si>
  <si>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</si>
  <si>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</si>
  <si>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</si>
  <si>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</si>
  <si>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</si>
  <si>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</si>
  <si>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</si>
  <si>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</si>
  <si>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</si>
  <si>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</si>
  <si>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</si>
  <si>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</si>
  <si>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</si>
  <si>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</si>
  <si>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</si>
  <si>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</si>
  <si>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</si>
  <si>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</si>
  <si>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</si>
  <si>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</si>
  <si>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</si>
  <si>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</si>
  <si>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</si>
  <si>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</si>
  <si>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</si>
  <si>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</si>
  <si>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</si>
  <si>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</si>
  <si>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</si>
  <si>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</si>
  <si>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</si>
  <si>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</si>
  <si>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</si>
  <si>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</si>
  <si>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</si>
  <si>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</si>
  <si>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</si>
  <si>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</si>
  <si>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</si>
  <si>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</si>
  <si>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</si>
  <si>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</si>
  <si>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</si>
  <si>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</si>
  <si>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</si>
  <si>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</si>
  <si>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</si>
  <si>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</si>
  <si>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</si>
  <si>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</si>
  <si>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</si>
  <si>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</si>
  <si>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</si>
  <si>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</si>
  <si>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</si>
  <si>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</si>
  <si>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</si>
  <si>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</si>
  <si>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</si>
  <si>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</si>
  <si>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</si>
  <si>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</si>
  <si>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</si>
  <si>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</si>
  <si>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</si>
  <si>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</si>
  <si>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</si>
  <si>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</si>
  <si>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</si>
  <si>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</si>
  <si>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</si>
  <si>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</si>
  <si>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</si>
  <si>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</si>
  <si>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</si>
  <si>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</si>
  <si>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</si>
  <si>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</si>
  <si>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</si>
  <si>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</si>
  <si>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</si>
  <si>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</si>
  <si>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</si>
  <si>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</si>
  <si>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</si>
  <si>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</si>
  <si>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</si>
  <si>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</si>
  <si>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</si>
  <si>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</si>
  <si>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</si>
  <si>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</si>
  <si>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</si>
  <si>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</si>
  <si>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</si>
  <si>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</si>
  <si>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</si>
  <si>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</si>
  <si>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</si>
  <si>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</si>
  <si>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</si>
  <si>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</si>
  <si>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</si>
  <si>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</si>
  <si>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</si>
  <si>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</si>
  <si>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</si>
  <si>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</si>
  <si>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</si>
  <si>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</si>
  <si>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</si>
  <si>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</si>
  <si>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</si>
  <si>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</si>
  <si>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</si>
  <si>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</si>
  <si>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</si>
  <si>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</si>
  <si>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</si>
  <si>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</si>
  <si>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</si>
  <si>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</si>
  <si>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</si>
  <si>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</si>
  <si>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</si>
  <si>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</si>
  <si>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</si>
  <si>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</si>
  <si>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</si>
  <si>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</si>
  <si>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</si>
  <si>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</si>
  <si>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</si>
  <si>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</si>
  <si>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</si>
  <si>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</si>
  <si>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</si>
  <si>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</si>
  <si>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</si>
  <si>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</si>
  <si>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</si>
  <si>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</si>
  <si>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</si>
  <si>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</si>
  <si>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</si>
  <si>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</si>
  <si>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</si>
  <si>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</si>
  <si>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</si>
  <si>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</si>
  <si>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</si>
  <si>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</si>
  <si>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</si>
  <si>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</si>
  <si>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</si>
  <si>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</si>
  <si>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</si>
  <si>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</si>
  <si>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</si>
  <si>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</si>
  <si>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</si>
  <si>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</si>
  <si>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</si>
  <si>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</si>
  <si>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</si>
  <si>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</si>
  <si>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</si>
  <si>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</si>
  <si>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</si>
  <si>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</si>
  <si>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</si>
  <si>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</si>
  <si>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</si>
  <si>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</si>
  <si>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</si>
  <si>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</si>
  <si>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</si>
  <si>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</si>
  <si>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</si>
  <si>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</si>
  <si>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</si>
  <si>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</si>
  <si>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</si>
  <si>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</si>
  <si>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</si>
  <si>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</si>
  <si>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</si>
  <si>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</si>
  <si>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</si>
  <si>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</si>
  <si>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</si>
  <si>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</si>
  <si>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</si>
  <si>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</si>
  <si>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</si>
  <si>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</si>
  <si>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</si>
  <si>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</si>
  <si>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</si>
  <si>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</si>
  <si>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</si>
  <si>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</si>
  <si>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</si>
  <si>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</si>
  <si>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</si>
  <si>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</si>
  <si>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</si>
  <si>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</si>
  <si>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</si>
  <si>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</si>
  <si>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</si>
  <si>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</si>
  <si>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</si>
  <si>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</si>
  <si>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</si>
  <si>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</si>
  <si>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</si>
  <si>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</si>
  <si>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</si>
  <si>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</si>
  <si>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</si>
  <si>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</si>
  <si>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</si>
  <si>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</si>
  <si>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</si>
  <si>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</si>
  <si>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</si>
  <si>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</si>
  <si>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</si>
  <si>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</si>
  <si>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</si>
  <si>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</si>
  <si>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</si>
  <si>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</si>
  <si>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</si>
  <si>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</si>
  <si>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</si>
  <si>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</si>
  <si>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</si>
  <si>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</si>
  <si>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</si>
  <si>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</si>
  <si>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</si>
  <si>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</si>
  <si>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</si>
  <si>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</si>
  <si>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</si>
  <si>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</si>
  <si>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</si>
  <si>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</si>
  <si>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</si>
  <si>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</si>
  <si>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</si>
  <si>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</si>
  <si>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</si>
  <si>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</si>
  <si>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</si>
  <si>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</si>
  <si>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</si>
  <si>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</si>
  <si>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</si>
  <si>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</si>
  <si>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</si>
  <si>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</si>
  <si>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</si>
  <si>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</si>
  <si>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</si>
  <si>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</si>
  <si>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</si>
  <si>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</si>
  <si>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</si>
  <si>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</si>
  <si>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</si>
  <si>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</si>
  <si>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</si>
  <si>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</si>
  <si>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</si>
  <si>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</si>
  <si>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</si>
  <si>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</si>
  <si>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</si>
  <si>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</si>
  <si>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</si>
  <si>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</si>
  <si>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</si>
  <si>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</si>
  <si>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</si>
  <si>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</si>
  <si>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</si>
  <si>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</si>
  <si>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</si>
  <si>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</si>
  <si>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</si>
  <si>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</si>
  <si>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</si>
  <si>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</si>
  <si>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</si>
  <si>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</si>
  <si>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</si>
  <si>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</si>
  <si>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</si>
  <si>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</si>
  <si>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</si>
  <si>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</si>
  <si>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</si>
  <si>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</si>
  <si>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</si>
  <si>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</si>
  <si>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</si>
  <si>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</si>
  <si>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</si>
  <si>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</si>
  <si>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</si>
  <si>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</si>
  <si>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</si>
  <si>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</si>
  <si>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</si>
  <si>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</si>
  <si>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</si>
  <si>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</si>
  <si>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</si>
  <si>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</si>
  <si>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</si>
  <si>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</si>
  <si>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</si>
  <si>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</si>
  <si>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</si>
  <si>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</si>
  <si>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</si>
  <si>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</si>
  <si>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</si>
  <si>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</si>
  <si>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</si>
  <si>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</si>
  <si>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</si>
  <si>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</si>
  <si>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</si>
  <si>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</si>
  <si>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</si>
  <si>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</si>
  <si>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</si>
  <si>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</si>
  <si>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</si>
  <si>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</si>
  <si>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</si>
  <si>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</si>
  <si>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</si>
  <si>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</si>
  <si>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</si>
  <si>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</si>
  <si>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</si>
  <si>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</si>
  <si>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</si>
  <si>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</si>
  <si>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</si>
  <si>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</si>
  <si>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</si>
  <si>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</si>
  <si>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</si>
  <si>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</si>
  <si>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</si>
  <si>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</si>
  <si>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</si>
  <si>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</si>
  <si>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</si>
  <si>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</si>
  <si>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</si>
  <si>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</si>
  <si>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</si>
  <si>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</si>
  <si>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</si>
  <si>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</si>
  <si>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</si>
  <si>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</si>
  <si>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</si>
  <si>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</si>
  <si>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</si>
  <si>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</si>
  <si>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</si>
  <si>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</si>
  <si>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</si>
  <si>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</si>
  <si>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</si>
  <si>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</si>
  <si>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</si>
  <si>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</si>
  <si>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</si>
  <si>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</si>
  <si>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</si>
  <si>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</si>
  <si>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</si>
  <si>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</si>
  <si>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</si>
  <si>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</si>
  <si>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</si>
  <si>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</si>
  <si>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</si>
  <si>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</si>
  <si>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</si>
  <si>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</si>
  <si>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</si>
  <si>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</si>
  <si>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</si>
  <si>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</si>
  <si>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</si>
  <si>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</si>
  <si>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</si>
  <si>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</si>
  <si>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</si>
  <si>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</si>
  <si>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</si>
  <si>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</si>
  <si>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</si>
  <si>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</si>
  <si>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</si>
  <si>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</si>
  <si>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</si>
  <si>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</si>
  <si>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</si>
  <si>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</si>
  <si>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</si>
  <si>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</si>
  <si>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</si>
  <si>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</si>
  <si>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</si>
  <si>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</si>
  <si>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</si>
  <si>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</si>
  <si>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</si>
  <si>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</si>
  <si>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</si>
  <si>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</si>
  <si>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</si>
  <si>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</si>
  <si>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</si>
  <si>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</si>
  <si>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</si>
  <si>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</si>
  <si>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</si>
  <si>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</si>
  <si>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</si>
  <si>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</si>
  <si>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</si>
  <si>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</si>
  <si>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</si>
  <si>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</si>
  <si>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</si>
  <si>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</si>
  <si>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</si>
  <si>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</si>
  <si>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</si>
  <si>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</si>
  <si>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</si>
  <si>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</si>
  <si>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</si>
  <si>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</si>
  <si>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</si>
  <si>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</si>
  <si>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</si>
  <si>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</si>
  <si>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</si>
  <si>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</si>
  <si>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</si>
  <si>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</si>
  <si>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</si>
  <si>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</si>
  <si>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</si>
  <si>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</si>
  <si>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</si>
  <si>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</si>
  <si>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</si>
  <si>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</si>
  <si>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</si>
  <si>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</si>
  <si>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</si>
  <si>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</si>
  <si>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</si>
  <si>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</si>
  <si>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</si>
  <si>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</si>
  <si>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</si>
  <si>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</si>
  <si>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</si>
  <si>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</si>
  <si>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</si>
  <si>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</si>
  <si>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</si>
  <si>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</si>
  <si>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</si>
  <si>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</si>
  <si>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</si>
  <si>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</si>
  <si>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</si>
  <si>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</si>
  <si>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</si>
  <si>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</si>
  <si>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</si>
  <si>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</si>
  <si>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</si>
  <si>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</si>
  <si>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</si>
  <si>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</si>
  <si>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</si>
  <si>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</si>
  <si>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</si>
  <si>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</si>
  <si>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</si>
  <si>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</si>
  <si>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</si>
  <si>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</si>
  <si>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</si>
  <si>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</si>
  <si>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</si>
  <si>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</si>
  <si>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</si>
  <si>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</si>
  <si>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</si>
  <si>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</si>
  <si>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</si>
  <si>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</si>
  <si>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</si>
  <si>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</si>
  <si>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</si>
  <si>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</si>
  <si>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</si>
  <si>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</si>
  <si>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</si>
  <si>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</si>
  <si>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</si>
  <si>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</si>
  <si>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</si>
  <si>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</si>
  <si>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</si>
  <si>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</si>
  <si>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</si>
  <si>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</si>
  <si>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</si>
  <si>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</si>
  <si>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</si>
  <si>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</si>
  <si>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</si>
  <si>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</si>
  <si>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</si>
  <si>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</si>
  <si>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</si>
  <si>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</si>
  <si>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</si>
  <si>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</si>
  <si>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</si>
  <si>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</si>
  <si>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</si>
  <si>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</si>
  <si>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</si>
  <si>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</si>
  <si>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</si>
  <si>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</si>
  <si>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</si>
  <si>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</si>
  <si>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</si>
  <si>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</si>
  <si>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</si>
  <si>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</si>
  <si>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</si>
  <si>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</si>
  <si>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</si>
  <si>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</si>
  <si>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</si>
  <si>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</si>
  <si>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</si>
  <si>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</si>
  <si>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</si>
  <si>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</si>
  <si>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</si>
  <si>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</si>
  <si>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</si>
  <si>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</si>
  <si>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</si>
  <si>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</si>
  <si>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</si>
  <si>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</si>
  <si>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</si>
  <si>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</si>
  <si>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</si>
  <si>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</si>
  <si>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</si>
  <si>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</si>
  <si>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</si>
  <si>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</si>
  <si>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</si>
  <si>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</si>
  <si>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</si>
  <si>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</si>
  <si>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</si>
  <si>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</si>
  <si>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</si>
  <si>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</si>
  <si>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</si>
  <si>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</si>
  <si>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</si>
  <si>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</si>
  <si>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</si>
  <si>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</si>
  <si>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</si>
  <si>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</si>
  <si>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</si>
  <si>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</si>
  <si>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</si>
  <si>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</si>
  <si>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</si>
  <si>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</si>
  <si>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</si>
  <si>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</si>
  <si>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</si>
  <si>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</si>
  <si>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</si>
  <si>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</si>
  <si>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</si>
  <si>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</si>
  <si>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</si>
  <si>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</si>
  <si>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</si>
  <si>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</si>
  <si>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</si>
  <si>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</si>
  <si>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</si>
  <si>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</si>
  <si>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</si>
  <si>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</si>
  <si>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</si>
  <si>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</si>
  <si>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</si>
  <si>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</si>
  <si>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</si>
  <si>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</si>
  <si>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</si>
  <si>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</si>
  <si>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</si>
  <si>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</si>
  <si>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</si>
  <si>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</si>
  <si>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</si>
  <si>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</si>
  <si>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</si>
  <si>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</si>
  <si>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</si>
  <si>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</si>
  <si>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</si>
  <si>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</si>
  <si>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</si>
  <si>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</si>
  <si>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</si>
  <si>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</si>
  <si>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</si>
  <si>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</si>
  <si>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</si>
  <si>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</si>
  <si>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</si>
  <si>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</si>
  <si>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</si>
  <si>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</si>
  <si>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</si>
  <si>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</si>
  <si>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</si>
  <si>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</si>
  <si>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</si>
  <si>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</si>
  <si>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</si>
  <si>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</si>
  <si>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</si>
  <si>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</si>
  <si>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</si>
  <si>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</si>
  <si>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</si>
  <si>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</si>
  <si>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</si>
  <si>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</si>
  <si>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</si>
  <si>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</si>
  <si>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</si>
  <si>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</si>
  <si>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</si>
  <si>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</si>
  <si>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</si>
  <si>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</si>
  <si>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</si>
  <si>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</si>
  <si>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</si>
  <si>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</si>
  <si>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</si>
  <si>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</si>
  <si>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</si>
  <si>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</si>
  <si>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</si>
  <si>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</si>
  <si>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</si>
  <si>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</si>
  <si>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</si>
  <si>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</si>
  <si>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</si>
  <si>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</si>
  <si>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</si>
  <si>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</si>
  <si>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</si>
  <si>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</si>
  <si>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</si>
  <si>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</si>
  <si>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</si>
  <si>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</si>
  <si>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</si>
  <si>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</si>
  <si>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</si>
  <si>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</si>
  <si>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</si>
  <si>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</si>
  <si>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</si>
  <si>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</si>
  <si>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</si>
  <si>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</si>
  <si>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</si>
  <si>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</si>
  <si>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</si>
  <si>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</si>
  <si>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</si>
  <si>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</si>
  <si>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</si>
  <si>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</si>
  <si>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</si>
  <si>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</si>
  <si>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</si>
  <si>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</si>
  <si>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</si>
  <si>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</si>
  <si>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</si>
  <si>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</si>
  <si>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</si>
  <si>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</si>
  <si>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</si>
  <si>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</si>
  <si>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</si>
  <si>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</si>
  <si>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</si>
  <si>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</si>
  <si>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</si>
  <si>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</si>
  <si>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</si>
  <si>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</si>
  <si>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</si>
  <si>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</si>
  <si>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</si>
  <si>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</si>
  <si>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</si>
  <si>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</si>
  <si>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</si>
  <si>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</si>
  <si>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</si>
  <si>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</si>
  <si>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</si>
  <si>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</si>
  <si>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</si>
  <si>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</si>
  <si>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</si>
  <si>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</si>
  <si>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</si>
  <si>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</si>
  <si>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</si>
  <si>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</si>
  <si>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</si>
  <si>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</si>
  <si>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</si>
  <si>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</si>
  <si>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</si>
  <si>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</si>
  <si>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</si>
  <si>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</si>
  <si>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</si>
  <si>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</si>
  <si>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</si>
  <si>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</si>
  <si>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</si>
  <si>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</si>
  <si>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</si>
  <si>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</si>
  <si>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</si>
  <si>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</si>
  <si>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</si>
  <si>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</si>
  <si>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</si>
  <si>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</si>
  <si>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</si>
  <si>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</si>
  <si>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</si>
  <si>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</si>
  <si>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</si>
  <si>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</si>
  <si>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</si>
  <si>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</si>
  <si>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</si>
  <si>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</si>
  <si>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</si>
  <si>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</si>
  <si>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</si>
  <si>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</si>
  <si>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</si>
  <si>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</si>
  <si>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</si>
  <si>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</si>
  <si>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</si>
  <si>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</si>
  <si>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</si>
  <si>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</si>
  <si>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</si>
  <si>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</si>
  <si>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</si>
  <si>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</si>
  <si>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</si>
  <si>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</si>
  <si>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</si>
  <si>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</si>
  <si>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</si>
  <si>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</si>
  <si>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</si>
  <si>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</si>
  <si>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</si>
  <si>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</si>
  <si>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</si>
  <si>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</si>
  <si>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</si>
  <si>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</si>
  <si>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</si>
  <si>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</si>
  <si>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</si>
  <si>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</si>
  <si>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</si>
  <si>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</si>
  <si>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</si>
  <si>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</si>
  <si>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</si>
  <si>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</si>
  <si>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</si>
  <si>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</si>
  <si>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</si>
  <si>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</si>
  <si>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</si>
  <si>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</si>
  <si>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</si>
  <si>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</si>
  <si>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</si>
  <si>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</si>
  <si>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</si>
  <si>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</si>
  <si>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</si>
  <si>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</si>
  <si>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</si>
  <si>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</si>
  <si>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</si>
  <si>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</si>
  <si>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</si>
  <si>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</si>
  <si>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</si>
  <si>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</si>
  <si>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</si>
  <si>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</si>
  <si>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</si>
  <si>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</si>
  <si>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</si>
  <si>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</si>
  <si>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</si>
  <si>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</si>
  <si>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</si>
  <si>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</si>
  <si>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</si>
  <si>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</si>
  <si>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</si>
  <si>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</si>
  <si>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</si>
  <si>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</si>
  <si>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</si>
  <si>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</si>
  <si>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</si>
  <si>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</si>
  <si>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</si>
  <si>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</si>
  <si>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</si>
  <si>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</si>
  <si>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</si>
  <si>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</si>
  <si>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</si>
  <si>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</si>
  <si>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</si>
  <si>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</si>
  <si>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</si>
  <si>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</si>
  <si>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</si>
  <si>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</si>
  <si>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</si>
  <si>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</si>
  <si>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</si>
  <si>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</si>
  <si>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</si>
  <si>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</si>
  <si>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</si>
  <si>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</si>
  <si>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</si>
  <si>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</si>
  <si>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</si>
  <si>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</si>
  <si>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</si>
  <si>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</si>
  <si>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</si>
  <si>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</si>
  <si>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</si>
  <si>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</si>
  <si>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</si>
  <si>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</si>
  <si>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</si>
  <si>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</si>
  <si>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</si>
  <si>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</si>
  <si>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</si>
  <si>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</si>
  <si>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</si>
  <si>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</si>
  <si>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</si>
  <si>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</si>
  <si>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</si>
  <si>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</si>
  <si>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</si>
  <si>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</si>
  <si>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</si>
  <si>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</si>
  <si>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</si>
  <si>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</si>
  <si>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</si>
  <si>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</si>
  <si>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</si>
  <si>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</si>
  <si>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</si>
  <si>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</si>
  <si>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</si>
  <si>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</si>
  <si>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</si>
  <si>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</si>
  <si>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</si>
  <si>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</si>
  <si>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</si>
  <si>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</si>
  <si>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</si>
  <si>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</si>
  <si>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</si>
  <si>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</si>
  <si>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</si>
  <si>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</si>
  <si>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</si>
  <si>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</si>
  <si>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</si>
  <si>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</si>
  <si>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</si>
  <si>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</si>
  <si>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</si>
  <si>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</si>
  <si>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</si>
  <si>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</si>
  <si>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</si>
  <si>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</si>
  <si>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</si>
  <si>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</si>
  <si>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</si>
  <si>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</si>
  <si>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</si>
  <si>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</si>
  <si>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</si>
  <si>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</si>
  <si>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</si>
  <si>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</si>
  <si>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</si>
  <si>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</si>
  <si>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</si>
  <si>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</si>
  <si>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</si>
  <si>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</si>
  <si>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</si>
  <si>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</si>
  <si>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</si>
  <si>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</si>
  <si>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</si>
  <si>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</si>
  <si>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</si>
  <si>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</si>
  <si>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</si>
  <si>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</si>
  <si>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</si>
  <si>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</si>
  <si>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</si>
  <si>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</si>
  <si>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</si>
  <si>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</si>
  <si>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</si>
  <si>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</si>
  <si>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</si>
  <si>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</si>
  <si>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</si>
  <si>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</si>
  <si>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</si>
  <si>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</si>
  <si>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</si>
  <si>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</si>
  <si>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</si>
  <si>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</si>
  <si>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</si>
  <si>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</si>
  <si>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</si>
  <si>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</si>
  <si>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</si>
  <si>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</si>
  <si>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</si>
  <si>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</si>
  <si>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</si>
  <si>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</si>
  <si>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</si>
  <si>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</si>
  <si>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</si>
  <si>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</si>
  <si>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</si>
  <si>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</si>
  <si>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</si>
  <si>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</si>
  <si>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</si>
  <si>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</si>
  <si>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</si>
  <si>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</si>
  <si>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</si>
  <si>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</si>
  <si>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</si>
  <si>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</si>
  <si>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</si>
  <si>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</si>
  <si>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</si>
  <si>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</si>
  <si>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</si>
  <si>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</si>
  <si>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</si>
  <si>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</si>
  <si>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</si>
  <si>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</si>
  <si>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</si>
  <si>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</si>
  <si>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</si>
  <si>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</si>
  <si>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</si>
  <si>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</si>
  <si>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</si>
  <si>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</si>
  <si>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</si>
  <si>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</si>
  <si>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</si>
  <si>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</si>
  <si>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</si>
  <si>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</si>
  <si>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</si>
  <si>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</si>
  <si>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</si>
  <si>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</si>
  <si>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</si>
  <si>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</si>
  <si>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</si>
  <si>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</si>
  <si>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</si>
  <si>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</si>
  <si>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</si>
  <si>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</si>
  <si>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</si>
  <si>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</si>
  <si>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</si>
  <si>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</si>
  <si>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</si>
  <si>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</si>
  <si>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</si>
  <si>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</si>
  <si>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</si>
  <si>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</si>
  <si>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</si>
  <si>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</si>
  <si>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</si>
  <si>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</si>
  <si>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</si>
  <si>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</si>
  <si>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</si>
  <si>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</si>
  <si>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</si>
  <si>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</si>
  <si>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</si>
  <si>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</si>
  <si>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</si>
  <si>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</si>
  <si>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</si>
  <si>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</si>
  <si>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</si>
  <si>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</si>
  <si>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</si>
  <si>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</si>
  <si>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</si>
  <si>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</si>
  <si>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</si>
  <si>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</si>
  <si>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</si>
  <si>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</si>
  <si>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</si>
  <si>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</si>
  <si>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</si>
  <si>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</si>
  <si>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</si>
  <si>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</si>
  <si>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</si>
  <si>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</si>
  <si>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</si>
  <si>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</si>
  <si>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</si>
  <si>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</si>
  <si>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</si>
  <si>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</si>
  <si>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</si>
  <si>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</si>
  <si>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</si>
  <si>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</si>
  <si>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</si>
  <si>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</si>
  <si>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</si>
  <si>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</si>
  <si>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</si>
  <si>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</si>
  <si>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</si>
  <si>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</si>
  <si>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</si>
  <si>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</si>
  <si>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</si>
  <si>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</si>
  <si>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</si>
  <si>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</si>
  <si>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</si>
  <si>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</si>
  <si>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</si>
  <si>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</si>
  <si>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</si>
  <si>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</si>
  <si>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</si>
  <si>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</si>
  <si>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</si>
  <si>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</si>
  <si>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</si>
  <si>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</si>
  <si>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</si>
  <si>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</si>
  <si>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</si>
  <si>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</si>
  <si>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</si>
  <si>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</si>
  <si>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</si>
  <si>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</si>
  <si>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</si>
  <si>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</si>
  <si>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</si>
  <si>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</si>
  <si>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</si>
  <si>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</si>
  <si>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</si>
  <si>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</si>
  <si>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</si>
  <si>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</si>
  <si>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</si>
  <si>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</si>
  <si>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</si>
  <si>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</si>
  <si>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</si>
  <si>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</si>
  <si>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</si>
  <si>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</si>
  <si>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</si>
  <si>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</si>
  <si>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</si>
  <si>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</si>
  <si>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</si>
  <si>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</si>
  <si>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</si>
  <si>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</si>
  <si>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</si>
  <si>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</si>
  <si>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</si>
  <si>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</si>
  <si>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</si>
  <si>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</si>
  <si>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</si>
  <si>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</si>
  <si>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</si>
  <si>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</si>
  <si>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</si>
  <si>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</si>
  <si>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</si>
  <si>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</si>
  <si>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</si>
  <si>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</si>
  <si>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</si>
  <si>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</si>
  <si>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</si>
  <si>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</si>
  <si>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</si>
  <si>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</si>
  <si>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</si>
  <si>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</si>
  <si>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</si>
  <si>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</si>
  <si>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</si>
  <si>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</si>
  <si>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</si>
  <si>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</si>
  <si>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</si>
  <si>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</si>
  <si>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</si>
  <si>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</si>
  <si>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</si>
  <si>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</si>
  <si>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</si>
  <si>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</si>
  <si>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</si>
  <si>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</si>
  <si>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</si>
  <si>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</si>
  <si>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</si>
  <si>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</si>
  <si>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</si>
  <si>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</si>
  <si>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</si>
  <si>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</si>
  <si>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</si>
  <si>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</si>
  <si>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</si>
  <si>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</si>
  <si>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</si>
  <si>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</si>
  <si>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</si>
  <si>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</si>
  <si>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</si>
  <si>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</si>
  <si>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</si>
  <si>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</si>
  <si>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</si>
  <si>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</si>
  <si>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</si>
  <si>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</si>
  <si>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</si>
  <si>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</si>
  <si>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</si>
  <si>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</si>
  <si>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</si>
  <si>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</si>
  <si>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</si>
  <si>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</si>
  <si>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</si>
  <si>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</si>
  <si>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</si>
  <si>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</si>
  <si>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</si>
  <si>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</si>
  <si>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</si>
  <si>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</si>
  <si>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</si>
  <si>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</si>
  <si>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</si>
  <si>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</si>
  <si>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</si>
  <si>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</si>
  <si>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</si>
  <si>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</si>
  <si>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</si>
  <si>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</si>
  <si>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</si>
  <si>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</si>
  <si>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</si>
  <si>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</si>
  <si>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</si>
  <si>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</si>
  <si>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</si>
  <si>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</si>
  <si>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</si>
  <si>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</si>
  <si>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</si>
  <si>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</si>
  <si>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</si>
  <si>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</si>
  <si>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</si>
  <si>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</si>
  <si>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</si>
  <si>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</si>
  <si>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</si>
  <si>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</si>
  <si>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</si>
  <si>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</si>
  <si>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</si>
  <si>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</si>
  <si>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</si>
  <si>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</si>
  <si>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</si>
  <si>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</si>
  <si>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</si>
  <si>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</si>
  <si>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</si>
  <si>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</si>
  <si>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</si>
  <si>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</si>
  <si>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</si>
  <si>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</si>
  <si>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</si>
  <si>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</si>
  <si>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</si>
  <si>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</si>
  <si>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</si>
  <si>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</si>
  <si>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</si>
  <si>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</si>
  <si>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</si>
  <si>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</si>
  <si>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</si>
  <si>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</si>
  <si>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</si>
  <si>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</si>
  <si>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</si>
  <si>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</si>
  <si>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</si>
  <si>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</si>
  <si>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</si>
  <si>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</si>
  <si>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</si>
  <si>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</si>
  <si>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</si>
  <si>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</si>
  <si>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</si>
  <si>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</si>
  <si>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</si>
  <si>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</si>
  <si>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</si>
  <si>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</si>
  <si>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</si>
  <si>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</si>
  <si>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</si>
  <si>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</si>
  <si>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</si>
  <si>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</si>
  <si>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</si>
  <si>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</si>
  <si>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</si>
  <si>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</si>
  <si>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</si>
  <si>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</si>
  <si>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</si>
  <si>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</si>
  <si>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</si>
  <si>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</si>
  <si>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</si>
  <si>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</si>
  <si>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</si>
  <si>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</si>
  <si>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</si>
  <si>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</si>
  <si>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</si>
  <si>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</si>
  <si>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</si>
  <si>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</si>
  <si>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</si>
  <si>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</si>
  <si>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</si>
  <si>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</si>
  <si>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</si>
  <si>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</si>
  <si>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</si>
  <si>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</si>
  <si>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</si>
  <si>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</si>
  <si>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</si>
  <si>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</si>
  <si>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</si>
  <si>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</si>
  <si>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</si>
  <si>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</si>
  <si>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</si>
  <si>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</si>
  <si>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</si>
  <si>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</si>
  <si>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</si>
  <si>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</si>
  <si>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</si>
  <si>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</si>
  <si>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</si>
  <si>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</si>
  <si>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</si>
  <si>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</si>
  <si>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</si>
  <si>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</si>
  <si>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</si>
  <si>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</si>
  <si>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</si>
  <si>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</si>
  <si>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</si>
  <si>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</si>
  <si>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</si>
  <si>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</si>
  <si>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</si>
  <si>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</si>
  <si>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</si>
  <si>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</si>
  <si>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</si>
  <si>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</si>
  <si>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</si>
  <si>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</si>
  <si>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</si>
  <si>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</si>
  <si>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</si>
  <si>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</si>
  <si>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</si>
  <si>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</si>
  <si>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</si>
  <si>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</si>
  <si>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</si>
  <si>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</si>
  <si>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</si>
  <si>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</si>
  <si>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</si>
  <si>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</si>
  <si>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</si>
  <si>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</si>
  <si>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</si>
  <si>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</si>
  <si>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</si>
  <si>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</si>
  <si>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</si>
  <si>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</si>
  <si>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</si>
  <si>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</si>
  <si>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</si>
  <si>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</si>
  <si>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</si>
  <si>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</si>
  <si>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</si>
  <si>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</si>
  <si>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</si>
  <si>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</si>
  <si>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</si>
  <si>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</si>
  <si>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</si>
  <si>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</si>
  <si>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</si>
  <si>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</si>
  <si>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</si>
  <si>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</si>
  <si>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</si>
  <si>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</si>
  <si>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</si>
  <si>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</si>
  <si>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</si>
  <si>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</si>
  <si>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</si>
  <si>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</si>
  <si>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</si>
  <si>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</si>
  <si>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</si>
  <si>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</si>
  <si>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</si>
  <si>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</si>
  <si>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</si>
  <si>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</si>
  <si>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</si>
  <si>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</si>
  <si>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</si>
  <si>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</si>
  <si>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</si>
  <si>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</si>
  <si>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</si>
  <si>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</si>
  <si>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</si>
  <si>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</si>
  <si>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</si>
  <si>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</si>
  <si>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</si>
  <si>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</si>
  <si>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</si>
  <si>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</si>
  <si>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</si>
  <si>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</si>
  <si>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</si>
  <si>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</si>
  <si>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</si>
  <si>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</si>
  <si>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</si>
  <si>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</si>
  <si>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</si>
  <si>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</si>
  <si>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</si>
  <si>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</si>
  <si>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</si>
  <si>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</si>
  <si>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</si>
  <si>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</si>
  <si>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</si>
  <si>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</si>
  <si>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</si>
  <si>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</si>
  <si>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</si>
  <si>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</si>
  <si>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</si>
  <si>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</si>
  <si>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</si>
  <si>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</si>
  <si>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</si>
  <si>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</si>
  <si>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</si>
  <si>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</si>
  <si>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</si>
  <si>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</si>
  <si>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</si>
  <si>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</si>
  <si>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</si>
  <si>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</si>
  <si>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</si>
  <si>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</si>
  <si>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</si>
  <si>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</si>
  <si>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</si>
  <si>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</si>
  <si>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</si>
  <si>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</si>
  <si>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</si>
  <si>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</si>
  <si>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</si>
  <si>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</si>
  <si>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</si>
  <si>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</si>
  <si>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</si>
  <si>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</si>
  <si>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</si>
  <si>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</si>
  <si>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</si>
  <si>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</si>
  <si>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</si>
  <si>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</si>
  <si>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</si>
  <si>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</si>
  <si>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</si>
  <si>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</si>
  <si>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</si>
  <si>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</si>
  <si>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</si>
  <si>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</si>
  <si>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</si>
  <si>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</si>
  <si>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</si>
  <si>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</si>
  <si>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</si>
  <si>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</si>
  <si>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</si>
  <si>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</si>
  <si>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</si>
  <si>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</si>
  <si>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</si>
  <si>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</si>
  <si>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</si>
  <si>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</si>
  <si>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</si>
  <si>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</si>
  <si>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</si>
  <si>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</si>
  <si>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</si>
  <si>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</si>
  <si>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</si>
  <si>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</si>
  <si>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</si>
  <si>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</si>
  <si>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</si>
  <si>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</si>
  <si>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</si>
  <si>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</si>
  <si>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</si>
  <si>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</si>
  <si>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</si>
  <si>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</si>
  <si>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</si>
  <si>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</si>
  <si>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</si>
  <si>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</si>
  <si>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</si>
  <si>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</si>
  <si>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</si>
  <si>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</si>
  <si>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</si>
  <si>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</si>
  <si>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</si>
  <si>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</si>
  <si>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</si>
  <si>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</si>
  <si>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</si>
  <si>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</si>
  <si>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</si>
  <si>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</si>
  <si>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</si>
  <si>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</si>
  <si>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</si>
  <si>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</si>
  <si>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</si>
  <si>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</si>
  <si>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</si>
  <si>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</si>
  <si>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</si>
  <si>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</si>
  <si>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</si>
  <si>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</si>
  <si>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</si>
  <si>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</si>
  <si>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</si>
  <si>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</si>
  <si>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</si>
  <si>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</si>
  <si>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</si>
  <si>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</si>
  <si>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</si>
  <si>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</si>
  <si>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</si>
  <si>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</si>
  <si>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</si>
  <si>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</si>
  <si>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</si>
  <si>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</si>
  <si>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</si>
  <si>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</si>
  <si>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</si>
  <si>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</si>
  <si>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</si>
  <si>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</si>
  <si>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</si>
  <si>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</si>
  <si>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</si>
  <si>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</si>
  <si>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</si>
  <si>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</si>
  <si>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</si>
  <si>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</si>
  <si>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</si>
  <si>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</si>
  <si>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</si>
  <si>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</si>
  <si>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</si>
  <si>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</si>
  <si>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</si>
  <si>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</si>
  <si>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</si>
  <si>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</si>
  <si>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</si>
  <si>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</si>
  <si>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</si>
  <si>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</si>
  <si>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</si>
  <si>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</si>
  <si>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</si>
  <si>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</si>
  <si>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</si>
  <si>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</si>
  <si>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</si>
  <si>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</si>
  <si>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</si>
  <si>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</si>
  <si>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</si>
  <si>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</si>
  <si>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</si>
  <si>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</si>
  <si>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</si>
  <si>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</si>
  <si>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</si>
  <si>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</si>
  <si>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</si>
  <si>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</si>
  <si>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</si>
  <si>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</si>
  <si>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</si>
  <si>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</si>
  <si>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</si>
  <si>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</si>
  <si>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</si>
  <si>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</si>
  <si>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</si>
  <si>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</si>
  <si>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</si>
  <si>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</si>
  <si>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</si>
  <si>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</si>
  <si>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</si>
  <si>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</si>
  <si>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</si>
  <si>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</si>
  <si>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</si>
  <si>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</si>
  <si>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</si>
  <si>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</si>
  <si>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</si>
  <si>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</si>
  <si>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</si>
  <si>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</si>
  <si>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</si>
  <si>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</si>
  <si>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</si>
  <si>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</si>
  <si>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</si>
  <si>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</si>
  <si>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</si>
  <si>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</si>
  <si>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</si>
  <si>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</si>
  <si>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</si>
  <si>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</si>
  <si>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</si>
  <si>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</si>
  <si>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</si>
  <si>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</si>
  <si>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</si>
  <si>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</si>
  <si>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</si>
  <si>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</si>
  <si>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</si>
  <si>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</si>
  <si>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</si>
  <si>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</si>
  <si>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</si>
  <si>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</si>
  <si>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</si>
  <si>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</si>
  <si>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</si>
  <si>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</si>
  <si>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</si>
  <si>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</si>
  <si>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</si>
  <si>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</si>
  <si>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</si>
  <si>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</si>
  <si>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</si>
  <si>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</si>
  <si>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</si>
  <si>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</si>
  <si>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</si>
  <si>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</si>
  <si>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</si>
  <si>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</si>
  <si>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</si>
  <si>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</si>
  <si>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</si>
  <si>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</si>
  <si>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</si>
  <si>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</si>
  <si>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</si>
  <si>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</si>
  <si>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</si>
  <si>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</si>
  <si>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</si>
  <si>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</si>
  <si>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</si>
  <si>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</si>
  <si>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</si>
  <si>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</si>
  <si>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</si>
  <si>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</si>
  <si>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</si>
  <si>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</si>
  <si>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</si>
  <si>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</si>
  <si>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</si>
  <si>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</si>
  <si>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</si>
  <si>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</si>
  <si>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</si>
  <si>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</si>
  <si>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</si>
  <si>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</si>
  <si>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</si>
  <si>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</si>
  <si>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</si>
  <si>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</si>
  <si>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</si>
  <si>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</si>
  <si>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</si>
  <si>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</si>
  <si>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</si>
  <si>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</si>
  <si>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</si>
  <si>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</si>
  <si>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</si>
  <si>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</si>
  <si>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</si>
  <si>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</si>
  <si>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</si>
  <si>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</si>
  <si>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</si>
  <si>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</si>
  <si>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</si>
  <si>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</si>
  <si>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</si>
  <si>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</si>
  <si>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</si>
  <si>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</si>
  <si>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</si>
  <si>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</si>
  <si>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</si>
  <si>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</si>
  <si>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</si>
  <si>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</si>
  <si>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</si>
  <si>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</si>
  <si>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</si>
  <si>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</si>
  <si>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</si>
  <si>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</si>
  <si>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</si>
  <si>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</si>
  <si>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</si>
  <si>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</si>
  <si>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</si>
  <si>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</si>
  <si>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</si>
  <si>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</si>
  <si>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</si>
  <si>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</si>
  <si>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</si>
  <si>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</si>
  <si>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</si>
  <si>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</si>
  <si>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</si>
  <si>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</si>
  <si>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</si>
  <si>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</si>
  <si>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</si>
  <si>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</si>
  <si>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</si>
  <si>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</si>
  <si>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</si>
  <si>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</si>
  <si>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</si>
  <si>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</si>
  <si>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</si>
  <si>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</si>
  <si>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</si>
  <si>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</si>
  <si>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</si>
  <si>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</si>
  <si>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</si>
  <si>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</si>
  <si>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</si>
  <si>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</si>
  <si>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</si>
  <si>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</si>
  <si>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</si>
  <si>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</si>
  <si>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</si>
  <si>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</si>
  <si>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</si>
  <si>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</si>
  <si>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</si>
  <si>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</si>
  <si>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</si>
  <si>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</si>
  <si>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</si>
  <si>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</si>
  <si>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</si>
  <si>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</si>
  <si>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</si>
  <si>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</si>
  <si>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</si>
  <si>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</si>
  <si>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</si>
  <si>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</si>
  <si>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</si>
  <si>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</si>
  <si>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</si>
  <si>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</si>
  <si>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</si>
  <si>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</si>
  <si>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</si>
  <si>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</si>
  <si>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</si>
  <si>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</si>
  <si>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</si>
  <si>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</si>
  <si>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</si>
  <si>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</si>
  <si>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</si>
  <si>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</si>
  <si>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</si>
  <si>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</si>
  <si>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</si>
  <si>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</si>
  <si>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</si>
  <si>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</si>
  <si>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</si>
  <si>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</si>
  <si>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</si>
  <si>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</si>
  <si>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</si>
  <si>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</si>
  <si>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</si>
  <si>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</si>
  <si>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</si>
  <si>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</si>
  <si>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</si>
  <si>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</si>
  <si>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</si>
  <si>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</si>
  <si>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</si>
  <si>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</si>
  <si>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</si>
  <si>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</si>
  <si>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</si>
  <si>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</si>
  <si>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</si>
  <si>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</si>
  <si>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</si>
  <si>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</si>
  <si>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</si>
  <si>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</si>
  <si>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</si>
  <si>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</si>
  <si>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</si>
  <si>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</si>
  <si>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</si>
  <si>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</si>
  <si>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</si>
  <si>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</si>
  <si>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</si>
  <si>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</si>
  <si>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</si>
  <si>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</si>
  <si>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</si>
  <si>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</si>
  <si>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</si>
  <si>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</si>
  <si>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</si>
  <si>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</si>
  <si>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</si>
  <si>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</si>
  <si>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</si>
  <si>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</si>
  <si>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</si>
  <si>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</si>
  <si>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</si>
  <si>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</si>
  <si>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</si>
  <si>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</si>
  <si>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</si>
  <si>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</si>
  <si>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</si>
  <si>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</si>
  <si>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</si>
  <si>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</si>
  <si>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</si>
  <si>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</si>
  <si>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</si>
  <si>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</si>
  <si>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</si>
  <si>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</si>
  <si>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</si>
  <si>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</si>
  <si>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</si>
  <si>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</si>
  <si>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</si>
  <si>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</si>
  <si>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</si>
  <si>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</si>
  <si>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</si>
  <si>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</si>
  <si>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</si>
  <si>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</si>
  <si>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</si>
  <si>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</si>
  <si>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</si>
  <si>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</si>
  <si>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</si>
  <si>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</si>
  <si>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</si>
  <si>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</si>
  <si>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</si>
  <si>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</si>
  <si>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</si>
  <si>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</si>
  <si>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</si>
  <si>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</si>
  <si>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</si>
  <si>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</si>
  <si>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</si>
  <si>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</si>
  <si>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</si>
  <si>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</si>
  <si>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</si>
  <si>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</si>
  <si>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</si>
  <si>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</si>
  <si>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</si>
  <si>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</si>
  <si>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</si>
  <si>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</si>
  <si>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</si>
  <si>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</si>
  <si>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</si>
  <si>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</si>
  <si>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</si>
  <si>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</si>
  <si>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</si>
  <si>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</si>
  <si>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</si>
  <si>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</si>
  <si>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</si>
  <si>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</si>
  <si>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</si>
  <si>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</si>
  <si>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</si>
  <si>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</si>
  <si>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</si>
  <si>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</si>
  <si>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</si>
  <si>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</si>
  <si>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</si>
  <si>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</si>
  <si>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</si>
  <si>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</si>
  <si>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</si>
  <si>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</si>
  <si>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</si>
  <si>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</si>
  <si>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</si>
  <si>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</si>
  <si>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</si>
  <si>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</si>
  <si>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</si>
  <si>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</si>
  <si>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</si>
  <si>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</si>
  <si>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</si>
  <si>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</si>
  <si>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</si>
  <si>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</si>
  <si>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</si>
  <si>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</si>
  <si>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</si>
  <si>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</si>
  <si>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</si>
  <si>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</si>
  <si>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</si>
  <si>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</si>
  <si>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</si>
  <si>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</si>
  <si>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</si>
  <si>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</si>
  <si>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</si>
  <si>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</si>
  <si>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</si>
  <si>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</si>
  <si>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</si>
  <si>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</si>
  <si>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</si>
  <si>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</si>
  <si>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</si>
  <si>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</si>
  <si>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</si>
  <si>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</si>
  <si>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</si>
  <si>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</si>
  <si>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</si>
  <si>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</si>
  <si>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</si>
  <si>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</si>
  <si>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</si>
  <si>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</si>
  <si>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</si>
  <si>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</si>
  <si>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</si>
  <si>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</si>
  <si>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</si>
  <si>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</si>
  <si>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</si>
  <si>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</si>
  <si>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</si>
  <si>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</si>
  <si>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</si>
  <si>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</si>
  <si>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</si>
  <si>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</si>
  <si>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</si>
  <si>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</si>
  <si>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</si>
  <si>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</si>
  <si>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</si>
  <si>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</si>
  <si>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</si>
  <si>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</si>
  <si>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</si>
  <si>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</si>
  <si>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</si>
  <si>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</si>
  <si>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</si>
  <si>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</si>
  <si>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</si>
  <si>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</si>
  <si>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</si>
  <si>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</si>
  <si>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</si>
  <si>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</si>
  <si>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</si>
  <si>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</si>
  <si>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</si>
  <si>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</si>
  <si>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</si>
  <si>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</si>
  <si>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</si>
  <si>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</si>
  <si>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</si>
  <si>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</si>
  <si>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</si>
  <si>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</si>
  <si>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</si>
  <si>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</si>
  <si>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</si>
  <si>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</si>
  <si>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</si>
  <si>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</si>
  <si>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</si>
  <si>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</si>
  <si>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</si>
  <si>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</si>
  <si>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</si>
  <si>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</si>
  <si>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</si>
  <si>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</si>
  <si>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</si>
  <si>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</si>
  <si>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</si>
  <si>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</si>
  <si>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</si>
  <si>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</si>
  <si>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</si>
  <si>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</si>
  <si>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</si>
  <si>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</si>
  <si>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</si>
  <si>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</si>
  <si>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</si>
  <si>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</si>
  <si>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</si>
  <si>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</si>
  <si>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</si>
  <si>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</si>
  <si>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</si>
  <si>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</si>
  <si>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</si>
  <si>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</si>
  <si>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</si>
  <si>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</si>
  <si>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</si>
  <si>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</si>
  <si>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</si>
  <si>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</si>
  <si>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</si>
  <si>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</si>
  <si>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</si>
  <si>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</si>
  <si>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</si>
  <si>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</si>
  <si>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</si>
  <si>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</si>
  <si>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</si>
  <si>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</si>
  <si>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</si>
  <si>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</si>
  <si>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</si>
  <si>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</si>
  <si>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</si>
  <si>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</si>
  <si>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</si>
  <si>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</si>
  <si>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</si>
  <si>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</si>
  <si>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</si>
  <si>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</si>
  <si>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</si>
  <si>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</si>
  <si>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</si>
  <si>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</si>
  <si>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</si>
  <si>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</si>
  <si>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</si>
  <si>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</si>
  <si>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</si>
  <si>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</si>
  <si>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</si>
  <si>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</si>
  <si>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</si>
  <si>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</si>
  <si>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</si>
  <si>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</si>
  <si>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</si>
  <si>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</si>
  <si>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</si>
  <si>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</si>
  <si>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</si>
  <si>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</si>
  <si>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</si>
  <si>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</si>
  <si>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</si>
  <si>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</si>
  <si>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</si>
  <si>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</si>
  <si>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</si>
  <si>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</si>
  <si>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</si>
  <si>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</si>
  <si>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</si>
  <si>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</si>
  <si>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</si>
  <si>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</si>
  <si>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</si>
  <si>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</si>
  <si>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</si>
  <si>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</si>
  <si>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</si>
  <si>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</si>
  <si>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</si>
  <si>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</si>
  <si>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</si>
  <si>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</si>
  <si>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</si>
  <si>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</si>
  <si>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</si>
  <si>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</si>
  <si>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</si>
  <si>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</si>
  <si>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</si>
  <si>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</si>
  <si>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</si>
  <si>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</si>
  <si>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</si>
  <si>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</si>
  <si>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</si>
  <si>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</si>
  <si>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</si>
  <si>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</si>
  <si>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</si>
  <si>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</si>
  <si>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</si>
  <si>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</si>
  <si>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</si>
  <si>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</si>
  <si>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</si>
  <si>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</si>
  <si>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</si>
  <si>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</si>
  <si>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</si>
  <si>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</si>
  <si>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</si>
  <si>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</si>
  <si>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</si>
  <si>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</si>
  <si>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</si>
  <si>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</si>
  <si>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</si>
  <si>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</si>
  <si>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</si>
  <si>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</si>
  <si>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</si>
  <si>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</si>
  <si>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</si>
  <si>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</si>
  <si>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</si>
  <si>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</si>
  <si>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</si>
  <si>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</si>
  <si>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</si>
  <si>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</si>
  <si>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</si>
  <si>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</si>
  <si>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</si>
  <si>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</si>
  <si>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</si>
  <si>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</si>
  <si>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</si>
  <si>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</si>
  <si>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</si>
  <si>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</si>
  <si>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</si>
  <si>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</si>
  <si>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</si>
  <si>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</si>
  <si>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</si>
  <si>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</si>
  <si>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</si>
  <si>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</si>
  <si>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</si>
  <si>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</si>
  <si>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</si>
  <si>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</si>
  <si>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</si>
  <si>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</si>
  <si>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</si>
  <si>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</si>
  <si>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</si>
  <si>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</si>
  <si>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</si>
  <si>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</si>
  <si>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</si>
  <si>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</si>
  <si>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</si>
  <si>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</si>
  <si>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</si>
  <si>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</si>
  <si>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</si>
  <si>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</si>
  <si>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</si>
  <si>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</si>
  <si>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</si>
  <si>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</si>
  <si>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</si>
  <si>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</si>
  <si>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</si>
  <si>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</si>
  <si>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</si>
  <si>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</si>
  <si>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</si>
  <si>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</si>
  <si>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</si>
  <si>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</si>
  <si>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</si>
  <si>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</si>
  <si>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</si>
  <si>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</si>
  <si>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</si>
  <si>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</si>
  <si>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</si>
  <si>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</si>
  <si>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</si>
  <si>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</si>
  <si>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</si>
  <si>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</si>
  <si>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</si>
  <si>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</si>
  <si>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</si>
  <si>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</si>
  <si>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</si>
  <si>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</si>
  <si>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</si>
  <si>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</si>
  <si>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</si>
  <si>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</si>
  <si>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</si>
  <si>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</si>
  <si>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</si>
  <si>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</si>
  <si>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</si>
  <si>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</si>
  <si>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</si>
  <si>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</si>
  <si>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</si>
  <si>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</si>
  <si>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</si>
  <si>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</si>
  <si>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</si>
  <si>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</si>
  <si>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</si>
  <si>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</si>
  <si>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</si>
  <si>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</si>
  <si>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</si>
  <si>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</si>
  <si>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</si>
  <si>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</si>
  <si>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</si>
  <si>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</si>
  <si>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</si>
  <si>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</si>
  <si>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</si>
  <si>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</si>
  <si>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</si>
  <si>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</si>
  <si>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</si>
  <si>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</si>
  <si>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</si>
  <si>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</si>
  <si>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</si>
  <si>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</si>
  <si>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</si>
  <si>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</si>
  <si>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</si>
  <si>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</si>
  <si>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</si>
  <si>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</si>
  <si>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</si>
  <si>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</si>
  <si>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</si>
  <si>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</si>
  <si>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</si>
  <si>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</si>
  <si>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</si>
  <si>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</si>
  <si>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</si>
  <si>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</si>
  <si>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</si>
  <si>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</si>
  <si>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</si>
  <si>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</si>
  <si>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</si>
  <si>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</si>
  <si>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</si>
  <si>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</si>
  <si>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</si>
  <si>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</si>
  <si>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</si>
  <si>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</si>
  <si>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</si>
  <si>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</si>
  <si>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</si>
  <si>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</si>
  <si>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</si>
  <si>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</si>
  <si>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</si>
  <si>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</si>
  <si>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</si>
  <si>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</si>
  <si>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</si>
  <si>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</si>
  <si>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</si>
  <si>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</si>
  <si>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</si>
  <si>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</si>
  <si>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</si>
  <si>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</si>
  <si>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</si>
  <si>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</si>
  <si>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</si>
  <si>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</si>
  <si>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</si>
  <si>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</si>
  <si>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</si>
  <si>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</si>
  <si>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</si>
  <si>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</si>
  <si>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</si>
  <si>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</si>
  <si>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</si>
  <si>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</si>
  <si>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</si>
  <si>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</si>
  <si>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</si>
  <si>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</si>
  <si>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</si>
  <si>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</si>
  <si>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</si>
  <si>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</si>
  <si>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</si>
  <si>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</si>
  <si>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</si>
  <si>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</si>
  <si>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</si>
  <si>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</si>
  <si>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</si>
  <si>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</si>
  <si>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</si>
  <si>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</si>
  <si>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房屋位置</t>
    <phoneticPr fontId="134" type="noConversion"/>
  </si>
  <si>
    <t>酒店类型</t>
    <phoneticPr fontId="134" type="noConversion"/>
  </si>
  <si>
    <t>年租金</t>
    <phoneticPr fontId="134" type="noConversion"/>
  </si>
  <si>
    <t>组成部分</t>
    <phoneticPr fontId="134" type="noConversion"/>
  </si>
  <si>
    <r>
      <t>9</t>
    </r>
    <r>
      <rPr>
        <sz val="11"/>
        <color theme="1"/>
        <rFont val="宋体"/>
        <family val="3"/>
        <charset val="134"/>
        <scheme val="minor"/>
      </rPr>
      <t>0客房20宿舍停车场</t>
    </r>
    <phoneticPr fontId="134" type="noConversion"/>
  </si>
  <si>
    <t>期限</t>
    <phoneticPr fontId="134" type="noConversion"/>
  </si>
  <si>
    <t>起始</t>
    <phoneticPr fontId="134" type="noConversion"/>
  </si>
  <si>
    <t>终止</t>
    <phoneticPr fontId="134" type="noConversion"/>
  </si>
  <si>
    <t>亚朵、橘子、漫心、维也纳等</t>
    <phoneticPr fontId="134" type="noConversion"/>
  </si>
  <si>
    <t>面积</t>
    <phoneticPr fontId="134" type="noConversion"/>
  </si>
  <si>
    <t>涨幅</t>
    <phoneticPr fontId="134" type="noConversion"/>
  </si>
  <si>
    <r>
      <t>3年</t>
    </r>
    <r>
      <rPr>
        <sz val="11"/>
        <color theme="1"/>
        <rFont val="宋体"/>
        <family val="3"/>
        <charset val="134"/>
        <scheme val="minor"/>
      </rPr>
      <t>5%</t>
    </r>
    <phoneticPr fontId="134" type="noConversion"/>
  </si>
  <si>
    <t>当期租金</t>
    <phoneticPr fontId="134" type="noConversion"/>
  </si>
  <si>
    <t>押金</t>
    <phoneticPr fontId="134" type="noConversion"/>
  </si>
  <si>
    <t>物业费</t>
    <phoneticPr fontId="134" type="noConversion"/>
  </si>
  <si>
    <t>无</t>
    <phoneticPr fontId="134" type="noConversion"/>
  </si>
  <si>
    <t>供暖</t>
    <phoneticPr fontId="134" type="noConversion"/>
  </si>
  <si>
    <t>空调</t>
    <phoneticPr fontId="134" type="noConversion"/>
  </si>
  <si>
    <t>桔子</t>
    <phoneticPr fontId="134" type="noConversion"/>
  </si>
  <si>
    <t>有</t>
    <phoneticPr fontId="134" type="noConversion"/>
  </si>
  <si>
    <t>地下</t>
    <phoneticPr fontId="134" type="noConversion"/>
  </si>
  <si>
    <r>
      <t>地上5、地下</t>
    </r>
    <r>
      <rPr>
        <sz val="11"/>
        <color theme="1"/>
        <rFont val="宋体"/>
        <family val="3"/>
        <charset val="134"/>
        <scheme val="minor"/>
      </rPr>
      <t>1.5</t>
    </r>
    <phoneticPr fontId="134" type="noConversion"/>
  </si>
  <si>
    <r>
      <t>2年</t>
    </r>
    <r>
      <rPr>
        <sz val="11"/>
        <color theme="1"/>
        <rFont val="宋体"/>
        <family val="3"/>
        <charset val="134"/>
        <scheme val="minor"/>
      </rPr>
      <t>5%</t>
    </r>
    <phoneticPr fontId="134" type="noConversion"/>
  </si>
  <si>
    <t>5年5%</t>
    <phoneticPr fontId="134" type="noConversion"/>
  </si>
  <si>
    <t>不含（0.3）</t>
    <phoneticPr fontId="134" type="noConversion"/>
  </si>
  <si>
    <t>酒店住宿餐饮配套商业</t>
    <phoneticPr fontId="134" type="noConversion"/>
  </si>
  <si>
    <t>丰台区双林东路5号院4号楼</t>
    <phoneticPr fontId="134" type="noConversion"/>
  </si>
  <si>
    <t>后改变</t>
    <phoneticPr fontId="134" type="noConversion"/>
  </si>
  <si>
    <t>大兴区黄村镇兴华中路9号</t>
    <phoneticPr fontId="134" type="noConversion"/>
  </si>
  <si>
    <t>海淀区中关村东路123号2号楼</t>
    <phoneticPr fontId="134" type="noConversion"/>
  </si>
  <si>
    <t>建国门壹中心</t>
    <phoneticPr fontId="134" type="noConversion"/>
  </si>
  <si>
    <t>奥林匹克花园（东坝）</t>
    <phoneticPr fontId="134" type="noConversion"/>
  </si>
  <si>
    <r>
      <t>昌平区回龙观镇回南路9号院</t>
    </r>
    <r>
      <rPr>
        <sz val="11"/>
        <color theme="1"/>
        <rFont val="宋体"/>
        <family val="3"/>
        <charset val="134"/>
        <scheme val="minor"/>
      </rPr>
      <t>19号楼4层04配套公建F</t>
    </r>
    <phoneticPr fontId="134" type="noConversion"/>
  </si>
  <si>
    <t>海淀区吴家村路6号综合楼</t>
    <phoneticPr fontId="134" type="noConversion"/>
  </si>
  <si>
    <t>东城区珠市口东大街19号</t>
    <phoneticPr fontId="134" type="noConversion"/>
  </si>
  <si>
    <t>郑燚</t>
  </si>
  <si>
    <t>刘俊财</t>
  </si>
  <si>
    <t>湖南省益阳市人民政府驻北京联络处</t>
    <phoneticPr fontId="6" type="noConversion"/>
  </si>
  <si>
    <t>核定资产</t>
  </si>
  <si>
    <t>房地产市场价值</t>
  </si>
  <si>
    <t>已注销及未注销</t>
  </si>
  <si>
    <t>北京市</t>
  </si>
  <si>
    <r>
      <rPr>
        <sz val="10"/>
        <color theme="9" tint="-0.249977111117893"/>
        <rFont val="宋体"/>
        <family val="3"/>
        <charset val="134"/>
      </rPr>
      <t>丰台区莲香园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1-3</t>
    </r>
    <phoneticPr fontId="6" type="noConversion"/>
  </si>
  <si>
    <t>企业</t>
  </si>
  <si>
    <t>是</t>
  </si>
  <si>
    <t>地上</t>
  </si>
  <si>
    <t>独栋</t>
  </si>
  <si>
    <t>商业用房</t>
  </si>
  <si>
    <t>商业用房</t>
    <phoneticPr fontId="7" type="noConversion"/>
  </si>
  <si>
    <t>单套模式</t>
  </si>
  <si>
    <t>租金</t>
  </si>
  <si>
    <t>正常</t>
  </si>
  <si>
    <t>商业</t>
    <phoneticPr fontId="30" type="noConversion"/>
  </si>
  <si>
    <t>较好</t>
  </si>
  <si>
    <t>较好</t>
    <phoneticPr fontId="40" type="noConversion"/>
  </si>
  <si>
    <t>一般</t>
  </si>
  <si>
    <t>一般</t>
    <phoneticPr fontId="24" type="noConversion"/>
  </si>
  <si>
    <t>七通</t>
  </si>
  <si>
    <t>较好</t>
    <phoneticPr fontId="40" type="noConversion"/>
  </si>
  <si>
    <t>七通</t>
    <phoneticPr fontId="24" type="noConversion"/>
  </si>
  <si>
    <t>星级酒店</t>
    <phoneticPr fontId="30" type="noConversion"/>
  </si>
  <si>
    <t>快捷酒店</t>
    <phoneticPr fontId="30" type="noConversion"/>
  </si>
  <si>
    <t>招待所</t>
  </si>
  <si>
    <t>招待所</t>
    <phoneticPr fontId="30" type="noConversion"/>
  </si>
  <si>
    <t>丰台区三路居113号</t>
    <phoneticPr fontId="134"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</si>
  <si>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</si>
  <si>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</si>
  <si>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</si>
  <si>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</si>
  <si>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</si>
  <si>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</si>
  <si>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</si>
  <si>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</si>
  <si>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</si>
  <si>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</si>
  <si>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</si>
  <si>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</si>
  <si>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</si>
  <si>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</si>
  <si>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</si>
  <si>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</si>
  <si>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</si>
  <si>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rPr>
        <sz val="11"/>
        <color indexed="8"/>
        <rFont val="宋体"/>
        <family val="3"/>
        <charset val="134"/>
      </rPr>
      <t>钢混</t>
    </r>
    <r>
      <rPr>
        <sz val="11"/>
        <color indexed="8"/>
        <rFont val="Arial"/>
        <family val="2"/>
      </rPr>
      <t xml:space="preserve"> </t>
    </r>
    <phoneticPr fontId="30" type="noConversion"/>
  </si>
  <si>
    <t>砖混</t>
    <phoneticPr fontId="30" type="noConversion"/>
  </si>
  <si>
    <t>精装修</t>
  </si>
  <si>
    <t>精装修</t>
    <phoneticPr fontId="30" type="noConversion"/>
  </si>
  <si>
    <t>普通装修</t>
  </si>
  <si>
    <t>普通装修</t>
    <phoneticPr fontId="30" type="noConversion"/>
  </si>
  <si>
    <t xml:space="preserve">钢混 </t>
  </si>
  <si>
    <r>
      <t>大兴区黄村镇兴华中路3</t>
    </r>
    <r>
      <rPr>
        <sz val="11"/>
        <color theme="1"/>
        <rFont val="宋体"/>
        <family val="3"/>
        <charset val="134"/>
        <scheme val="minor"/>
      </rPr>
      <t>4号</t>
    </r>
    <phoneticPr fontId="134" type="noConversion"/>
  </si>
  <si>
    <t>建成</t>
    <phoneticPr fontId="3" type="noConversion"/>
  </si>
  <si>
    <t>直线</t>
    <phoneticPr fontId="3" type="noConversion"/>
  </si>
  <si>
    <t>观察</t>
    <phoneticPr fontId="3" type="noConversion"/>
  </si>
  <si>
    <t>综合</t>
    <phoneticPr fontId="3" type="noConversion"/>
  </si>
  <si>
    <t>成新度</t>
  </si>
  <si>
    <t>收益法</t>
  </si>
  <si>
    <t>自定义</t>
  </si>
  <si>
    <t>钢混</t>
  </si>
  <si>
    <t>非生产用房</t>
  </si>
  <si>
    <t>利息：取LPR加浮动点数</t>
  </si>
  <si>
    <t>划拨</t>
  </si>
  <si>
    <t>不含</t>
    <phoneticPr fontId="134" type="noConversion"/>
  </si>
  <si>
    <t>年租金</t>
    <phoneticPr fontId="30" type="noConversion"/>
  </si>
  <si>
    <t>下浮</t>
    <phoneticPr fontId="30" type="noConversion"/>
  </si>
  <si>
    <t>不包含能源费</t>
    <phoneticPr fontId="134" type="noConversion"/>
  </si>
  <si>
    <t>全季酒店</t>
    <phoneticPr fontId="134" type="noConversion"/>
  </si>
  <si>
    <t>星级酒店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</si>
</sst>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95" fillId="15" borderId="0" xfId="0" applyFont="1" applyFill="1">
      <alignment vertical="center"/>
    </xf>
    <xf numFmtId="0" fontId="0" fillId="15" borderId="0" xfId="0" applyFill="1">
      <alignment vertical="center"/>
    </xf>
    <xf numFmtId="14" fontId="0" fillId="0" borderId="0" xfId="0" applyNumberFormat="1">
      <alignment vertical="center"/>
    </xf>
    <xf numFmtId="0" fontId="95" fillId="0" borderId="0" xfId="0" applyFont="1" applyFill="1">
      <alignment vertical="center"/>
    </xf>
    <xf numFmtId="14" fontId="0" fillId="15" borderId="0" xfId="0" applyNumberFormat="1" applyFill="1">
      <alignment vertical="center"/>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4" fillId="12" borderId="0" xfId="0" applyFont="1" applyFill="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51" fillId="12" borderId="0" xfId="17"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466725</xdr:colOff>
      <xdr:row>12</xdr:row>
      <xdr:rowOff>66261</xdr:rowOff>
    </xdr:from>
    <xdr:to>
      <xdr:col>10</xdr:col>
      <xdr:colOff>570159</xdr:colOff>
      <xdr:row>47</xdr:row>
      <xdr:rowOff>75217</xdr:rowOff>
    </xdr:to>
    <xdr:pic>
      <xdr:nvPicPr>
        <xdr:cNvPr id="2" name="图片 1"/>
        <xdr:cNvPicPr>
          <a:picLocks noChangeAspect="1"/>
        </xdr:cNvPicPr>
      </xdr:nvPicPr>
      <xdr:blipFill>
        <a:blip xmlns:r="http://schemas.openxmlformats.org/officeDocument/2006/relationships" r:embed="rId1"/>
        <a:stretch>
          <a:fillRect/>
        </a:stretch>
      </xdr:blipFill>
      <xdr:spPr>
        <a:xfrm>
          <a:off x="1152525" y="2123661"/>
          <a:ext cx="8199684" cy="6009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542343</xdr:colOff>
      <xdr:row>11</xdr:row>
      <xdr:rowOff>28336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57143"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北京市丰台区莲香园1号楼1至3层1-3房地产市场价值预评估</v>
      </c>
    </row>
    <row r="3" spans="1:2" s="1203" customFormat="1">
      <c r="A3" s="1201" t="s">
        <v>523</v>
      </c>
      <c r="B3" s="1202" t="str">
        <f>'预评函-封皮'!B40</f>
        <v>湖南省益阳市人民政府驻北京联络处</v>
      </c>
    </row>
    <row r="4" spans="1:2" s="1203" customFormat="1">
      <c r="A4" s="1201" t="s">
        <v>524</v>
      </c>
      <c r="B4" s="1202" t="str">
        <f ca="1">'预评函-封皮'!B46</f>
        <v>郑燚（注册号：1120070131)、刘俊财（注册号：0)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受贵公司委托，我公司对北京市丰台区莲香园1号楼1至3层1-3房地产市场价值进行了预评估。</v>
      </c>
    </row>
    <row r="7" spans="1:2" s="1203" customFormat="1">
      <c r="A7" s="1201" t="s">
        <v>566</v>
      </c>
      <c r="B7" s="1202" t="str">
        <f>'预评函-1'!A7</f>
        <v>估价对象为北京市丰台区莲香园1号楼1至3层1-3房地产，为湖南省益阳市人民政府驻北京联络处所有。根据《国有土地使用证》[]，估价对象（分摊）出让国有建设用地使用权面积为0平方米，建筑面积为1701.41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2023年3月7日（评估专业人员实地查勘之日）</v>
      </c>
    </row>
    <row r="13" spans="1:2" s="1203" customFormat="1">
      <c r="A13" s="1201" t="s">
        <v>529</v>
      </c>
      <c r="B13" s="1202" t="str">
        <f>'预评函-1'!A18</f>
        <v>本次估价的“房地产价值”是指在正常市场情况下，在价值时点2023年3月7日，估价对象规划用途为，土地取得方式为划拨，假定未设立法定优先受偿款下的房地产市场价值。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4.抵押担保权已注销时的房地产抵押价值</v>
      </c>
    </row>
    <row r="34" spans="1:2" s="1203" customFormat="1">
      <c r="A34" s="1201" t="s">
        <v>596</v>
      </c>
      <c r="B34" s="1202" t="str">
        <f ca="1">'预评函-2'!D16</f>
        <v>——</v>
      </c>
    </row>
    <row r="35" spans="1:2" s="1203" customFormat="1">
      <c r="A35" s="1201" t="s">
        <v>577</v>
      </c>
      <c r="B35" s="1202" t="str">
        <f ca="1">'预评函-2'!D18</f>
        <v>——</v>
      </c>
    </row>
    <row r="36" spans="1:2" s="1203" customFormat="1">
      <c r="A36" s="1201" t="s">
        <v>544</v>
      </c>
      <c r="B36" s="1202" t="e">
        <f ca="1">'预评函-2'!D17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北京市丰台区莲香园1号楼1至3层1-3房地产</v>
      </c>
    </row>
    <row r="42" spans="1:2" s="1203" customFormat="1">
      <c r="A42" s="1201" t="s">
        <v>590</v>
      </c>
      <c r="B42" s="1202" t="str">
        <f>'预评函-3'!B2</f>
        <v>建筑面积</v>
      </c>
    </row>
    <row r="43" spans="1:2" s="1203" customFormat="1">
      <c r="A43" s="1201" t="s">
        <v>591</v>
      </c>
      <c r="B43" s="1202">
        <f>'预评函-3'!B4</f>
        <v>1701.41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刘俊财</v>
      </c>
    </row>
    <row r="73" spans="1:2" s="1197" customFormat="1" ht="15" thickBot="1">
      <c r="A73" s="1204" t="s">
        <v>565</v>
      </c>
      <c r="B73" s="1205">
        <f ca="1">'预评函-4'!B5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香园1号楼1至3层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08" t="s">
        <v>2579</v>
      </c>
      <c r="J2" s="3508"/>
      <c r="K2" s="3508"/>
      <c r="L2" s="3508"/>
      <c r="M2" s="3508"/>
      <c r="N2" s="3508"/>
      <c r="O2" s="3508"/>
      <c r="P2" s="3508"/>
      <c r="Q2" s="3508"/>
      <c r="R2" s="3508"/>
    </row>
    <row r="3" spans="1:18">
      <c r="A3" s="3017" t="s">
        <v>2500</v>
      </c>
      <c r="B3" s="3018">
        <f>项目基本情况!D3</f>
        <v>44992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33.81</v>
      </c>
      <c r="D7" s="3022">
        <f>IF(ISERROR(ROUND(POWER(1+E7,A7-C7)*(POWER(1+E7,C7)-1)/(POWER(1+E7,A7)-1),3)),0,ROUND(POWER(1+E7,A7-C7)*(POWER(1+E7,C7)-1)/(POWER(1+E7,A7)-1),4))</f>
        <v>0.78490000000000004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北京市丰台区莲香园1号楼1至3层1-3房地产市场价值预评估</v>
      </c>
      <c r="C1" s="3518"/>
      <c r="D1" s="3518"/>
      <c r="E1" s="3518"/>
      <c r="F1" s="3518"/>
      <c r="G1" s="3518"/>
      <c r="H1" s="3518"/>
      <c r="I1" s="351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北京市丰台区莲香园1号楼1至3层1-3房地产市场价值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北京市丰台区莲香园1号楼1至3层1-3房地产</v>
      </c>
      <c r="T2" s="1745"/>
      <c r="U2" s="1745"/>
      <c r="V2" s="1745"/>
      <c r="W2" s="1745"/>
      <c r="X2" s="1745"/>
      <c r="Y2" s="1745"/>
      <c r="Z2" s="1745"/>
      <c r="AA2" s="1745"/>
      <c r="AB2" s="1745"/>
    </row>
    <row r="3" spans="1:30">
      <c r="A3" s="302" t="s">
        <v>2170</v>
      </c>
      <c r="B3" s="2373">
        <v>44992</v>
      </c>
      <c r="C3" s="2374" t="s">
        <v>2171</v>
      </c>
      <c r="D3" s="2373">
        <f>B3</f>
        <v>44992</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3410</v>
      </c>
      <c r="C4" s="2376">
        <f ca="1">SUMIF(注册房地产估价师,B4,估价师及机构信息!B3:B24)</f>
        <v>1120070131</v>
      </c>
      <c r="D4" s="2375" t="s">
        <v>3411</v>
      </c>
      <c r="E4" s="2377">
        <f ca="1">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郑燚（注册号：1120070131)、刘俊财（注册号：0)</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3412</v>
      </c>
      <c r="C5" s="2380"/>
      <c r="D5" s="2381"/>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3413</v>
      </c>
      <c r="C8" s="2389"/>
      <c r="D8" s="3520" t="s">
        <v>2177</v>
      </c>
      <c r="E8" s="2390" t="s">
        <v>3415</v>
      </c>
      <c r="F8" s="2391"/>
      <c r="G8" s="2660"/>
      <c r="H8" s="2660"/>
      <c r="I8" s="2660"/>
      <c r="J8" s="2438"/>
      <c r="K8" s="2611"/>
      <c r="L8" s="2610"/>
      <c r="M8" s="2610"/>
      <c r="N8" s="2438"/>
      <c r="O8" s="2449"/>
      <c r="P8" s="2438"/>
      <c r="Q8" s="2438"/>
      <c r="R8" s="2438"/>
    </row>
    <row r="9" spans="1:30" ht="13.5" thickBot="1">
      <c r="A9" s="2392" t="s">
        <v>2178</v>
      </c>
      <c r="B9" s="2393" t="s">
        <v>3414</v>
      </c>
      <c r="C9" s="2394"/>
      <c r="D9" s="3521"/>
      <c r="E9" s="2393" t="s">
        <v>43</v>
      </c>
      <c r="F9" s="2395"/>
      <c r="G9" s="2662"/>
      <c r="H9" s="2662"/>
      <c r="I9" s="2662"/>
      <c r="J9" s="2438"/>
      <c r="K9" s="2613"/>
      <c r="L9" s="2610"/>
      <c r="M9" s="2610"/>
      <c r="N9" s="2438"/>
      <c r="O9" s="2449"/>
      <c r="P9" s="2438"/>
      <c r="Q9" s="2438"/>
      <c r="R9" s="2438"/>
    </row>
    <row r="10" spans="1:30" ht="13.5" thickTop="1">
      <c r="A10" s="2396" t="s">
        <v>2179</v>
      </c>
      <c r="B10" s="2397" t="s">
        <v>3416</v>
      </c>
      <c r="C10" s="2398"/>
      <c r="D10" s="2381"/>
      <c r="E10" s="2399" t="s">
        <v>2180</v>
      </c>
      <c r="F10" s="2663" t="s">
        <v>3417</v>
      </c>
      <c r="G10" s="2664"/>
      <c r="H10" s="2665"/>
      <c r="I10" s="2666"/>
      <c r="J10" s="2438"/>
      <c r="K10" s="2613"/>
      <c r="L10" s="2610"/>
      <c r="M10" s="2610"/>
      <c r="N10" s="2438"/>
      <c r="O10" s="2449"/>
      <c r="P10" s="2438"/>
      <c r="Q10" s="2438"/>
      <c r="R10" s="2438"/>
    </row>
    <row r="11" spans="1:30" ht="38.25">
      <c r="A11" s="2400" t="s">
        <v>2181</v>
      </c>
      <c r="B11" s="2401" t="s">
        <v>3418</v>
      </c>
      <c r="C11" s="2402" t="str">
        <f>B5</f>
        <v>湖南省益阳市人民政府驻北京联络处</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3475</v>
      </c>
      <c r="B13" s="2406" t="s">
        <v>2190</v>
      </c>
      <c r="C13" s="856"/>
      <c r="D13" s="856">
        <v>49739</v>
      </c>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c r="J14" s="3060"/>
      <c r="K14" s="2610"/>
      <c r="L14" s="2610"/>
      <c r="M14" s="2438"/>
      <c r="N14" s="2449"/>
      <c r="O14" s="2438"/>
      <c r="P14" s="2438"/>
      <c r="Q14" s="2438"/>
      <c r="AD14" s="1745"/>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1"/>
      <c r="K15" s="2450"/>
      <c r="L15" s="2450"/>
      <c r="M15" s="2506"/>
      <c r="N15" s="2450"/>
      <c r="O15" s="2506"/>
      <c r="P15" s="2438"/>
      <c r="Q15" s="2438"/>
      <c r="AD15" s="1745"/>
    </row>
    <row r="16" spans="1:30">
      <c r="A16" s="2399" t="s">
        <v>2193</v>
      </c>
      <c r="B16" s="3527"/>
      <c r="C16" s="3528"/>
      <c r="D16" s="3529"/>
      <c r="E16" s="2412" t="s">
        <v>2194</v>
      </c>
      <c r="F16" s="3530"/>
      <c r="G16" s="3531"/>
      <c r="H16" s="3531"/>
      <c r="I16" s="3532"/>
      <c r="J16" s="2438"/>
      <c r="K16" s="2614"/>
      <c r="L16" s="2450"/>
      <c r="M16" s="2450"/>
      <c r="N16" s="2506"/>
      <c r="O16" s="2450"/>
      <c r="P16" s="2506"/>
      <c r="Q16" s="2438"/>
      <c r="R16" s="2438"/>
    </row>
    <row r="17" spans="1:28">
      <c r="A17" s="313" t="s">
        <v>2195</v>
      </c>
      <c r="B17" s="302" t="s">
        <v>2196</v>
      </c>
      <c r="C17" s="8">
        <f>'数据-汇总表'!E3</f>
        <v>1701.41</v>
      </c>
      <c r="D17" s="2322" t="s">
        <v>2197</v>
      </c>
      <c r="E17" s="3533" t="s">
        <v>2198</v>
      </c>
      <c r="F17" s="3534"/>
      <c r="G17" s="3534"/>
      <c r="H17" s="3534"/>
      <c r="I17" s="3535"/>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36" t="s">
        <v>2202</v>
      </c>
      <c r="F18" s="3537"/>
      <c r="G18" s="3537"/>
      <c r="H18" s="3537"/>
      <c r="I18" s="3538"/>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23" t="s">
        <v>2206</v>
      </c>
      <c r="C20" s="3524"/>
      <c r="D20" s="3525" t="s">
        <v>2207</v>
      </c>
      <c r="E20" s="3526"/>
      <c r="F20" s="2644" t="s">
        <v>1056</v>
      </c>
      <c r="G20" s="2661"/>
      <c r="H20" s="2661"/>
      <c r="I20" s="2661"/>
      <c r="J20" s="2438"/>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0"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0"/>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0"/>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1"/>
      <c r="B30" s="302" t="s">
        <v>2218</v>
      </c>
      <c r="C30" s="3512"/>
      <c r="D30" s="3513"/>
      <c r="E30" s="2661"/>
      <c r="F30" s="2661"/>
      <c r="G30" s="2661"/>
      <c r="H30" s="2661"/>
      <c r="I30" s="2661"/>
      <c r="J30" s="2438"/>
      <c r="K30" s="2613"/>
      <c r="L30" s="2610"/>
      <c r="M30" s="2610"/>
      <c r="N30" s="2438"/>
      <c r="O30" s="2449"/>
      <c r="P30" s="2438"/>
      <c r="Q30" s="2438"/>
      <c r="R30" s="2438"/>
      <c r="S30" s="2438"/>
      <c r="T30" s="2438"/>
      <c r="U30" s="2438"/>
      <c r="V30" s="2438"/>
    </row>
    <row r="31" spans="1:28">
      <c r="A31" s="3514"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5"/>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5"/>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509" t="s">
        <v>2228</v>
      </c>
      <c r="T34" s="2427" t="str">
        <f>NUMBERSTRING(7-K34,1)&amp;"通"</f>
        <v>七通</v>
      </c>
      <c r="U34" s="2438"/>
      <c r="V34" s="2438"/>
    </row>
    <row r="35" spans="1:30">
      <c r="A35" s="2428"/>
      <c r="B35" s="3516" t="s">
        <v>2229</v>
      </c>
      <c r="C35" s="3516"/>
      <c r="D35" s="3516"/>
      <c r="E35" s="3516"/>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1701.41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1701.41</v>
      </c>
      <c r="H5" s="13">
        <f t="shared" ref="H5:AT5" si="0">SUM(H13:H656)</f>
        <v>1701.41</v>
      </c>
      <c r="I5" s="13">
        <f t="shared" si="0"/>
        <v>1701.41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1701.41</v>
      </c>
      <c r="BA5" s="15">
        <f t="shared" si="1"/>
        <v>1701.41</v>
      </c>
      <c r="BB5" s="15">
        <f t="shared" si="1"/>
        <v>1701.41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独栋</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0</v>
      </c>
      <c r="F13" s="29"/>
      <c r="G13" s="30">
        <f>H13+AC13+AT13</f>
        <v>1701.41</v>
      </c>
      <c r="H13" s="17">
        <f>SUMIF(I$12:AB$12,"总值",I13:AB13)</f>
        <v>1701.41</v>
      </c>
      <c r="I13" s="1626">
        <v>1701.41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1701.41</v>
      </c>
      <c r="BA13" s="13">
        <f>SUM(BB13:BK13)</f>
        <v>1701.41</v>
      </c>
      <c r="BB13" s="13">
        <f>IF($D13="是",I13-J13,0)</f>
        <v>1701.41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6"/>
      <c r="G2" s="2647"/>
      <c r="H2" s="2648"/>
      <c r="I2" s="2325" t="s">
        <v>1132</v>
      </c>
      <c r="J2" s="2656"/>
      <c r="K2" s="2656"/>
      <c r="L2" s="2656"/>
      <c r="M2" s="2656"/>
      <c r="N2" s="2658"/>
      <c r="O2" s="2656"/>
      <c r="P2" s="2656"/>
    </row>
    <row r="3" spans="1:16" ht="15.75" thickBot="1">
      <c r="A3" s="3549" t="s">
        <v>1105</v>
      </c>
      <c r="B3" s="3549"/>
      <c r="C3" s="3549"/>
      <c r="D3" s="43">
        <f>'数据-基础表'!AY6</f>
        <v>0</v>
      </c>
      <c r="E3" s="43">
        <f>'数据-基础表'!AZ5</f>
        <v>1701.41</v>
      </c>
      <c r="F3" s="2656"/>
      <c r="G3" s="1145"/>
      <c r="H3" s="1026" t="s">
        <v>1106</v>
      </c>
      <c r="I3" s="855" t="e">
        <f>ROUND('数据-基础表'!B3/'数据-基础表'!A3,2)</f>
        <v>#DIV/0!</v>
      </c>
      <c r="J3" s="2656"/>
      <c r="K3" s="2656"/>
      <c r="L3" s="2656"/>
      <c r="M3" s="2656"/>
      <c r="N3" s="2658"/>
      <c r="O3" s="2656"/>
      <c r="P3" s="2656"/>
    </row>
    <row r="4" spans="1:16" ht="15">
      <c r="A4" s="3550"/>
      <c r="B4" s="3551"/>
      <c r="C4" s="355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53" t="s">
        <v>1110</v>
      </c>
      <c r="C5" s="355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53" t="s">
        <v>1111</v>
      </c>
      <c r="C6" s="3553"/>
      <c r="D6" s="45">
        <f>ROUND($D$3*E6/$E$3,2)</f>
        <v>0</v>
      </c>
      <c r="E6" s="46">
        <f>E3-E5</f>
        <v>1701.41</v>
      </c>
      <c r="F6" s="2656"/>
      <c r="G6" s="2650" t="s">
        <v>1112</v>
      </c>
      <c r="H6" s="1146" t="s">
        <v>1113</v>
      </c>
      <c r="I6" s="2651" t="e">
        <f>ROUND(F31/D31,2)</f>
        <v>#DIV/0!</v>
      </c>
      <c r="J6" s="2656"/>
      <c r="K6" s="2656"/>
      <c r="L6" s="2656"/>
      <c r="M6" s="2656"/>
      <c r="N6" s="2656"/>
      <c r="O6" s="2656"/>
      <c r="P6" s="2656"/>
    </row>
    <row r="7" spans="1:16" ht="15.75" thickBot="1">
      <c r="A7" s="3545"/>
      <c r="B7" s="3546"/>
      <c r="C7" s="354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1701.41</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1701.41</v>
      </c>
      <c r="F16" s="2656"/>
      <c r="G16" s="2657"/>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3423</v>
      </c>
      <c r="D19" s="45">
        <f>ROUND($D$3*E19/$E$3,2)</f>
        <v>0</v>
      </c>
      <c r="E19" s="53">
        <f t="shared" ref="E19:E26" si="1">SUM(F19:G19)</f>
        <v>1701.41</v>
      </c>
      <c r="F19" s="2792">
        <f>'数据-基础表'!I5</f>
        <v>1701.41</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1701.41</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1701.41</v>
      </c>
      <c r="F27" s="1140">
        <f>IF(SUM(F19:F26)=E8,SUM(F19:F26),"地上面积有误")</f>
        <v>1701.41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1701.41</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1701.41</v>
      </c>
      <c r="F31" s="677">
        <f>F27+F30</f>
        <v>1701.41</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商业用房</v>
      </c>
      <c r="B6" s="1713" t="str">
        <f>IF(A6=0,"","经营性")</f>
        <v>经营性</v>
      </c>
      <c r="C6" s="1714" t="s">
        <v>673</v>
      </c>
      <c r="D6" s="858">
        <f>SUMIF(项目基本情况!C$12:I$12,C6,项目基本情况!C$14:I$14)</f>
        <v>40</v>
      </c>
      <c r="E6" s="857">
        <f>IF(B6="","",SUMIF(项目基本情况!C$12:I$12,C6,项目基本情况!C$13:I$13))</f>
        <v>49739</v>
      </c>
      <c r="F6" s="64">
        <f>SUMIF(项目基本情况!C$12:I$12,C6,项目基本情况!C$15:I$15)</f>
        <v>40</v>
      </c>
      <c r="G6" s="65">
        <f>IF(ISERROR(ROUND(POWER(1+H6,D6-F6)*(POWER(1+H6,F6)-1)/(POWER(1+H6,D6)-1),3)),0,ROUND(POWER(1+H6,D6-F6)*(POWER(1+H6,F6)-1)/(POWER(1+H6,D6)-1),3))</f>
        <v>1</v>
      </c>
      <c r="H6" s="732">
        <v>5.5E-2</v>
      </c>
      <c r="I6" s="732">
        <v>0.06</v>
      </c>
      <c r="J6" s="66">
        <v>7.0000000000000007E-2</v>
      </c>
      <c r="K6" s="1030">
        <f>SUMIF('数据-汇总表'!C$19:C$33,A6,'数据-汇总表'!E$19:E$33)</f>
        <v>1701.41</v>
      </c>
      <c r="L6" s="733">
        <v>4000</v>
      </c>
      <c r="M6" s="67">
        <f t="shared" ref="M6:M14" si="0">ROUND(K6*L6/10000,0)</f>
        <v>681</v>
      </c>
      <c r="N6" s="731">
        <f>N21</f>
        <v>0.69199999999999995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f>'比较法-商业'!C49</f>
        <v>2.5</v>
      </c>
      <c r="V6" s="70">
        <v>0.03</v>
      </c>
      <c r="W6" s="70">
        <v>0.1</v>
      </c>
      <c r="X6" s="1040"/>
      <c r="Y6" s="71">
        <f>N6</f>
        <v>0.69199999999999995</v>
      </c>
      <c r="Z6" s="72"/>
      <c r="AA6" s="66"/>
      <c r="AB6" s="66"/>
      <c r="AC6" s="1040"/>
      <c r="AD6" s="73"/>
      <c r="AE6" s="1041">
        <f ca="1">IF(AN6="",0,SUMIF(INDIRECT("'"&amp;AN6&amp;"'"&amp;"!E:E"),$AE$5,INDIRECT("'"&amp;AN6&amp;"'"&amp;"!F:F")))</f>
        <v>40</v>
      </c>
      <c r="AF6" s="1348"/>
      <c r="AG6" s="138">
        <f>IF(AF6="",0,AE6-AF6)</f>
        <v>0</v>
      </c>
      <c r="AH6" s="74"/>
      <c r="AI6" s="76">
        <v>365</v>
      </c>
      <c r="AJ6" s="77"/>
      <c r="AK6" s="78">
        <v>1.4999999999999999E-2</v>
      </c>
      <c r="AL6" s="79">
        <v>1.5E-3</v>
      </c>
      <c r="AM6" s="80">
        <v>0.01</v>
      </c>
      <c r="AN6" s="1715" t="s">
        <v>3470</v>
      </c>
      <c r="AO6" s="52">
        <f ca="1">SUMIF(INDIRECT("'"&amp;AN6&amp;"'"&amp;"!A:A"),"总价",INDIRECT("'"&amp;AN6&amp;"'"&amp;"!B:B"))</f>
        <v>2253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5.5E-2</v>
      </c>
      <c r="I16" s="91"/>
      <c r="J16" s="91"/>
      <c r="K16" s="92">
        <f>SUM(K6:K15)</f>
        <v>1701.41</v>
      </c>
      <c r="L16" s="93">
        <f>ROUND(M16*10000/SUM(K6:K14),0)</f>
        <v>4003</v>
      </c>
      <c r="M16" s="93">
        <f>SUM(M6:M14)</f>
        <v>681</v>
      </c>
      <c r="N16" s="94">
        <f>ROUND(SUMPRODUCT(M6:M14,N6:N14)/M16,3)</f>
        <v>0.69199999999999995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62" t="s">
        <v>3465</v>
      </c>
      <c r="N18" s="2668">
        <v>1998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462" t="s">
        <v>3466</v>
      </c>
      <c r="N19" s="2668">
        <f>ROUND(1-(1-0%)*(2023-N18)/60,3)</f>
        <v>0.58299999999999996</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3462" t="s">
        <v>3467</v>
      </c>
      <c r="N20" s="3463">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3462" t="s">
        <v>3468</v>
      </c>
      <c r="N21" s="2668">
        <f>ROUND((N19+N20)/2,3)</f>
        <v>0.69199999999999995</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3474</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31" sqref="K31"/>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54" t="s">
        <v>2282</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55" t="s">
        <v>3429</v>
      </c>
      <c r="D3" s="2463"/>
      <c r="E3" s="2441" t="s">
        <v>2280</v>
      </c>
      <c r="F3" s="2464" t="s">
        <v>2253</v>
      </c>
      <c r="G3" s="2465" t="s">
        <v>2281</v>
      </c>
      <c r="H3" s="799"/>
      <c r="I3" s="799"/>
      <c r="J3" s="799"/>
      <c r="K3" s="799"/>
      <c r="L3" s="799"/>
      <c r="M3" s="799"/>
      <c r="N3" s="799"/>
      <c r="O3" s="799"/>
      <c r="P3" s="799"/>
      <c r="Q3" s="799"/>
      <c r="R3" s="799"/>
    </row>
    <row r="4" spans="1:29" ht="36">
      <c r="A4" s="2441"/>
      <c r="B4" s="323" t="s">
        <v>2254</v>
      </c>
      <c r="C4" s="3456" t="s">
        <v>3431</v>
      </c>
      <c r="D4" s="2463"/>
      <c r="E4" s="2466"/>
      <c r="F4" s="1373" t="s">
        <v>2255</v>
      </c>
      <c r="G4" s="2467" t="s">
        <v>2256</v>
      </c>
      <c r="H4" s="799"/>
      <c r="I4" s="799"/>
      <c r="J4" s="799"/>
      <c r="K4" s="799"/>
      <c r="L4" s="799"/>
      <c r="M4" s="799"/>
      <c r="N4" s="799"/>
      <c r="O4" s="799"/>
      <c r="P4" s="799"/>
      <c r="Q4" s="799"/>
      <c r="R4" s="799"/>
    </row>
    <row r="5" spans="1:29" ht="24">
      <c r="A5" s="2441"/>
      <c r="B5" s="323" t="s">
        <v>2257</v>
      </c>
      <c r="C5" s="3456" t="s">
        <v>3431</v>
      </c>
      <c r="D5" s="2463"/>
      <c r="E5" s="2466"/>
      <c r="F5" s="323" t="s">
        <v>2258</v>
      </c>
      <c r="G5" s="2467" t="s">
        <v>2259</v>
      </c>
      <c r="H5" s="799"/>
      <c r="I5" s="799"/>
      <c r="J5" s="799"/>
      <c r="K5" s="799"/>
      <c r="L5" s="799"/>
      <c r="M5" s="799"/>
      <c r="N5" s="799"/>
      <c r="O5" s="799"/>
      <c r="P5" s="799"/>
      <c r="Q5" s="799"/>
      <c r="R5" s="799"/>
    </row>
    <row r="6" spans="1:29">
      <c r="A6" s="2441"/>
      <c r="B6" s="323" t="s">
        <v>2260</v>
      </c>
      <c r="C6" s="3456" t="s">
        <v>3431</v>
      </c>
      <c r="D6" s="2463"/>
      <c r="E6" s="2466"/>
      <c r="F6" s="323" t="s">
        <v>2261</v>
      </c>
      <c r="G6" s="2467" t="s">
        <v>2262</v>
      </c>
      <c r="H6" s="799"/>
      <c r="I6" s="799"/>
      <c r="J6" s="799"/>
      <c r="K6" s="799"/>
      <c r="L6" s="799"/>
      <c r="M6" s="799"/>
      <c r="N6" s="799"/>
      <c r="O6" s="799"/>
      <c r="P6" s="799"/>
      <c r="Q6" s="799"/>
      <c r="R6" s="799"/>
    </row>
    <row r="7" spans="1:29" ht="24.75" thickBot="1">
      <c r="A7" s="2441"/>
      <c r="B7" s="323" t="s">
        <v>2258</v>
      </c>
      <c r="C7" s="3457" t="s">
        <v>3433</v>
      </c>
      <c r="D7" s="2468"/>
      <c r="E7" s="2469"/>
      <c r="F7" s="2470" t="s">
        <v>2263</v>
      </c>
      <c r="G7" s="2471" t="s">
        <v>2264</v>
      </c>
      <c r="H7" s="799"/>
      <c r="I7" s="799"/>
      <c r="J7" s="799"/>
      <c r="K7" s="799"/>
      <c r="L7" s="799"/>
      <c r="M7" s="799"/>
      <c r="N7" s="799"/>
      <c r="O7" s="799"/>
      <c r="P7" s="799"/>
      <c r="Q7" s="799"/>
      <c r="R7" s="799"/>
    </row>
    <row r="8" spans="1:29">
      <c r="A8" s="2441"/>
      <c r="B8" s="323" t="s">
        <v>2261</v>
      </c>
      <c r="C8" s="3457" t="s">
        <v>3434</v>
      </c>
      <c r="D8" s="2468"/>
      <c r="E8" s="2468"/>
      <c r="F8" s="2472"/>
      <c r="G8" s="2472"/>
      <c r="H8" s="799"/>
      <c r="I8" s="799"/>
      <c r="J8" s="799"/>
      <c r="K8" s="799"/>
      <c r="L8" s="799"/>
      <c r="M8" s="799"/>
      <c r="N8" s="799"/>
      <c r="O8" s="799"/>
      <c r="P8" s="799"/>
      <c r="Q8" s="799"/>
      <c r="R8" s="799"/>
    </row>
    <row r="9" spans="1:29">
      <c r="A9" s="2441"/>
      <c r="B9" s="323" t="s">
        <v>2265</v>
      </c>
      <c r="C9" s="3456" t="s">
        <v>3433</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2" sqref="C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1701.41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44992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0</v>
      </c>
      <c r="C5" s="2509">
        <f ca="1">IF(B5=D14,结果表!H102,ROUND(B5*10000/$B$1,0))</f>
        <v>0</v>
      </c>
      <c r="D5" s="2509" t="e">
        <f>ROUND(B5*10000/$B$2,0)</f>
        <v>#DIV/0!</v>
      </c>
      <c r="E5" s="2683"/>
      <c r="F5" s="2684"/>
      <c r="G5" s="2684"/>
      <c r="H5" s="2685"/>
      <c r="I5" s="2685"/>
      <c r="J5" s="2685"/>
      <c r="K5" s="2685"/>
    </row>
    <row r="6" spans="1:11" ht="16.5">
      <c r="A6" s="2509" t="s">
        <v>656</v>
      </c>
      <c r="B6" s="2509">
        <f>SUM(G14:G23)</f>
        <v>0</v>
      </c>
      <c r="C6" s="2509">
        <f ca="1">IF(B6=G14,结果表!H108,ROUND(B6*10000/$B$1,0))</f>
        <v>0</v>
      </c>
      <c r="D6" s="2509" t="e">
        <f>ROUND(B6*10000/$B$2,0)</f>
        <v>#DIV/0!</v>
      </c>
      <c r="E6" s="2683"/>
      <c r="F6" s="2684"/>
      <c r="G6" s="2684"/>
      <c r="H6" s="2685"/>
      <c r="I6" s="2685"/>
      <c r="J6" s="2685"/>
      <c r="K6" s="2685"/>
    </row>
    <row r="7" spans="1:11" ht="16.5">
      <c r="A7" s="2509" t="s">
        <v>664</v>
      </c>
      <c r="B7" s="2509">
        <f>SUM(H14:H23)</f>
        <v>0</v>
      </c>
      <c r="C7" s="2509" t="str">
        <f ca="1">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2218</v>
      </c>
      <c r="C10" s="2509" t="s">
        <v>3358</v>
      </c>
      <c r="D10" s="2509" t="s">
        <v>3359</v>
      </c>
      <c r="E10" s="3438">
        <f>'比较法-商业'!C48</f>
        <v>2.5</v>
      </c>
      <c r="F10" s="3442" t="s">
        <v>3360</v>
      </c>
      <c r="G10" s="3439">
        <v>7.0000000000000007E-2</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1701.41</v>
      </c>
      <c r="C14" s="2515"/>
      <c r="D14" s="2515"/>
      <c r="E14" s="2515">
        <f>ROUND(D14*10000/B14,0)</f>
        <v>0</v>
      </c>
      <c r="F14" s="2515" t="e">
        <f>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北京市丰台区莲香园1号楼1至3层1-3房地产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c r="D4" s="1756"/>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c r="D14" s="3593"/>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0" t="s">
        <v>2131</v>
      </c>
      <c r="F18" s="3581"/>
      <c r="G18" s="3581"/>
      <c r="H18" s="3581"/>
      <c r="I18" s="3581"/>
      <c r="K18" s="302" t="s">
        <v>1289</v>
      </c>
      <c r="L18" s="302">
        <f>IF(C1="",'数据-汇总表'!E3,SUMIF(项目类型,C1,'数据-汇总表'!E17:E26)+SUMIF(项目类型,C1,'数据-汇总表'!I17:I26))</f>
        <v>1701.41</v>
      </c>
      <c r="M18" s="302">
        <f>IF(C1="",'数据-汇总表'!E3,SUMIF(项目类型,C1,'数据-汇总表'!E17:E26))</f>
        <v>1701.41</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0">
        <v>1</v>
      </c>
      <c r="K46" s="3620" t="s">
        <v>1331</v>
      </c>
      <c r="L46" s="3620"/>
      <c r="M46" s="3640"/>
      <c r="N46" s="3640"/>
      <c r="O46" s="3640"/>
    </row>
    <row r="47" spans="1:15" ht="12" customHeight="1">
      <c r="A47" s="160" t="s">
        <v>1332</v>
      </c>
      <c r="B47" s="161"/>
      <c r="C47" s="162"/>
      <c r="D47" s="1087" t="s">
        <v>1333</v>
      </c>
      <c r="E47" s="302" t="s">
        <v>1334</v>
      </c>
      <c r="F47" s="163" t="s">
        <v>1335</v>
      </c>
      <c r="G47" s="2543" t="s">
        <v>1336</v>
      </c>
      <c r="H47" s="2544"/>
      <c r="I47" s="159"/>
      <c r="J47" s="2520">
        <v>2</v>
      </c>
      <c r="K47" s="3620" t="s">
        <v>1337</v>
      </c>
      <c r="L47" s="3620"/>
      <c r="M47" s="3641">
        <f>'数据-取费表'!B2</f>
        <v>44992</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20" t="s">
        <v>1340</v>
      </c>
      <c r="L48" s="3620"/>
      <c r="M48" s="3642" t="e">
        <f ca="1">H101</f>
        <v>#REF!</v>
      </c>
      <c r="N48" s="3642"/>
      <c r="O48" s="3642"/>
    </row>
    <row r="49" spans="1:35" ht="25.5" customHeight="1">
      <c r="A49" s="2333" t="s">
        <v>1341</v>
      </c>
      <c r="B49" s="3556" t="s">
        <v>1342</v>
      </c>
      <c r="C49" s="3556"/>
      <c r="D49" s="1590">
        <v>0</v>
      </c>
      <c r="E49" s="324" t="s">
        <v>1343</v>
      </c>
      <c r="F49" s="2423" t="s">
        <v>28</v>
      </c>
      <c r="G49" s="3626"/>
      <c r="H49" s="2310" t="s">
        <v>2134</v>
      </c>
      <c r="I49" s="2311"/>
      <c r="J49" s="2520">
        <v>4</v>
      </c>
      <c r="K49" s="3620" t="str">
        <f>IF(项目基本情况!E8="房地产抵押价值","房地产抵押价值","抵押担保权已注销时的房地产抵押价值")</f>
        <v>抵押担保权已注销时的房地产抵押价值</v>
      </c>
      <c r="L49" s="3620"/>
      <c r="M49" s="3642" t="str">
        <f ca="1">IF(项目基本情况!E8="房地产抵押价值",H107,H109)</f>
        <v>——</v>
      </c>
      <c r="N49" s="3642"/>
      <c r="O49" s="3642"/>
    </row>
    <row r="50" spans="1:35" ht="25.5" customHeight="1">
      <c r="A50" s="2548"/>
      <c r="B50" s="3556" t="s">
        <v>1344</v>
      </c>
      <c r="C50" s="3556"/>
      <c r="D50" s="2549"/>
      <c r="E50" s="332"/>
      <c r="F50" s="2423"/>
      <c r="G50" s="3627"/>
      <c r="H50" s="2312" t="s">
        <v>2135</v>
      </c>
      <c r="I50" s="2311"/>
      <c r="J50" s="3639" t="s">
        <v>1345</v>
      </c>
      <c r="K50" s="3639"/>
      <c r="L50" s="3639"/>
      <c r="M50" s="3639"/>
      <c r="N50" s="3639"/>
      <c r="O50" s="3639"/>
    </row>
    <row r="51" spans="1:35" ht="20.45" customHeight="1">
      <c r="A51" s="2550"/>
      <c r="B51" s="3556" t="s">
        <v>1346</v>
      </c>
      <c r="C51" s="3556"/>
      <c r="D51" s="1087"/>
      <c r="E51" s="327"/>
      <c r="F51" s="2423"/>
      <c r="G51" s="3628"/>
      <c r="H51" s="2312" t="s">
        <v>2136</v>
      </c>
      <c r="I51" s="2311"/>
      <c r="J51" s="2521" t="s">
        <v>1347</v>
      </c>
      <c r="K51" s="3620" t="s">
        <v>1348</v>
      </c>
      <c r="L51" s="3620"/>
      <c r="M51" s="2521" t="s">
        <v>1349</v>
      </c>
      <c r="N51" s="2521" t="s">
        <v>1350</v>
      </c>
      <c r="O51" s="2521" t="s">
        <v>1351</v>
      </c>
    </row>
    <row r="52" spans="1:35" ht="24" customHeight="1">
      <c r="A52" s="2335" t="s">
        <v>1352</v>
      </c>
      <c r="B52" s="3556" t="s">
        <v>1353</v>
      </c>
      <c r="C52" s="3556"/>
      <c r="D52" s="1087" t="e">
        <f ca="1">ROUND(D45*'数据-取费表'!B41/(1+'数据-取费表'!C42),0)</f>
        <v>#REF!</v>
      </c>
      <c r="E52" s="2334" t="s">
        <v>1354</v>
      </c>
      <c r="F52" s="2551">
        <f>'数据-取费表'!B41</f>
        <v>5.6000000000000001E-2</v>
      </c>
      <c r="G52" s="2552"/>
      <c r="H52" s="2541"/>
      <c r="I52" s="1807"/>
      <c r="J52" s="2520">
        <v>1</v>
      </c>
      <c r="K52" s="3621" t="s">
        <v>1355</v>
      </c>
      <c r="L52" s="3621"/>
      <c r="M52" s="2522" t="b">
        <f>D48</f>
        <v>0</v>
      </c>
      <c r="N52" s="2520" t="str">
        <f>E48</f>
        <v>销售额×税（费）率</v>
      </c>
      <c r="O52" s="2523">
        <f>F48</f>
        <v>5.6000000000000001E-2</v>
      </c>
    </row>
    <row r="53" spans="1:35" ht="12" customHeight="1">
      <c r="A53" s="2335" t="s">
        <v>1356</v>
      </c>
      <c r="B53" s="3582" t="s">
        <v>2287</v>
      </c>
      <c r="C53" s="3583"/>
      <c r="D53" s="1087" t="e">
        <f ca="1">ROUND(D45*'数据-取费表'!B41/(1+'数据-取费表'!C42),0)</f>
        <v>#REF!</v>
      </c>
      <c r="E53" s="2334" t="s">
        <v>1354</v>
      </c>
      <c r="F53" s="2551">
        <f>'数据-取费表'!B41</f>
        <v>5.6000000000000001E-2</v>
      </c>
      <c r="G53" s="2552"/>
      <c r="H53" s="2541"/>
      <c r="I53" s="1807"/>
      <c r="J53" s="2520">
        <v>2</v>
      </c>
      <c r="K53" s="3621" t="s">
        <v>1357</v>
      </c>
      <c r="L53" s="3621"/>
      <c r="M53" s="2522" t="e">
        <f t="shared" ref="M53:O54" ca="1" si="0">D55</f>
        <v>#REF!</v>
      </c>
      <c r="N53" s="2520" t="str">
        <f t="shared" si="0"/>
        <v>销售额×税（费）率</v>
      </c>
      <c r="O53" s="2523" t="str">
        <f t="shared" si="0"/>
        <v>免征</v>
      </c>
    </row>
    <row r="54" spans="1:35" ht="12" customHeight="1">
      <c r="A54" s="2335" t="s">
        <v>1358</v>
      </c>
      <c r="B54" s="3582" t="s">
        <v>2288</v>
      </c>
      <c r="C54" s="3583"/>
      <c r="D54" s="1087" t="e">
        <f ca="1">C68</f>
        <v>#REF!</v>
      </c>
      <c r="E54" s="327" t="s">
        <v>1359</v>
      </c>
      <c r="F54" s="2551">
        <f>'数据-取费表'!B41</f>
        <v>5.6000000000000001E-2</v>
      </c>
      <c r="G54" s="2552"/>
      <c r="H54" s="2553"/>
      <c r="I54" s="1807"/>
      <c r="J54" s="2520">
        <v>3</v>
      </c>
      <c r="K54" s="3621" t="s">
        <v>1360</v>
      </c>
      <c r="L54" s="3621"/>
      <c r="M54" s="2522" t="e">
        <f t="shared" ca="1" si="0"/>
        <v>#REF!</v>
      </c>
      <c r="N54" s="2520" t="str">
        <f t="shared" si="0"/>
        <v>增值额×税（费）率</v>
      </c>
      <c r="O54" s="2524" t="str">
        <f t="shared" si="0"/>
        <v>免征</v>
      </c>
    </row>
    <row r="55" spans="1:35" ht="24" customHeight="1">
      <c r="A55" s="3571" t="s">
        <v>1361</v>
      </c>
      <c r="B55" s="3572"/>
      <c r="C55" s="3572"/>
      <c r="D55" s="2324" t="e">
        <f ca="1">IF(H55="个人住宅",0,ROUND(D45*I55,0))</f>
        <v>#REF!</v>
      </c>
      <c r="E55" s="2334" t="s">
        <v>1362</v>
      </c>
      <c r="F55" s="2551" t="str">
        <f>IF(H55="正常",I55,"免征")</f>
        <v>免征</v>
      </c>
      <c r="G55" s="2552"/>
      <c r="H55" s="2547"/>
      <c r="I55" s="165">
        <f>'数据-取费表'!B49</f>
        <v>5.0000000000000001E-4</v>
      </c>
      <c r="J55" s="2520">
        <f>IF(H59="非个人房产","",4)</f>
        <v>4</v>
      </c>
      <c r="K55" s="3621" t="str">
        <f>IF(H59="非个人房产","——","个人所得税")</f>
        <v>个人所得税</v>
      </c>
      <c r="L55" s="3621"/>
      <c r="M55" s="2525" t="e">
        <f ca="1">D59</f>
        <v>#REF!</v>
      </c>
      <c r="N55" s="2040" t="str">
        <f>E59</f>
        <v>差额计税</v>
      </c>
      <c r="O55" s="2526">
        <f>F59</f>
        <v>0.01</v>
      </c>
    </row>
    <row r="56" spans="1:35" ht="24.75">
      <c r="A56" s="3571" t="s">
        <v>1363</v>
      </c>
      <c r="B56" s="3572"/>
      <c r="C56" s="3572"/>
      <c r="D56" s="2324" t="e">
        <f ca="1">IF(H56="个人住宅",D57,D58)</f>
        <v>#REF!</v>
      </c>
      <c r="E56" s="2334" t="s">
        <v>1364</v>
      </c>
      <c r="F56" s="2551" t="str">
        <f>IF(H56="正常",F58,"免征")</f>
        <v>免征</v>
      </c>
      <c r="G56" s="2554" t="s">
        <v>1365</v>
      </c>
      <c r="H56" s="2555"/>
      <c r="I56" s="1808"/>
      <c r="J56" s="2520" t="str">
        <f>IF(项目基本情况!K6="上海银行",IF(J55="",4,J55+1),"")</f>
        <v/>
      </c>
      <c r="K56" s="3644" t="str">
        <f>IF(项目基本情况!K6="上海银行","其他处置费用","")</f>
        <v/>
      </c>
      <c r="L56" s="3645"/>
      <c r="M56" s="2522"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2"/>
      <c r="H57" s="2556"/>
      <c r="I57" s="1808"/>
      <c r="J57" s="3621">
        <f>IF(AND(J55="",J56=""),4,IF(项目基本情况!K6="上海银行",结果表!J56+1,结果表!J55+1))</f>
        <v>5</v>
      </c>
      <c r="K57" s="3621" t="s">
        <v>1367</v>
      </c>
      <c r="L57" s="2527" t="s">
        <v>1368</v>
      </c>
      <c r="M57" s="2528"/>
      <c r="N57" s="2529">
        <f ca="1">SUMIF(M52:M56,"&lt;9e307")</f>
        <v>0</v>
      </c>
      <c r="O57" s="2530"/>
      <c r="P57" s="2687" t="e">
        <f ca="1">N57/M49</f>
        <v>#VALUE!</v>
      </c>
    </row>
    <row r="58" spans="1:35" ht="24.75">
      <c r="A58" s="2335" t="s">
        <v>1352</v>
      </c>
      <c r="B58" s="3582" t="s">
        <v>1369</v>
      </c>
      <c r="C58" s="3556"/>
      <c r="D58" s="2324" t="e">
        <f ca="1">IF(H58="转让取得",C81,C97)</f>
        <v>#REF!</v>
      </c>
      <c r="E58" s="2334" t="s">
        <v>1364</v>
      </c>
      <c r="F58" s="302" t="s">
        <v>28</v>
      </c>
      <c r="G58" s="2552"/>
      <c r="H58" s="2555"/>
      <c r="I58" s="1808"/>
      <c r="J58" s="3621"/>
      <c r="K58" s="3621"/>
      <c r="L58" s="2527" t="s">
        <v>1370</v>
      </c>
      <c r="M58" s="2531"/>
      <c r="N58" s="2532" t="str">
        <f ca="1">NUMBERSTRING(INT(N57*10000),2)&amp;"元整"</f>
        <v>零元整</v>
      </c>
      <c r="O58" s="2533"/>
    </row>
    <row r="59" spans="1:35" ht="24.75" thickBot="1">
      <c r="A59" s="3624" t="s">
        <v>1371</v>
      </c>
      <c r="B59" s="3625"/>
      <c r="C59" s="362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22">
        <f>J57+1</f>
        <v>6</v>
      </c>
      <c r="K59" s="3621" t="s">
        <v>1372</v>
      </c>
      <c r="L59" s="2520" t="s">
        <v>1368</v>
      </c>
      <c r="M59" s="2534"/>
      <c r="N59" s="2535" t="e">
        <f ca="1">M49-N57</f>
        <v>#VALUE!</v>
      </c>
      <c r="O59" s="2536"/>
    </row>
    <row r="60" spans="1:35" ht="12" customHeight="1">
      <c r="A60" s="1809"/>
      <c r="B60" s="1747"/>
      <c r="C60" s="1747"/>
      <c r="D60" s="1747"/>
      <c r="E60" s="1578"/>
      <c r="F60" s="1808"/>
      <c r="G60" s="1808"/>
      <c r="H60" s="1810"/>
      <c r="I60" s="129"/>
      <c r="J60" s="3623"/>
      <c r="K60" s="3621"/>
      <c r="L60" s="2527" t="s">
        <v>1370</v>
      </c>
      <c r="M60" s="2531"/>
      <c r="N60" s="2532" t="e">
        <f ca="1">NUMBERSTRING(INT(N59*10000),2)&amp;"元整"</f>
        <v>#VALUE!</v>
      </c>
      <c r="O60" s="2533"/>
    </row>
    <row r="61" spans="1:35" ht="13.5" thickBot="1">
      <c r="A61" s="3569" t="s">
        <v>1373</v>
      </c>
      <c r="B61" s="3569"/>
      <c r="C61" s="3569"/>
      <c r="D61" s="3569"/>
      <c r="E61" s="3569"/>
      <c r="F61" s="1808"/>
      <c r="G61" s="1808"/>
      <c r="H61" s="1810"/>
      <c r="I61" s="129"/>
      <c r="J61" s="2520">
        <f>J59+1</f>
        <v>7</v>
      </c>
      <c r="K61" s="3621" t="s">
        <v>1374</v>
      </c>
      <c r="L61" s="3621"/>
      <c r="M61" s="2537"/>
      <c r="N61" s="2538" t="e">
        <f ca="1">ROUND(N59*10000/'数据-汇总表'!E3,0)</f>
        <v>#VALUE!</v>
      </c>
      <c r="O61" s="2539"/>
    </row>
    <row r="62" spans="1:35" ht="12.75">
      <c r="A62" s="3587" t="s">
        <v>1375</v>
      </c>
      <c r="B62" s="3588"/>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646" t="s">
        <v>1379</v>
      </c>
      <c r="K63" s="1332" t="s">
        <v>1380</v>
      </c>
      <c r="L63" s="1332" t="e">
        <f ca="1">IF(M49&gt;10000,M49*0.5%,IF(AND(M49&gt;1000,M49&lt;=10000),M49*1%,IF(AND(M49&gt;100,M49&lt;=1000),M49*3%,IF(AND(M49&gt;10,M49&lt;=100),M49*5%,M49*8%))))</f>
        <v>#VALUE!</v>
      </c>
      <c r="M63" s="302" t="e">
        <f ca="1">ROUND(L63,1)</f>
        <v>#VALUE!</v>
      </c>
      <c r="N63" s="2540"/>
      <c r="Z63" s="1752"/>
      <c r="AI63" s="1753"/>
    </row>
    <row r="64" spans="1:35" ht="14.25" customHeight="1">
      <c r="A64" s="169" t="s">
        <v>325</v>
      </c>
      <c r="B64" s="170" t="s">
        <v>1381</v>
      </c>
      <c r="C64" s="2562" t="e">
        <f ca="1">D45</f>
        <v>#REF!</v>
      </c>
      <c r="D64" s="170" t="s">
        <v>26</v>
      </c>
      <c r="E64" s="172"/>
      <c r="F64" s="1808"/>
      <c r="G64" s="1808"/>
      <c r="H64" s="1810"/>
      <c r="I64" s="129"/>
      <c r="J64" s="364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1" t="s">
        <v>1383</v>
      </c>
      <c r="Z64" s="1752"/>
      <c r="AI64" s="1753"/>
    </row>
    <row r="65" spans="1:35" ht="14.25" customHeight="1">
      <c r="A65" s="169" t="s">
        <v>326</v>
      </c>
      <c r="B65" s="170" t="s">
        <v>1384</v>
      </c>
      <c r="C65" s="2563"/>
      <c r="D65" s="170"/>
      <c r="E65" s="172"/>
      <c r="F65" s="1808"/>
      <c r="G65" s="1808"/>
      <c r="H65" s="1810"/>
      <c r="I65" s="129"/>
      <c r="J65" s="3646"/>
      <c r="K65" s="1332" t="s">
        <v>1385</v>
      </c>
      <c r="L65" s="1332" t="e">
        <f ca="1">IF(M49&gt;1000,M49*0.1%,IF(AND(M49&gt;500,M49&lt;=1000),M49*0.5%,IF(AND(M49&gt;50,M49&lt;=500),M49*1%,IF(AND(M49&gt;1,M49&lt;=50),M49*1.5%))))</f>
        <v>#VALUE!</v>
      </c>
      <c r="M65" s="302" t="e">
        <f t="shared" ca="1" si="1"/>
        <v>#VALUE!</v>
      </c>
      <c r="N65" s="2541" t="s">
        <v>1383</v>
      </c>
      <c r="Z65" s="1752"/>
      <c r="AI65" s="1753"/>
    </row>
    <row r="66" spans="1:35" ht="14.25" customHeight="1">
      <c r="A66" s="173" t="s">
        <v>327</v>
      </c>
      <c r="B66" s="174" t="s">
        <v>1386</v>
      </c>
      <c r="C66" s="2564"/>
      <c r="D66" s="174" t="s">
        <v>26</v>
      </c>
      <c r="E66" s="1338" t="s">
        <v>671</v>
      </c>
      <c r="F66" s="1808"/>
      <c r="G66" s="1808"/>
      <c r="H66" s="1810"/>
      <c r="I66" s="129"/>
      <c r="J66" s="3646"/>
      <c r="K66" s="1332" t="s">
        <v>1387</v>
      </c>
      <c r="L66" s="1332" t="e">
        <f ca="1">M49*0.5%</f>
        <v>#VALUE!</v>
      </c>
      <c r="M66" s="302" t="e">
        <f ca="1">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4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46"/>
      <c r="K68" s="1332" t="s">
        <v>1392</v>
      </c>
      <c r="L68" s="1332" t="e">
        <f ca="1">IF(M49&gt;10000,M49*0.5%,IF(AND(M49&gt;5000,M49&lt;=10000),M49*1%,IF(AND(M49&gt;1000,M49&lt;=5000),M49*2%,IF(AND(M49&gt;200,M49&lt;=1000),M49*3%,M49*5%))))</f>
        <v>#VALUE!</v>
      </c>
      <c r="M68" s="302" t="e">
        <f ca="1">ROUND(L68,1)</f>
        <v>#VALUE!</v>
      </c>
      <c r="N68" s="2540"/>
      <c r="Z68" s="1752"/>
      <c r="AI68" s="1753"/>
    </row>
    <row r="69" spans="1:35" s="1772" customFormat="1" ht="16.5" customHeight="1">
      <c r="A69" s="1811"/>
      <c r="B69" s="1812"/>
      <c r="C69" s="1813"/>
      <c r="D69" s="1814"/>
      <c r="E69" s="1815"/>
      <c r="F69" s="1578"/>
      <c r="G69" s="1578"/>
      <c r="H69" s="1577"/>
      <c r="I69" s="1747"/>
      <c r="J69" s="3646"/>
      <c r="K69" s="1332" t="s">
        <v>1393</v>
      </c>
      <c r="L69" s="1332"/>
      <c r="M69" s="302" t="e">
        <f ca="1">ROUND(SUM(M63:M68),0)</f>
        <v>#VALUE!</v>
      </c>
      <c r="N69" s="2542"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48" t="s">
        <v>2129</v>
      </c>
      <c r="H90" s="3649"/>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66" t="s">
        <v>1422</v>
      </c>
      <c r="F92" s="3567"/>
      <c r="G92" s="3567"/>
      <c r="H92" s="3576"/>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2">
        <f>C4</f>
        <v>0</v>
      </c>
      <c r="D101" s="2583">
        <f>D4</f>
        <v>0</v>
      </c>
      <c r="E101" s="3643" t="s">
        <v>1431</v>
      </c>
      <c r="F101" s="3600"/>
      <c r="G101" s="1827" t="s">
        <v>1432</v>
      </c>
      <c r="H101" s="2592" t="e">
        <f ca="1">H118</f>
        <v>#REF!</v>
      </c>
      <c r="I101" s="129"/>
    </row>
    <row r="102" spans="1:35" ht="18.75" customHeight="1">
      <c r="A102" s="3602" t="s">
        <v>1433</v>
      </c>
      <c r="B102" s="2581" t="s">
        <v>1432</v>
      </c>
      <c r="C102" s="2582" t="e">
        <f ca="1">IF(D32="楼面单价",ROUND(C19,0),C19)</f>
        <v>#REF!</v>
      </c>
      <c r="D102" s="2583" t="e">
        <f ca="1">IF(D32="楼面单价",ROUND(D19,0),D19)</f>
        <v>#REF!</v>
      </c>
      <c r="E102" s="3643"/>
      <c r="F102" s="3600"/>
      <c r="G102" s="1827" t="s">
        <v>1434</v>
      </c>
      <c r="H102" s="2552" t="e">
        <f ca="1">I118</f>
        <v>#REF!</v>
      </c>
      <c r="I102" s="129"/>
    </row>
    <row r="103" spans="1:35" ht="42.75" customHeight="1">
      <c r="A103" s="3602"/>
      <c r="B103" s="2581" t="s">
        <v>1434</v>
      </c>
      <c r="C103" s="2584" t="e">
        <f ca="1">C20</f>
        <v>#REF!</v>
      </c>
      <c r="D103" s="2585" t="e">
        <f ca="1">D20</f>
        <v>#REF!</v>
      </c>
      <c r="E103" s="3637" t="s">
        <v>1435</v>
      </c>
      <c r="F103" s="3638"/>
      <c r="G103" s="1828" t="s">
        <v>1436</v>
      </c>
      <c r="H103" s="2592">
        <f>IF(D36="正常操作",H104+H105+H106,H105+H106)</f>
        <v>0</v>
      </c>
      <c r="I103" s="129"/>
    </row>
    <row r="104" spans="1:35" ht="18.75" customHeight="1">
      <c r="A104" s="3602"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03"/>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9" t="str">
        <f>IF(项目基本情况!E8="已注销","——","3.房地产抵押价值")</f>
        <v>3.房地产抵押价值</v>
      </c>
      <c r="F107" s="3600"/>
      <c r="G107" s="1827" t="s">
        <v>1432</v>
      </c>
      <c r="H107" s="2592" t="e">
        <f ca="1">IF(E107="——","——",H101-H103)</f>
        <v>#REF!</v>
      </c>
      <c r="I107" s="129"/>
    </row>
    <row r="108" spans="1:35" ht="18.75" customHeight="1">
      <c r="A108" s="129"/>
      <c r="B108" s="129"/>
      <c r="C108" s="129"/>
      <c r="D108" s="129"/>
      <c r="E108" s="3599"/>
      <c r="F108" s="3600"/>
      <c r="G108" s="1827" t="s">
        <v>1434</v>
      </c>
      <c r="H108" s="2552">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4.抵押担保权已注销时的房地产抵押价值</v>
      </c>
      <c r="F109" s="3600"/>
      <c r="G109" s="1827" t="s">
        <v>1432</v>
      </c>
      <c r="H109" s="2595" t="str">
        <f ca="1">IF(E109="——","——",H101-H105-H106)</f>
        <v>——</v>
      </c>
      <c r="I109" s="129"/>
    </row>
    <row r="110" spans="1:35" ht="18.75" customHeight="1">
      <c r="A110" s="129"/>
      <c r="B110" s="129"/>
      <c r="C110" s="129"/>
      <c r="D110" s="129"/>
      <c r="E110" s="3599"/>
      <c r="F110" s="3600"/>
      <c r="G110" s="1827" t="s">
        <v>1434</v>
      </c>
      <c r="H110" s="2552" t="str">
        <f ca="1">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2" t="str">
        <f>IF(E111="——","——",N59)</f>
        <v>——</v>
      </c>
      <c r="I111" s="129"/>
    </row>
    <row r="112" spans="1:35" ht="18.75" customHeight="1" thickBot="1">
      <c r="A112" s="129"/>
      <c r="B112" s="129"/>
      <c r="C112" s="129"/>
      <c r="D112" s="129"/>
      <c r="E112" s="3632"/>
      <c r="F112" s="3633"/>
      <c r="G112" s="1830" t="s">
        <v>1434</v>
      </c>
      <c r="H112" s="2596"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597" t="str">
        <f>项目基本情况!S2</f>
        <v>北京市丰台区莲香园1号楼1至3层1-3房地产</v>
      </c>
      <c r="B118" s="2329">
        <f>M18</f>
        <v>1701.41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 ca="1">H109</f>
        <v>——</v>
      </c>
      <c r="E124" s="3635"/>
      <c r="F124" s="3635"/>
      <c r="G124" s="3635"/>
      <c r="H124" s="3635"/>
      <c r="I124" s="3636"/>
      <c r="AA124" s="725"/>
    </row>
    <row r="125" spans="1:27" ht="18.75" customHeight="1">
      <c r="A125" s="3570" t="s">
        <v>1452</v>
      </c>
      <c r="B125" s="3570"/>
      <c r="C125" s="3570"/>
      <c r="D125" s="3610" t="e">
        <f ca="1">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7" activeCellId="1" sqref="F39:F48 N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1701.41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1701.41</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1701.41</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31</v>
      </c>
      <c r="D42" s="238"/>
      <c r="E42" s="238"/>
      <c r="F42" s="239"/>
      <c r="G42" s="3650" t="s">
        <v>1544</v>
      </c>
    </row>
    <row r="43" spans="1:7" ht="13.5" customHeight="1">
      <c r="A43" s="780" t="s">
        <v>347</v>
      </c>
      <c r="B43" s="215" t="s">
        <v>1545</v>
      </c>
      <c r="C43" s="238">
        <f ca="1">ROUND(IF('数据-取费表'!B22&lt;=1,C39*F22*'数据-取费表'!B21/2,C39*(POWER((1+F22),'数据-取费表'!B21/2)-1)),0)</f>
        <v>1</v>
      </c>
      <c r="D43" s="238"/>
      <c r="E43" s="238"/>
      <c r="F43" s="239"/>
      <c r="G43" s="3651"/>
    </row>
    <row r="44" spans="1:7" ht="13.5" customHeight="1">
      <c r="A44" s="780"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152</v>
      </c>
      <c r="D45" s="235">
        <f ca="1">C47</f>
        <v>4.0000000000000001E-3</v>
      </c>
      <c r="E45" s="236" t="s">
        <v>1539</v>
      </c>
      <c r="F45" s="246">
        <f ca="1">F27</f>
        <v>0.2</v>
      </c>
      <c r="G45" s="247" t="s">
        <v>1548</v>
      </c>
    </row>
    <row r="46" spans="1:7" s="214" customFormat="1" ht="13.5" customHeight="1">
      <c r="A46" s="780" t="s">
        <v>346</v>
      </c>
      <c r="B46" s="248" t="s">
        <v>1549</v>
      </c>
      <c r="C46" s="249">
        <f ca="1">ROUND((C33+C39)*F27,0)</f>
        <v>152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1024</v>
      </c>
      <c r="D49" s="232"/>
      <c r="E49" s="232"/>
      <c r="F49" s="264"/>
      <c r="G49" s="234" t="s">
        <v>1554</v>
      </c>
    </row>
    <row r="50" spans="1:7" s="258" customFormat="1" ht="24">
      <c r="A50" s="255" t="s">
        <v>1555</v>
      </c>
      <c r="B50" s="210" t="s">
        <v>1556</v>
      </c>
      <c r="C50" s="232"/>
      <c r="D50" s="232"/>
      <c r="E50" s="232"/>
      <c r="F50" s="264">
        <f>IF('数据-取费表'!B24=0,'数据-取费表'!N16,1)</f>
        <v>0.69199999999999995</v>
      </c>
      <c r="G50" s="247" t="s">
        <v>1557</v>
      </c>
    </row>
    <row r="51" spans="1:7" ht="16.5" customHeight="1">
      <c r="A51" s="255" t="s">
        <v>1558</v>
      </c>
      <c r="B51" s="210" t="s">
        <v>1559</v>
      </c>
      <c r="C51" s="232">
        <f ca="1">ROUND(C49*F50,0)</f>
        <v>709</v>
      </c>
      <c r="D51" s="232"/>
      <c r="E51" s="232"/>
      <c r="F51" s="264"/>
      <c r="G51" s="234" t="s">
        <v>1560</v>
      </c>
    </row>
    <row r="52" spans="1:7" s="208" customFormat="1" ht="16.5" thickBot="1">
      <c r="A52" s="265" t="s">
        <v>1561</v>
      </c>
      <c r="B52" s="266"/>
      <c r="C52" s="267">
        <f ca="1">C31+C51</f>
        <v>806</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北京市丰台区莲香园1号楼1至3层1-3房地产市场价值预评估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t="str">
        <f>项目基本情况!B5</f>
        <v>湖南省益阳市人民政府驻北京联络处</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郑燚（注册号：1120070131)、刘俊财（注册号：0)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7" activeCellId="1" sqref="F39:F48 N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805.03070000000002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340282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340282</v>
      </c>
      <c r="D10" s="845">
        <f ca="1">IF(B1="",'数据-汇总表'!E6,IF(INDIRECT("'数据-取费表'!c"&amp;$G$1)="住宅",INDIRECT("'数据-取费表'!s"&amp;$G$1),INDIRECT("'数据-取费表'!k"&amp;$G$1)+INDIRECT("'数据-取费表'!s"&amp;$G$1)))</f>
        <v>1701.41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340282</v>
      </c>
      <c r="D19" s="849">
        <f ca="1">D9+D10</f>
        <v>1701.41</v>
      </c>
      <c r="E19" s="211">
        <f>'数据-取费表'!B31</f>
        <v>200</v>
      </c>
      <c r="F19" s="231"/>
      <c r="G19" s="1856"/>
    </row>
    <row r="20" spans="1:7" s="214" customFormat="1" ht="13.5" customHeight="1">
      <c r="A20" s="255" t="s">
        <v>1574</v>
      </c>
      <c r="B20" s="210" t="s">
        <v>1575</v>
      </c>
      <c r="C20" s="232">
        <f ca="1">ROUND((C5+C19)*F20,0)</f>
        <v>13611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58223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28829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28829</v>
      </c>
      <c r="D24" s="238"/>
      <c r="E24" s="238"/>
      <c r="F24" s="239"/>
      <c r="G24" s="240" t="s">
        <v>1586</v>
      </c>
    </row>
    <row r="25" spans="1:7" s="214" customFormat="1" ht="24">
      <c r="A25" s="780" t="s">
        <v>1476</v>
      </c>
      <c r="B25" s="215" t="s">
        <v>1587</v>
      </c>
      <c r="C25" s="1128">
        <f ca="1">ROUND(IF('数据-取费表'!B22&lt;=1,C20*F22*'数据-取费表'!B22/2,C20*(POWER((1+F22),'数据-取费表'!B22/2)-1)),0)</f>
        <v>565</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138835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138835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966735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7452176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6805640</v>
      </c>
      <c r="D34" s="217"/>
      <c r="E34" s="220"/>
      <c r="F34" s="257"/>
      <c r="G34" s="219"/>
    </row>
    <row r="35" spans="1:7" ht="13.5" customHeight="1">
      <c r="A35" s="780" t="s">
        <v>351</v>
      </c>
      <c r="B35" s="215" t="s">
        <v>1527</v>
      </c>
      <c r="C35" s="220">
        <f ca="1">ROUND(C34*F35,0)</f>
        <v>204169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340282</v>
      </c>
      <c r="D37" s="217">
        <f ca="1">D19</f>
        <v>1701.41</v>
      </c>
      <c r="E37" s="249">
        <f>'数据-取费表'!B35</f>
        <v>200</v>
      </c>
      <c r="F37" s="259"/>
      <c r="G37" s="261"/>
    </row>
    <row r="38" spans="1:7" ht="13.5" customHeight="1">
      <c r="A38" s="780" t="s">
        <v>354</v>
      </c>
      <c r="B38" s="215" t="s">
        <v>1533</v>
      </c>
      <c r="C38" s="220">
        <f ca="1">ROUND(C34*F38,0)</f>
        <v>102085</v>
      </c>
      <c r="D38" s="220"/>
      <c r="E38" s="220"/>
      <c r="F38" s="259">
        <f>'数据-取费表'!B36</f>
        <v>1.4999999999999999E-2</v>
      </c>
      <c r="G38" s="219" t="s">
        <v>1528</v>
      </c>
    </row>
    <row r="39" spans="1:7" s="214" customFormat="1" ht="13.5" customHeight="1">
      <c r="A39" s="255" t="s">
        <v>1534</v>
      </c>
      <c r="B39" s="210" t="s">
        <v>1535</v>
      </c>
      <c r="C39" s="232">
        <f ca="1">ROUND(C33*F20,0)</f>
        <v>149044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315450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309265</v>
      </c>
      <c r="D42" s="238"/>
      <c r="E42" s="238"/>
      <c r="F42" s="239"/>
      <c r="G42" s="3650" t="s">
        <v>1591</v>
      </c>
    </row>
    <row r="43" spans="1:7" ht="13.5" customHeight="1">
      <c r="A43" s="780" t="s">
        <v>347</v>
      </c>
      <c r="B43" s="215" t="s">
        <v>1545</v>
      </c>
      <c r="C43" s="238">
        <f ca="1">ROUND(IF('数据-取费表'!B22&lt;=1,C39*F22*'数据-取费表'!B20/2,C39*(POWER((1+F22),'数据-取费表'!B20/2)-1)),0)</f>
        <v>6185</v>
      </c>
      <c r="D43" s="238"/>
      <c r="E43" s="238"/>
      <c r="F43" s="239"/>
      <c r="G43" s="3651"/>
    </row>
    <row r="44" spans="1:7" ht="13.5" customHeight="1">
      <c r="A44" s="780"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1520244</v>
      </c>
      <c r="D45" s="235">
        <f ca="1">C47</f>
        <v>4.0000000000000001E-3</v>
      </c>
      <c r="E45" s="236" t="s">
        <v>1539</v>
      </c>
      <c r="F45" s="246">
        <f ca="1">F27</f>
        <v>0.2</v>
      </c>
      <c r="G45" s="247" t="s">
        <v>1548</v>
      </c>
    </row>
    <row r="46" spans="1:7" s="214" customFormat="1" ht="13.5" customHeight="1">
      <c r="A46" s="780" t="s">
        <v>346</v>
      </c>
      <c r="B46" s="248" t="s">
        <v>1549</v>
      </c>
      <c r="C46" s="249">
        <f ca="1">ROUND((C33+C39)*F27,0)</f>
        <v>1520244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10236375</v>
      </c>
      <c r="D49" s="232"/>
      <c r="E49" s="232"/>
      <c r="F49" s="264"/>
      <c r="G49" s="234" t="s">
        <v>1554</v>
      </c>
    </row>
    <row r="50" spans="1:7" s="258" customFormat="1">
      <c r="A50" s="255" t="s">
        <v>1555</v>
      </c>
      <c r="B50" s="210" t="s">
        <v>1556</v>
      </c>
      <c r="C50" s="232"/>
      <c r="D50" s="232"/>
      <c r="E50" s="232"/>
      <c r="F50" s="264">
        <f>IF('数据-取费表'!B24=0,'数据-取费表'!N16,1)</f>
        <v>0.69199999999999995</v>
      </c>
      <c r="G50" s="247"/>
    </row>
    <row r="51" spans="1:7" ht="16.5" customHeight="1">
      <c r="A51" s="255" t="s">
        <v>1558</v>
      </c>
      <c r="B51" s="210" t="s">
        <v>1593</v>
      </c>
      <c r="C51" s="232">
        <f ca="1">ROUND(C49*F50,0)</f>
        <v>7083572</v>
      </c>
      <c r="D51" s="232"/>
      <c r="E51" s="232"/>
      <c r="F51" s="264"/>
      <c r="G51" s="234" t="s">
        <v>1560</v>
      </c>
    </row>
    <row r="52" spans="1:7" s="208" customFormat="1" ht="16.5" thickBot="1">
      <c r="A52" s="265" t="s">
        <v>1561</v>
      </c>
      <c r="B52" s="266"/>
      <c r="C52" s="267">
        <f ca="1">C31+C51</f>
        <v>8050307</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7" activeCellId="1" sqref="F39:F48 N6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1701.41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1701.41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1701.41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7" activeCellId="1" sqref="F39:F48 N6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0</v>
      </c>
      <c r="D6" s="155" t="s">
        <v>2106</v>
      </c>
      <c r="E6" s="302" t="s">
        <v>696</v>
      </c>
      <c r="F6" s="303">
        <f ca="1">INDIRECT("'数据-取费表'!u"&amp;$G$1)</f>
        <v>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t="e">
        <f ca="1">ROUND((C68-C40)/10000,4)</f>
        <v>#DIV/0!</v>
      </c>
      <c r="D45" s="3429"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2253</v>
      </c>
      <c r="C2" s="1872" t="s">
        <v>1651</v>
      </c>
      <c r="D2" s="1873" t="s">
        <v>1652</v>
      </c>
      <c r="E2" s="2604">
        <f>SUM(E6:E13)</f>
        <v>1701.41</v>
      </c>
      <c r="F2" s="2704"/>
      <c r="G2" s="1489"/>
      <c r="H2" s="1489"/>
      <c r="I2" s="1489"/>
      <c r="J2" s="1489"/>
      <c r="K2" s="1489"/>
      <c r="L2" s="1489"/>
      <c r="M2" s="1489"/>
      <c r="N2" s="1489"/>
      <c r="O2" s="1489"/>
      <c r="P2" s="1489"/>
      <c r="Q2" s="1489"/>
      <c r="R2" s="1489"/>
      <c r="S2" s="1489"/>
    </row>
    <row r="3" spans="1:22" ht="15.75">
      <c r="A3" s="1870" t="s">
        <v>686</v>
      </c>
      <c r="B3" s="2598">
        <f ca="1">ROUND(B2*10000/E2,0)</f>
        <v>13242</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58" t="s">
        <v>1654</v>
      </c>
      <c r="C5" s="3659"/>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2253</v>
      </c>
      <c r="C6" s="1872" t="s">
        <v>1651</v>
      </c>
      <c r="D6" s="2706"/>
      <c r="E6" s="2603">
        <f>IF(OR(A6=0,F6="否"),0,'数据-取费表'!K6+'数据-取费表'!S6)</f>
        <v>1701.41</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1701.41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2"/>
      <c r="M4" s="2713"/>
      <c r="N4" s="2713"/>
      <c r="O4" s="2713"/>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ht="15">
      <c r="A5" s="358"/>
      <c r="B5" s="359"/>
      <c r="C5" s="3697" t="s">
        <v>1673</v>
      </c>
      <c r="D5" s="3698"/>
      <c r="E5" s="3704" t="s">
        <v>1674</v>
      </c>
      <c r="F5" s="3705"/>
      <c r="G5" s="3697" t="s">
        <v>1675</v>
      </c>
      <c r="H5" s="3698"/>
      <c r="I5" s="3697" t="s">
        <v>1676</v>
      </c>
      <c r="J5" s="3698"/>
      <c r="K5" s="1890"/>
      <c r="L5" s="2712"/>
      <c r="M5" s="2713"/>
      <c r="N5" s="2713"/>
      <c r="O5" s="2713"/>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1890" t="s">
        <v>1678</v>
      </c>
      <c r="L6" s="2712"/>
      <c r="M6" s="2713"/>
      <c r="N6" s="2713"/>
      <c r="O6" s="2713"/>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4"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4"/>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4"/>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4"/>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4"/>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4"/>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73"/>
      <c r="Q16" s="1352"/>
      <c r="R16" s="705"/>
      <c r="S16" s="706"/>
      <c r="T16" s="705"/>
      <c r="U16" s="706"/>
      <c r="V16" s="705"/>
      <c r="W16" s="706"/>
      <c r="X16" s="1355"/>
      <c r="Y16" s="366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73"/>
      <c r="Q18" s="1352"/>
      <c r="R18" s="705"/>
      <c r="S18" s="706"/>
      <c r="T18" s="705"/>
      <c r="U18" s="706"/>
      <c r="V18" s="705"/>
      <c r="W18" s="706"/>
      <c r="X18" s="1355"/>
      <c r="Y18" s="366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73"/>
      <c r="Q20" s="1352"/>
      <c r="R20" s="705"/>
      <c r="S20" s="706"/>
      <c r="T20" s="705"/>
      <c r="U20" s="706"/>
      <c r="V20" s="705"/>
      <c r="W20" s="706"/>
      <c r="X20" s="1355"/>
      <c r="Y20" s="366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73"/>
      <c r="Q22" s="1352"/>
      <c r="R22" s="705"/>
      <c r="S22" s="706"/>
      <c r="T22" s="705"/>
      <c r="U22" s="706"/>
      <c r="V22" s="705"/>
      <c r="W22" s="706"/>
      <c r="X22" s="1355"/>
      <c r="Y22" s="366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73"/>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16" zoomScale="80" zoomScaleNormal="70" zoomScaleSheetLayoutView="80" workbookViewId="0">
      <selection activeCell="L41" sqref="L4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3422</v>
      </c>
      <c r="E1" s="3423" t="s">
        <v>3424</v>
      </c>
      <c r="F1" s="1879" t="s">
        <v>3425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0.4254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2.5</v>
      </c>
      <c r="C3" s="354" t="s">
        <v>1768</v>
      </c>
      <c r="D3" s="353">
        <f>IF(D1="",'数据-汇总表'!E3,SUMIF('数据-汇总表'!$C19:$C33,D1,'数据-汇总表'!$E19:$E33))</f>
        <v>1701.41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ht="29.25" customHeight="1">
      <c r="A5" s="358"/>
      <c r="B5" s="359"/>
      <c r="C5" s="3697" t="s">
        <v>1673</v>
      </c>
      <c r="D5" s="3698"/>
      <c r="E5" s="3704" t="str">
        <f>案例!B5</f>
        <v>丰台区三路居113号</v>
      </c>
      <c r="F5" s="3705"/>
      <c r="G5" s="3697" t="str">
        <f>案例!B10</f>
        <v>海淀区吴家村路6号综合楼</v>
      </c>
      <c r="H5" s="3698"/>
      <c r="I5" s="3697" t="str">
        <f>案例!B3</f>
        <v>大兴区黄村镇兴华中路34号</v>
      </c>
      <c r="J5" s="3698"/>
      <c r="K5" s="559"/>
      <c r="L5" s="2712"/>
      <c r="M5" s="2713"/>
      <c r="N5" s="2713"/>
      <c r="O5" s="2713"/>
      <c r="P5" s="3684"/>
      <c r="Q5" s="3685"/>
      <c r="R5" s="3690"/>
      <c r="S5" s="3691"/>
      <c r="T5" s="3690"/>
      <c r="U5" s="3691"/>
      <c r="V5" s="3694"/>
      <c r="W5" s="3694"/>
      <c r="X5" s="1355"/>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2"/>
      <c r="M6" s="2713"/>
      <c r="N6" s="2713"/>
      <c r="O6" s="2713"/>
      <c r="P6" s="3686"/>
      <c r="Q6" s="3687"/>
      <c r="R6" s="3690"/>
      <c r="S6" s="3691"/>
      <c r="T6" s="3692"/>
      <c r="U6" s="3693"/>
      <c r="V6" s="3694"/>
      <c r="W6" s="3694"/>
      <c r="X6" s="1355"/>
      <c r="Y6" s="3692"/>
      <c r="Z6" s="3693"/>
      <c r="AA6" s="3677"/>
      <c r="AB6" s="3694"/>
      <c r="AC6" s="3677"/>
    </row>
    <row r="7" spans="1:29" s="108" customFormat="1" ht="15.75" thickBot="1">
      <c r="A7" s="362" t="s">
        <v>1679</v>
      </c>
      <c r="B7" s="363"/>
      <c r="C7" s="364">
        <f>'数据-取费表'!B2</f>
        <v>44992</v>
      </c>
      <c r="D7" s="365">
        <v>100</v>
      </c>
      <c r="E7" s="366">
        <v>44986</v>
      </c>
      <c r="F7" s="367">
        <f>SUMIF(58:58,YEAR(E7)&amp;"-"&amp;MONTH(E7),59:59)</f>
        <v>100</v>
      </c>
      <c r="G7" s="366">
        <f>E7</f>
        <v>44986</v>
      </c>
      <c r="H7" s="365">
        <f>SUMIF(58:58,YEAR(G7)&amp;"-"&amp;MONTH(G7),59:59)</f>
        <v>100</v>
      </c>
      <c r="I7" s="366">
        <f>E7</f>
        <v>44986</v>
      </c>
      <c r="J7" s="365">
        <f>SUMIF(58:58,YEAR(I7)&amp;"-"&amp;MONTH(I7),59:59)</f>
        <v>100</v>
      </c>
      <c r="K7" s="560"/>
      <c r="L7" s="2714"/>
      <c r="M7" s="2715"/>
      <c r="N7" s="2715"/>
      <c r="O7" s="2715"/>
      <c r="P7" s="3699" t="s">
        <v>1680</v>
      </c>
      <c r="Q7" s="3701"/>
      <c r="R7" s="701" t="s">
        <v>14</v>
      </c>
      <c r="S7" s="702">
        <f t="shared" ref="S7:S15" si="0">F7</f>
        <v>100</v>
      </c>
      <c r="T7" s="701" t="s">
        <v>14</v>
      </c>
      <c r="U7" s="702">
        <f t="shared" ref="U7:U15" si="1">H7</f>
        <v>100</v>
      </c>
      <c r="V7" s="701" t="s">
        <v>14</v>
      </c>
      <c r="W7" s="702">
        <f t="shared" ref="W7:W15" si="2">J7</f>
        <v>100</v>
      </c>
      <c r="X7" s="703"/>
      <c r="Y7" s="3699" t="s">
        <v>1680</v>
      </c>
      <c r="Z7" s="3700"/>
      <c r="AA7" s="704">
        <f>D7/F7</f>
        <v>1</v>
      </c>
      <c r="AB7" s="704">
        <f>D7/H7</f>
        <v>1</v>
      </c>
      <c r="AC7" s="704">
        <f>D7/J7</f>
        <v>1</v>
      </c>
    </row>
    <row r="8" spans="1:29" s="108" customFormat="1" ht="15.75" thickBot="1">
      <c r="A8" s="362" t="s">
        <v>1681</v>
      </c>
      <c r="B8" s="363"/>
      <c r="C8" s="368" t="s">
        <v>3426</v>
      </c>
      <c r="D8" s="365">
        <v>100</v>
      </c>
      <c r="E8" s="368" t="s">
        <v>3426</v>
      </c>
      <c r="F8" s="367">
        <f>SUMIF(61:61,E8,62:62)-SUMIF(61:61,C8,62:62)+100</f>
        <v>100</v>
      </c>
      <c r="G8" s="368" t="s">
        <v>3426</v>
      </c>
      <c r="H8" s="365">
        <f>SUMIF(61:61,G8,62:62)-SUMIF(61:61,C8,62:62)+100</f>
        <v>100</v>
      </c>
      <c r="I8" s="368" t="s">
        <v>3426</v>
      </c>
      <c r="J8" s="365">
        <f>SUMIF(61:61,I8,62:62)-SUMIF(61:61,C8,62:62)+100</f>
        <v>100</v>
      </c>
      <c r="K8" s="560"/>
      <c r="L8" s="2714"/>
      <c r="M8" s="2715"/>
      <c r="N8" s="2715"/>
      <c r="O8" s="2715"/>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454"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4"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4"/>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4"/>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4"/>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4"/>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4"/>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3430</v>
      </c>
      <c r="F15" s="394">
        <f>SUMIF(76:76,E16,77:77)-SUMIF(76:76,C16,77:77)+100</f>
        <v>100</v>
      </c>
      <c r="G15" s="393" t="s">
        <v>3430</v>
      </c>
      <c r="H15" s="392">
        <f>SUMIF(76:76,G16,77:77)-SUMIF(76:76,C16,77:77)+100</f>
        <v>100</v>
      </c>
      <c r="I15" s="393" t="s">
        <v>3430</v>
      </c>
      <c r="J15" s="392">
        <f>SUMIF(76:76,I16,77:77)-SUMIF(76:76,C16,77:77)+100</f>
        <v>100</v>
      </c>
      <c r="K15" s="563">
        <v>2</v>
      </c>
      <c r="L15" s="2719"/>
      <c r="M15" s="2713"/>
      <c r="N15" s="2713"/>
      <c r="O15" s="2713"/>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t="s">
        <v>3430</v>
      </c>
      <c r="D16" s="399"/>
      <c r="E16" s="398" t="s">
        <v>3430</v>
      </c>
      <c r="F16" s="400"/>
      <c r="G16" s="398" t="s">
        <v>3430</v>
      </c>
      <c r="H16" s="401"/>
      <c r="I16" s="398" t="s">
        <v>3430</v>
      </c>
      <c r="J16" s="399"/>
      <c r="K16" s="564"/>
      <c r="L16" s="2719"/>
      <c r="M16" s="2713"/>
      <c r="N16" s="2713"/>
      <c r="O16" s="2713"/>
      <c r="P16" s="3673"/>
      <c r="Q16" s="1352"/>
      <c r="R16" s="705"/>
      <c r="S16" s="706"/>
      <c r="T16" s="705"/>
      <c r="U16" s="706"/>
      <c r="V16" s="705"/>
      <c r="W16" s="706"/>
      <c r="X16" s="1355"/>
      <c r="Y16" s="3666"/>
      <c r="Z16" s="1356"/>
      <c r="AA16" s="1353">
        <v>1</v>
      </c>
      <c r="AB16" s="1353">
        <v>1</v>
      </c>
      <c r="AC16" s="1353">
        <v>1</v>
      </c>
    </row>
    <row r="17" spans="1:29" ht="15">
      <c r="A17" s="379"/>
      <c r="B17" s="402" t="s">
        <v>1259</v>
      </c>
      <c r="C17" s="1900" t="str">
        <f>估价对象房地状况!C6</f>
        <v>一般</v>
      </c>
      <c r="D17" s="401">
        <v>100</v>
      </c>
      <c r="E17" s="403" t="s">
        <v>3430</v>
      </c>
      <c r="F17" s="404">
        <f>SUMIF(78:78,E18,79:79)-SUMIF(78:78,C18,79:79)+100</f>
        <v>100</v>
      </c>
      <c r="G17" s="403" t="s">
        <v>3430</v>
      </c>
      <c r="H17" s="406">
        <f>SUMIF(78:78,G18,79:79)-SUMIF(78:78,C18,79:79)+100</f>
        <v>100</v>
      </c>
      <c r="I17" s="403" t="s">
        <v>3430</v>
      </c>
      <c r="J17" s="406">
        <f>SUMIF(78:78,I18,79:79)-SUMIF(78:78,C18,79:79)+100</f>
        <v>100</v>
      </c>
      <c r="K17" s="563">
        <v>2</v>
      </c>
      <c r="L17" s="2719"/>
      <c r="M17" s="2713"/>
      <c r="N17" s="2713"/>
      <c r="O17" s="2713"/>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t="s">
        <v>3430</v>
      </c>
      <c r="D18" s="401"/>
      <c r="E18" s="1903" t="s">
        <v>3430</v>
      </c>
      <c r="F18" s="404"/>
      <c r="G18" s="1903" t="s">
        <v>3430</v>
      </c>
      <c r="H18" s="399"/>
      <c r="I18" s="1903" t="s">
        <v>3430</v>
      </c>
      <c r="J18" s="399"/>
      <c r="K18" s="564"/>
      <c r="L18" s="2719"/>
      <c r="M18" s="2713"/>
      <c r="N18" s="2713"/>
      <c r="O18" s="2713"/>
      <c r="P18" s="3673"/>
      <c r="Q18" s="1352"/>
      <c r="R18" s="705"/>
      <c r="S18" s="706"/>
      <c r="T18" s="705"/>
      <c r="U18" s="706"/>
      <c r="V18" s="705"/>
      <c r="W18" s="706"/>
      <c r="X18" s="1355"/>
      <c r="Y18" s="3666"/>
      <c r="Z18" s="1356"/>
      <c r="AA18" s="1353">
        <v>1</v>
      </c>
      <c r="AB18" s="1353">
        <v>1</v>
      </c>
      <c r="AC18" s="1353">
        <v>1</v>
      </c>
    </row>
    <row r="19" spans="1:29" ht="15">
      <c r="A19" s="379"/>
      <c r="B19" s="402" t="s">
        <v>1778</v>
      </c>
      <c r="C19" s="1900" t="str">
        <f>估价对象房地状况!C7</f>
        <v>较好</v>
      </c>
      <c r="D19" s="406">
        <v>100</v>
      </c>
      <c r="E19" s="408" t="s">
        <v>3428</v>
      </c>
      <c r="F19" s="409">
        <f>SUMIF(80:80,E20,81:81)-SUMIF(80:80,C20,81:81)+100</f>
        <v>100</v>
      </c>
      <c r="G19" s="408" t="s">
        <v>3428</v>
      </c>
      <c r="H19" s="401">
        <f>SUMIF(80:80,G20,81:81)-SUMIF(80:80,C20,81:81)+100</f>
        <v>100</v>
      </c>
      <c r="I19" s="408" t="s">
        <v>3428</v>
      </c>
      <c r="J19" s="401">
        <f>SUMIF(80:80,I20,81:81)-SUMIF(80:80,C20,81:81)+100</f>
        <v>100</v>
      </c>
      <c r="K19" s="563">
        <v>2</v>
      </c>
      <c r="L19" s="2719"/>
      <c r="M19" s="2713"/>
      <c r="N19" s="2713"/>
      <c r="O19" s="2713"/>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t="s">
        <v>3428</v>
      </c>
      <c r="D20" s="399"/>
      <c r="E20" s="1898" t="s">
        <v>3428</v>
      </c>
      <c r="F20" s="400"/>
      <c r="G20" s="1898" t="s">
        <v>3428</v>
      </c>
      <c r="H20" s="399"/>
      <c r="I20" s="1898" t="s">
        <v>3428</v>
      </c>
      <c r="J20" s="399"/>
      <c r="K20" s="564"/>
      <c r="L20" s="2719"/>
      <c r="M20" s="2713"/>
      <c r="N20" s="2713"/>
      <c r="O20" s="2713"/>
      <c r="P20" s="3673"/>
      <c r="Q20" s="1352"/>
      <c r="R20" s="705"/>
      <c r="S20" s="706"/>
      <c r="T20" s="705"/>
      <c r="U20" s="706"/>
      <c r="V20" s="705"/>
      <c r="W20" s="706"/>
      <c r="X20" s="1355"/>
      <c r="Y20" s="3666"/>
      <c r="Z20" s="1356"/>
      <c r="AA20" s="1353">
        <v>1</v>
      </c>
      <c r="AB20" s="1353">
        <v>1</v>
      </c>
      <c r="AC20" s="1353">
        <v>1</v>
      </c>
    </row>
    <row r="21" spans="1:29" ht="15">
      <c r="A21" s="379"/>
      <c r="B21" s="1131" t="s">
        <v>1779</v>
      </c>
      <c r="C21" s="1900" t="str">
        <f>估价对象房地状况!C8</f>
        <v>七通</v>
      </c>
      <c r="D21" s="406">
        <v>100</v>
      </c>
      <c r="E21" s="408" t="s">
        <v>3432</v>
      </c>
      <c r="F21" s="409">
        <f>SUMIF(82:82,E22,83:83)-SUMIF(82:82,C22,83:83)+100</f>
        <v>100</v>
      </c>
      <c r="G21" s="408" t="s">
        <v>3432</v>
      </c>
      <c r="H21" s="401">
        <f>SUMIF(82:82,G22,83:83)-SUMIF(82:82,C22,83:83)+100</f>
        <v>100</v>
      </c>
      <c r="I21" s="408" t="s">
        <v>3432</v>
      </c>
      <c r="J21" s="401">
        <f>SUMIF(82:82,I22,83:83)-SUMIF(82:82,C22,83:83)+100</f>
        <v>100</v>
      </c>
      <c r="K21" s="563">
        <v>1</v>
      </c>
      <c r="L21" s="2719"/>
      <c r="M21" s="2713"/>
      <c r="N21" s="2713"/>
      <c r="O21" s="2713"/>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398" t="s">
        <v>3432</v>
      </c>
      <c r="F22" s="400"/>
      <c r="G22" s="398" t="s">
        <v>3432</v>
      </c>
      <c r="H22" s="399"/>
      <c r="I22" s="398" t="s">
        <v>3432</v>
      </c>
      <c r="J22" s="399"/>
      <c r="K22" s="1130"/>
      <c r="L22" s="2719"/>
      <c r="M22" s="2713"/>
      <c r="N22" s="2713"/>
      <c r="O22" s="2713"/>
      <c r="P22" s="3673"/>
      <c r="Q22" s="1352"/>
      <c r="R22" s="705"/>
      <c r="S22" s="706"/>
      <c r="T22" s="705"/>
      <c r="U22" s="706"/>
      <c r="V22" s="705"/>
      <c r="W22" s="706"/>
      <c r="X22" s="1355"/>
      <c r="Y22" s="3666"/>
      <c r="Z22" s="1356"/>
      <c r="AA22" s="1353">
        <v>1</v>
      </c>
      <c r="AB22" s="1353">
        <v>1</v>
      </c>
      <c r="AC22" s="1353">
        <v>1</v>
      </c>
    </row>
    <row r="23" spans="1:29" ht="15">
      <c r="A23" s="379"/>
      <c r="B23" s="402" t="s">
        <v>1261</v>
      </c>
      <c r="C23" s="1955" t="str">
        <f>估价对象房地状况!C9</f>
        <v>较好</v>
      </c>
      <c r="D23" s="401">
        <v>100</v>
      </c>
      <c r="E23" s="403" t="s">
        <v>3428</v>
      </c>
      <c r="F23" s="404">
        <f>SUMIF(84:84,E24,85:85)-SUMIF(84:84,C24,85:85)+100</f>
        <v>100</v>
      </c>
      <c r="G23" s="403" t="s">
        <v>3428</v>
      </c>
      <c r="H23" s="401">
        <f>SUMIF(84:84,G24,85:85)-SUMIF(84:84,C24,85:85)+100</f>
        <v>100</v>
      </c>
      <c r="I23" s="403" t="s">
        <v>3428</v>
      </c>
      <c r="J23" s="401">
        <f>SUMIF(84:84,I24,85:85)-SUMIF(84:84,C24,85:85)+100</f>
        <v>100</v>
      </c>
      <c r="K23" s="563">
        <v>2</v>
      </c>
      <c r="L23" s="2719"/>
      <c r="M23" s="2713"/>
      <c r="N23" s="2713"/>
      <c r="O23" s="2713"/>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t="s">
        <v>3428</v>
      </c>
      <c r="D24" s="399"/>
      <c r="E24" s="1898" t="s">
        <v>3428</v>
      </c>
      <c r="F24" s="400"/>
      <c r="G24" s="1898" t="s">
        <v>3428</v>
      </c>
      <c r="H24" s="399"/>
      <c r="I24" s="1898" t="s">
        <v>3428</v>
      </c>
      <c r="J24" s="399"/>
      <c r="K24" s="564"/>
      <c r="L24" s="2719"/>
      <c r="M24" s="2713"/>
      <c r="N24" s="2713"/>
      <c r="O24" s="2713"/>
      <c r="P24" s="3673"/>
      <c r="Q24" s="1352"/>
      <c r="R24" s="705"/>
      <c r="S24" s="706"/>
      <c r="T24" s="705"/>
      <c r="U24" s="706"/>
      <c r="V24" s="705"/>
      <c r="W24" s="706"/>
      <c r="X24" s="1355"/>
      <c r="Y24" s="3666"/>
      <c r="Z24" s="1356"/>
      <c r="AA24" s="1353">
        <v>1</v>
      </c>
      <c r="AB24" s="1353">
        <v>1</v>
      </c>
      <c r="AC24" s="1353">
        <v>1</v>
      </c>
    </row>
    <row r="25" spans="1:29" ht="15">
      <c r="A25" s="379"/>
      <c r="B25" s="375" t="s">
        <v>1780</v>
      </c>
      <c r="C25" s="565" t="s">
        <v>3443</v>
      </c>
      <c r="D25" s="386">
        <v>100</v>
      </c>
      <c r="E25" s="565" t="s">
        <v>3443</v>
      </c>
      <c r="F25" s="412">
        <f>SUMIF(86:86,E25,87:87)-SUMIF(86:86,C25,87:87)+100</f>
        <v>100</v>
      </c>
      <c r="G25" s="565" t="s">
        <v>3441</v>
      </c>
      <c r="H25" s="386">
        <f>SUMIF(86:86,G25,87:87)-SUMIF(86:86,C25,87:87)+100</f>
        <v>102</v>
      </c>
      <c r="I25" s="565" t="s">
        <v>3443</v>
      </c>
      <c r="J25" s="386">
        <f>SUMIF(86:86,I25,87:87)-SUMIF(86:86,C25,87:87)+100</f>
        <v>100</v>
      </c>
      <c r="K25" s="561">
        <v>2</v>
      </c>
      <c r="L25" s="2719"/>
      <c r="M25" s="2713"/>
      <c r="N25" s="2713"/>
      <c r="O25" s="2713"/>
      <c r="P25" s="3673"/>
      <c r="Q25" s="1352" t="str">
        <f t="shared" ref="Q25:Q46" si="11">B25</f>
        <v>临街状况</v>
      </c>
      <c r="R25" s="705" t="s">
        <v>14</v>
      </c>
      <c r="S25" s="706">
        <f>F25</f>
        <v>100</v>
      </c>
      <c r="T25" s="705" t="s">
        <v>14</v>
      </c>
      <c r="U25" s="706">
        <f>H25</f>
        <v>102</v>
      </c>
      <c r="V25" s="705" t="s">
        <v>14</v>
      </c>
      <c r="W25" s="706">
        <f>J25</f>
        <v>100</v>
      </c>
      <c r="X25" s="1355"/>
      <c r="Y25" s="3666"/>
      <c r="Z25" s="1356" t="str">
        <f>Q25</f>
        <v>临街状况</v>
      </c>
      <c r="AA25" s="1353">
        <f t="shared" si="3"/>
        <v>1</v>
      </c>
      <c r="AB25" s="1353">
        <f t="shared" si="4"/>
        <v>0.98039215686274506</v>
      </c>
      <c r="AC25" s="1353">
        <f t="shared" si="5"/>
        <v>1</v>
      </c>
    </row>
    <row r="26" spans="1:29" ht="15">
      <c r="A26" s="379"/>
      <c r="B26" s="1133" t="s">
        <v>1781</v>
      </c>
      <c r="C26" s="3461" t="s">
        <v>3447</v>
      </c>
      <c r="D26" s="386">
        <v>100</v>
      </c>
      <c r="E26" s="3461" t="s">
        <v>3447</v>
      </c>
      <c r="F26" s="412">
        <f>SUMIF(88:88,E26,89:89)-SUMIF(88:88,C26,89:89)+100</f>
        <v>100</v>
      </c>
      <c r="G26" s="3461" t="s">
        <v>3447</v>
      </c>
      <c r="H26" s="386">
        <f>SUMIF(88:88,G26,89:89)-SUMIF(88:88,C26,89:89)+100</f>
        <v>100</v>
      </c>
      <c r="I26" s="3461" t="s">
        <v>3447</v>
      </c>
      <c r="J26" s="386">
        <f>SUMIF(88:88,I26,89:89)-SUMIF(88:88,C26,89:89)+100</f>
        <v>100</v>
      </c>
      <c r="K26" s="562"/>
      <c r="L26" s="2719"/>
      <c r="M26" s="2713"/>
      <c r="N26" s="2713"/>
      <c r="O26" s="2713"/>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t="s">
        <v>3430</v>
      </c>
      <c r="D27" s="413">
        <v>100</v>
      </c>
      <c r="E27" s="1956" t="s">
        <v>3452</v>
      </c>
      <c r="F27" s="415">
        <f>SUMIF(90:90,E27,91:91)-SUMIF(90:90,C27,91:91)+100</f>
        <v>102</v>
      </c>
      <c r="G27" s="1956" t="s">
        <v>3452</v>
      </c>
      <c r="H27" s="413">
        <f>SUMIF(90:90,G27,91:91)-SUMIF(90:90,C27,91:91)+100</f>
        <v>102</v>
      </c>
      <c r="I27" s="1956" t="s">
        <v>3430</v>
      </c>
      <c r="J27" s="413">
        <f>SUMIF(90:90,I27,91:91)-SUMIF(90:90,C27,91:91)+100</f>
        <v>100</v>
      </c>
      <c r="K27" s="561">
        <v>2</v>
      </c>
      <c r="L27" s="2714"/>
      <c r="M27" s="2715"/>
      <c r="N27" s="2715"/>
      <c r="O27" s="2715"/>
      <c r="P27" s="3673"/>
      <c r="Q27" s="1343" t="str">
        <f t="shared" si="11"/>
        <v>人流量</v>
      </c>
      <c r="R27" s="701" t="s">
        <v>14</v>
      </c>
      <c r="S27" s="702">
        <f>F27</f>
        <v>102</v>
      </c>
      <c r="T27" s="701" t="s">
        <v>14</v>
      </c>
      <c r="U27" s="702">
        <f>H27</f>
        <v>102</v>
      </c>
      <c r="V27" s="701" t="s">
        <v>14</v>
      </c>
      <c r="W27" s="702">
        <f>J27</f>
        <v>100</v>
      </c>
      <c r="X27" s="703"/>
      <c r="Y27" s="3666"/>
      <c r="Z27" s="52" t="str">
        <f>Q27</f>
        <v>人流量</v>
      </c>
      <c r="AA27" s="1353">
        <f>D27/F27</f>
        <v>0.98039215686274506</v>
      </c>
      <c r="AB27" s="1353">
        <f>D27/H27</f>
        <v>0.98039215686274506</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t="s">
        <v>3437</v>
      </c>
      <c r="D32" s="418">
        <v>100</v>
      </c>
      <c r="E32" s="1910" t="s">
        <v>3481</v>
      </c>
      <c r="F32" s="412">
        <f>SUMIF(100:100,E32,101:101)-SUMIF(100:100,C32,101:101)+100</f>
        <v>120</v>
      </c>
      <c r="G32" s="1910" t="s">
        <v>3481</v>
      </c>
      <c r="H32" s="386">
        <f>SUMIF(100:100,G32,101:101)-SUMIF(100:100,C32,101:101)+100</f>
        <v>120</v>
      </c>
      <c r="I32" s="1910" t="s">
        <v>3481</v>
      </c>
      <c r="J32" s="418">
        <f>SUMIF(100:100,I32,101:101)-SUMIF(100:100,C32,101:101)+100</f>
        <v>120</v>
      </c>
      <c r="K32" s="561">
        <v>10</v>
      </c>
      <c r="L32" s="2719"/>
      <c r="M32" s="2713"/>
      <c r="N32" s="2713"/>
      <c r="O32" s="2713"/>
      <c r="P32" s="3667" t="s">
        <v>1696</v>
      </c>
      <c r="Q32" s="1352" t="str">
        <f t="shared" si="11"/>
        <v>商业类型</v>
      </c>
      <c r="R32" s="705" t="s">
        <v>14</v>
      </c>
      <c r="S32" s="706">
        <f t="shared" si="12"/>
        <v>120</v>
      </c>
      <c r="T32" s="705" t="s">
        <v>14</v>
      </c>
      <c r="U32" s="706">
        <f t="shared" si="13"/>
        <v>120</v>
      </c>
      <c r="V32" s="705" t="s">
        <v>14</v>
      </c>
      <c r="W32" s="706">
        <f t="shared" si="14"/>
        <v>120</v>
      </c>
      <c r="X32" s="1355"/>
      <c r="Y32" s="3670" t="s">
        <v>1696</v>
      </c>
      <c r="Z32" s="1356" t="str">
        <f t="shared" si="15"/>
        <v>商业类型</v>
      </c>
      <c r="AA32" s="1353">
        <f t="shared" si="3"/>
        <v>0.83333333333333337</v>
      </c>
      <c r="AB32" s="1353">
        <f t="shared" si="4"/>
        <v>0.83333333333333337</v>
      </c>
      <c r="AC32" s="1353">
        <f t="shared" si="5"/>
        <v>0.83333333333333337</v>
      </c>
    </row>
    <row r="33" spans="1:29" s="422" customFormat="1" ht="15">
      <c r="A33" s="419"/>
      <c r="B33" s="375" t="s">
        <v>1697</v>
      </c>
      <c r="C33" s="420">
        <f>'数据-汇总表'!E3</f>
        <v>1701.41</v>
      </c>
      <c r="D33" s="127">
        <v>100</v>
      </c>
      <c r="E33" s="381">
        <f>案例!D3</f>
        <v>4400</v>
      </c>
      <c r="F33" s="376">
        <f>LOOKUP(E33,103:103,104:104)-LOOKUP(C33,103:103,104:104)+100</f>
        <v>102</v>
      </c>
      <c r="G33" s="380">
        <f>案例!D5</f>
        <v>9283.9</v>
      </c>
      <c r="H33" s="127">
        <f>LOOKUP(G33,103:103,104:104)-LOOKUP(C33,103:103,104:104)+100</f>
        <v>100</v>
      </c>
      <c r="I33" s="380">
        <f>案例!D10</f>
        <v>11398.58</v>
      </c>
      <c r="J33" s="127">
        <f>LOOKUP(I33,103:103,104:104)-LOOKUP(C33,103:103,104:104)+100</f>
        <v>98</v>
      </c>
      <c r="K33" s="562"/>
      <c r="L33" s="2718"/>
      <c r="M33" s="2720"/>
      <c r="N33" s="2720"/>
      <c r="O33" s="2720"/>
      <c r="P33" s="3668"/>
      <c r="Q33" s="707" t="str">
        <f t="shared" si="11"/>
        <v>项目建筑规模</v>
      </c>
      <c r="R33" s="708" t="s">
        <v>14</v>
      </c>
      <c r="S33" s="709">
        <f t="shared" si="12"/>
        <v>102</v>
      </c>
      <c r="T33" s="708" t="s">
        <v>14</v>
      </c>
      <c r="U33" s="709">
        <f t="shared" si="13"/>
        <v>100</v>
      </c>
      <c r="V33" s="708" t="s">
        <v>14</v>
      </c>
      <c r="W33" s="709">
        <f t="shared" si="14"/>
        <v>98</v>
      </c>
      <c r="X33" s="710"/>
      <c r="Y33" s="3670"/>
      <c r="Z33" s="711" t="str">
        <f t="shared" si="15"/>
        <v>项目建筑规模</v>
      </c>
      <c r="AA33" s="1353">
        <f t="shared" si="3"/>
        <v>0.98039215686274506</v>
      </c>
      <c r="AB33" s="1353">
        <f t="shared" si="4"/>
        <v>1</v>
      </c>
      <c r="AC33" s="1353">
        <f t="shared" si="5"/>
        <v>1.0204081632653061</v>
      </c>
    </row>
    <row r="34" spans="1:29" ht="15">
      <c r="A34" s="423"/>
      <c r="B34" s="375" t="s">
        <v>1698</v>
      </c>
      <c r="C34" s="1912" t="s">
        <v>3463</v>
      </c>
      <c r="D34" s="386">
        <v>100</v>
      </c>
      <c r="E34" s="1912" t="s">
        <v>3463</v>
      </c>
      <c r="F34" s="412">
        <f>SUMIF(105:105,E34,106:106)-SUMIF(105:105,C34,106:106)+100</f>
        <v>100</v>
      </c>
      <c r="G34" s="1912" t="s">
        <v>3463</v>
      </c>
      <c r="H34" s="386">
        <f>SUMIF(105:105,G34,106:106)-SUMIF(105:105,C34,106:106)+100</f>
        <v>100</v>
      </c>
      <c r="I34" s="1912" t="s">
        <v>3463</v>
      </c>
      <c r="J34" s="386">
        <f>SUMIF(105:105,I34,106:106)-SUMIF(105:105,C34,106:106)+100</f>
        <v>100</v>
      </c>
      <c r="K34" s="561">
        <v>2</v>
      </c>
      <c r="L34" s="2719"/>
      <c r="M34" s="2713"/>
      <c r="N34" s="2713"/>
      <c r="O34" s="2713"/>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t="s">
        <v>3461</v>
      </c>
      <c r="D35" s="386">
        <v>100</v>
      </c>
      <c r="E35" s="1906" t="s">
        <v>3461</v>
      </c>
      <c r="F35" s="412">
        <f>SUMIF(107:107,E35,108:108)-SUMIF(107:107,C35,108:108)+100</f>
        <v>100</v>
      </c>
      <c r="G35" s="1906" t="s">
        <v>3461</v>
      </c>
      <c r="H35" s="386">
        <f>SUMIF(107:107,G35,108:108)-SUMIF(107:107,C35,108:108)+100</f>
        <v>100</v>
      </c>
      <c r="I35" s="1906" t="s">
        <v>3461</v>
      </c>
      <c r="J35" s="386">
        <f>SUMIF(107:107,I35,108:108)-SUMIF(107:107,C35,108:108)+100</f>
        <v>100</v>
      </c>
      <c r="K35" s="561">
        <v>2</v>
      </c>
      <c r="L35" s="2719"/>
      <c r="M35" s="2713"/>
      <c r="N35" s="2713"/>
      <c r="O35" s="2713"/>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v>0.7</v>
      </c>
      <c r="D36" s="386">
        <v>100</v>
      </c>
      <c r="E36" s="425">
        <v>0.9</v>
      </c>
      <c r="F36" s="412">
        <f>LOOKUP(E36,110:110,111:111)-LOOKUP(C36,110:110,111:111)+100</f>
        <v>102</v>
      </c>
      <c r="G36" s="425">
        <v>0.9</v>
      </c>
      <c r="H36" s="412">
        <f>LOOKUP(G36,110:110,111:111)-LOOKUP(C36,110:110,111:111)+100</f>
        <v>102</v>
      </c>
      <c r="I36" s="425">
        <v>1</v>
      </c>
      <c r="J36" s="386">
        <f>LOOKUP(I36,110:110,111:111)-LOOKUP(C36,110:110,111:111)+100</f>
        <v>102</v>
      </c>
      <c r="K36" s="561">
        <v>1</v>
      </c>
      <c r="L36" s="2719"/>
      <c r="M36" s="2713"/>
      <c r="N36" s="2713"/>
      <c r="O36" s="2713"/>
      <c r="P36" s="3668"/>
      <c r="Q36" s="1352" t="str">
        <f t="shared" si="11"/>
        <v>成新度</v>
      </c>
      <c r="R36" s="705" t="s">
        <v>14</v>
      </c>
      <c r="S36" s="706">
        <f t="shared" si="12"/>
        <v>102</v>
      </c>
      <c r="T36" s="705" t="s">
        <v>14</v>
      </c>
      <c r="U36" s="706">
        <f t="shared" si="13"/>
        <v>102</v>
      </c>
      <c r="V36" s="705" t="s">
        <v>14</v>
      </c>
      <c r="W36" s="706">
        <f t="shared" si="14"/>
        <v>102</v>
      </c>
      <c r="X36" s="1355"/>
      <c r="Y36" s="3670"/>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3432</v>
      </c>
      <c r="D37" s="127">
        <v>100</v>
      </c>
      <c r="E37" s="1906" t="s">
        <v>3432</v>
      </c>
      <c r="F37" s="412">
        <f>SUMIF(112:112,E37,113:113)-SUMIF(112:112,C37,113:113)+100</f>
        <v>100</v>
      </c>
      <c r="G37" s="1906" t="s">
        <v>3432</v>
      </c>
      <c r="H37" s="386">
        <f>SUMIF(112:112,G37,113:113)-SUMIF(112:112,C37,113:113)+100</f>
        <v>100</v>
      </c>
      <c r="I37" s="1906" t="s">
        <v>3432</v>
      </c>
      <c r="J37" s="386">
        <f>SUMIF(112:112,I37,113:113)-SUMIF(112:112,C37,113:113)+100</f>
        <v>100</v>
      </c>
      <c r="K37" s="561">
        <v>1</v>
      </c>
      <c r="L37" s="2714"/>
      <c r="M37" s="2715"/>
      <c r="N37" s="2715"/>
      <c r="O37" s="2715"/>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t="s">
        <v>3461</v>
      </c>
      <c r="D42" s="386">
        <v>100</v>
      </c>
      <c r="E42" s="1906" t="s">
        <v>3459</v>
      </c>
      <c r="F42" s="412">
        <f>SUMIF(122:122,E42,123:123)-SUMIF(122:122,C42,123:123)+100</f>
        <v>102</v>
      </c>
      <c r="G42" s="1906" t="s">
        <v>3459</v>
      </c>
      <c r="H42" s="386">
        <f>SUMIF(122:122,G42,123:123)-SUMIF(122:122,C42,123:123)+100</f>
        <v>102</v>
      </c>
      <c r="I42" s="1906" t="s">
        <v>3459</v>
      </c>
      <c r="J42" s="386">
        <f>SUMIF(122:122,I42,123:123)-SUMIF(122:122,C42,123:123)+100</f>
        <v>102</v>
      </c>
      <c r="K42" s="561">
        <v>2</v>
      </c>
      <c r="L42" s="2719"/>
      <c r="M42" s="2713"/>
      <c r="N42" s="2713"/>
      <c r="O42" s="2713"/>
      <c r="P42" s="3668"/>
      <c r="Q42" s="1352" t="str">
        <f t="shared" si="11"/>
        <v>内部装修</v>
      </c>
      <c r="R42" s="705" t="s">
        <v>14</v>
      </c>
      <c r="S42" s="706">
        <f t="shared" si="12"/>
        <v>102</v>
      </c>
      <c r="T42" s="705" t="s">
        <v>14</v>
      </c>
      <c r="U42" s="706">
        <f t="shared" si="13"/>
        <v>102</v>
      </c>
      <c r="V42" s="705" t="s">
        <v>14</v>
      </c>
      <c r="W42" s="706">
        <f t="shared" si="14"/>
        <v>102</v>
      </c>
      <c r="X42" s="1355"/>
      <c r="Y42" s="3670"/>
      <c r="Z42" s="1356" t="str">
        <f t="shared" si="15"/>
        <v>内部装修</v>
      </c>
      <c r="AA42" s="1353">
        <f t="shared" si="3"/>
        <v>0.98039215686274506</v>
      </c>
      <c r="AB42" s="1353">
        <f t="shared" si="4"/>
        <v>0.98039215686274506</v>
      </c>
      <c r="AC42" s="1353">
        <f t="shared" si="5"/>
        <v>0.98039215686274506</v>
      </c>
    </row>
    <row r="43" spans="1:29" ht="15">
      <c r="A43" s="423"/>
      <c r="B43" s="375" t="s">
        <v>1707</v>
      </c>
      <c r="C43" s="1906" t="s">
        <v>3428</v>
      </c>
      <c r="D43" s="386">
        <v>100</v>
      </c>
      <c r="E43" s="1906" t="s">
        <v>3428</v>
      </c>
      <c r="F43" s="412">
        <f>SUMIF(124:124,E43,125:125)-SUMIF(124:124,C43,125:125)+100</f>
        <v>100</v>
      </c>
      <c r="G43" s="1906" t="s">
        <v>3428</v>
      </c>
      <c r="H43" s="386">
        <f>SUMIF(124:124,G43,125:125)-SUMIF(124:124,C43,125:125)+100</f>
        <v>100</v>
      </c>
      <c r="I43" s="1906" t="s">
        <v>3428</v>
      </c>
      <c r="J43" s="386">
        <f>SUMIF(124:124,I43,125:125)-SUMIF(124:124,C43,125:125)+100</f>
        <v>100</v>
      </c>
      <c r="K43" s="561"/>
      <c r="L43" s="2719"/>
      <c r="M43" s="2713"/>
      <c r="N43" s="2713"/>
      <c r="O43" s="2713"/>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3464" t="s">
        <v>3477</v>
      </c>
      <c r="N45" s="2713">
        <f>ROUND(C49*'数据-汇总表'!E3*365/10000,0)</f>
        <v>155</v>
      </c>
      <c r="O45" s="2713"/>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f>案例!I5</f>
        <v>3.2</v>
      </c>
      <c r="F47" s="1157"/>
      <c r="G47" s="1158">
        <f>案例!I10</f>
        <v>3.6</v>
      </c>
      <c r="H47" s="1159"/>
      <c r="I47" s="1156">
        <f>案例!I3</f>
        <v>2.7</v>
      </c>
      <c r="J47" s="1159"/>
      <c r="K47" s="714"/>
      <c r="L47" s="2721"/>
      <c r="M47" s="2722"/>
      <c r="N47" s="2713"/>
      <c r="O47" s="2722"/>
      <c r="P47" s="3663" t="str">
        <f>A47</f>
        <v>成交单价（元/平方米）</v>
      </c>
      <c r="Q47" s="3663"/>
      <c r="R47" s="3694">
        <f>E47</f>
        <v>3.2</v>
      </c>
      <c r="S47" s="3694"/>
      <c r="T47" s="3694">
        <f>G47</f>
        <v>3.6</v>
      </c>
      <c r="U47" s="3694"/>
      <c r="V47" s="3694">
        <f>I47</f>
        <v>2.7</v>
      </c>
      <c r="W47" s="3694"/>
      <c r="X47" s="690"/>
      <c r="Y47" s="712"/>
      <c r="Z47" s="690"/>
      <c r="AA47" s="690"/>
      <c r="AB47" s="690"/>
      <c r="AC47" s="690"/>
    </row>
    <row r="48" spans="1:29" ht="15.75" thickBot="1">
      <c r="A48" s="437" t="s">
        <v>1793</v>
      </c>
      <c r="B48" s="438"/>
      <c r="C48" s="1160">
        <f>R49</f>
        <v>2.5</v>
      </c>
      <c r="D48" s="2317" t="s">
        <v>2138</v>
      </c>
      <c r="E48" s="1161">
        <f>R48</f>
        <v>2.5</v>
      </c>
      <c r="F48" s="2318"/>
      <c r="G48" s="1160">
        <f>T48</f>
        <v>2.8</v>
      </c>
      <c r="H48" s="2318"/>
      <c r="I48" s="1161">
        <f>V48</f>
        <v>2.2000000000000002</v>
      </c>
      <c r="J48" s="2318"/>
      <c r="K48" s="2320">
        <f>F48+H48+J48</f>
        <v>0</v>
      </c>
      <c r="L48" s="2721"/>
      <c r="M48" s="3465" t="s">
        <v>3478</v>
      </c>
      <c r="N48" s="3466">
        <f>ROUND(C49*M49,1)</f>
        <v>1.8</v>
      </c>
      <c r="O48" s="2722"/>
      <c r="P48" s="3663" t="str">
        <f>A48</f>
        <v>比较价值（元/平方米）</v>
      </c>
      <c r="Q48" s="3663"/>
      <c r="R48" s="3664">
        <f>IF(F1="售价",ROUND(PRODUCT(R47,AA7:AA46),0),ROUND(PRODUCT(R47,AA7:AA46),1))</f>
        <v>2.5</v>
      </c>
      <c r="S48" s="3664"/>
      <c r="T48" s="3664">
        <f>IF(F1="售价",ROUND(PRODUCT(T47,AB7:AB46),0),ROUND(PRODUCT(T47,AB7:AB46),1))</f>
        <v>2.8</v>
      </c>
      <c r="U48" s="3664"/>
      <c r="V48" s="3664">
        <f>IF(F1="售价",ROUND(PRODUCT(V47,AC7:AC46),0),ROUND(PRODUCT(V47,AC7:AC46),1))</f>
        <v>2.2000000000000002</v>
      </c>
      <c r="W48" s="3664"/>
      <c r="X48" s="690"/>
      <c r="Y48" s="690"/>
      <c r="Z48" s="690"/>
      <c r="AA48" s="690"/>
      <c r="AB48" s="690"/>
      <c r="AC48" s="690"/>
    </row>
    <row r="49" spans="1:29" ht="15.75" thickBot="1">
      <c r="A49" s="441" t="s">
        <v>1794</v>
      </c>
      <c r="B49" s="442"/>
      <c r="C49" s="1163">
        <f>R49</f>
        <v>2.5</v>
      </c>
      <c r="D49" s="1163"/>
      <c r="E49" s="1163"/>
      <c r="F49" s="1163"/>
      <c r="G49" s="1163"/>
      <c r="H49" s="1163"/>
      <c r="I49" s="1163"/>
      <c r="J49" s="1163"/>
      <c r="K49" s="715"/>
      <c r="L49" s="2721"/>
      <c r="M49" s="2726">
        <v>0.7</v>
      </c>
      <c r="N49" s="2713">
        <f>ROUND(N48*'数据-汇总表'!E3*365/10000,0)</f>
        <v>112</v>
      </c>
      <c r="O49" s="2722"/>
      <c r="P49" s="3660" t="str">
        <f>A49</f>
        <v>估价对象XX用房的比较价值（楼面单价，元/平方米）</v>
      </c>
      <c r="Q49" s="3661"/>
      <c r="R49" s="3662">
        <f>IF(F1="售价",ROUND(IF(D48="简单平均",AVERAGE(R48:V48),R48*F48+T48*H48+V48*J48),0),ROUND(IF(D48="简单平均",AVERAGE(R48:V48),R48*F48+T48*H48+V48*J48),1))</f>
        <v>2.5</v>
      </c>
      <c r="S49" s="3662"/>
      <c r="T49" s="3662"/>
      <c r="U49" s="3662"/>
      <c r="V49" s="3662"/>
      <c r="W49" s="366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0.28000000000000003</v>
      </c>
      <c r="F52" s="449" t="str">
        <f>IF(OR(E52&gt;=0.3,E52&lt;=-0.3),"超过30%","")</f>
        <v/>
      </c>
      <c r="G52" s="448">
        <f>IF(G47&lt;G48,G48/G47-1,G47/G48-1)</f>
        <v>0.28571428571428581</v>
      </c>
      <c r="H52" s="449" t="str">
        <f>IF(OR(G52&gt;=0.3,G52&lt;=-0.3),"超过30%","")</f>
        <v/>
      </c>
      <c r="I52" s="448">
        <f>IF(I47&lt;I48,I48/I47-1,I47/I48-1)</f>
        <v>0.22727272727272729</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0.11999999999999988</v>
      </c>
      <c r="F53" s="449" t="str">
        <f>IF(OR(E53&gt;=0.2,E53&lt;=-0.2),"超过20%","")</f>
        <v/>
      </c>
      <c r="G53" s="448">
        <f>IF(G48&lt;I48,I48/G48-1,G48/I48-1)</f>
        <v>0.27272727272727249</v>
      </c>
      <c r="H53" s="449" t="str">
        <f>IF(OR(G53&gt;=0.2,G53&lt;=-0.2),"超过20%","")</f>
        <v>超过20%</v>
      </c>
      <c r="I53" s="448">
        <f>IF(I48&lt;E48,E48/I48-1,I48/E48-1)</f>
        <v>0.13636363636363624</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0.125</v>
      </c>
      <c r="F54" s="449" t="str">
        <f>IF(OR(E54&gt;=0.3,E54&lt;=-0.3),"超过30%","")</f>
        <v/>
      </c>
      <c r="G54" s="448">
        <f>IF(G47&lt;I47,I47/G47-1,G47/I47-1)</f>
        <v>0.33333333333333326</v>
      </c>
      <c r="H54" s="449" t="str">
        <f>IF(OR(G54&gt;=0.3,G54&lt;=-0.3),"超过30%","")</f>
        <v>超过30%</v>
      </c>
      <c r="I54" s="448">
        <f>IF(I47&lt;E47,E47/I47-1,I47/E47-1)</f>
        <v>0.18518518518518512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59" t="s">
        <v>3440</v>
      </c>
      <c r="D86" s="3459" t="s">
        <v>3442</v>
      </c>
      <c r="E86" s="3459" t="s">
        <v>3444</v>
      </c>
      <c r="F86" s="3459" t="s">
        <v>3445</v>
      </c>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59" t="s">
        <v>3446</v>
      </c>
      <c r="D88" s="3459" t="s">
        <v>3447</v>
      </c>
      <c r="E88" s="3459" t="s">
        <v>3448</v>
      </c>
      <c r="F88" s="3460" t="s">
        <v>3449</v>
      </c>
      <c r="G88" s="3459" t="s">
        <v>3450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59" t="s">
        <v>3451</v>
      </c>
      <c r="D90" s="3459" t="s">
        <v>3453</v>
      </c>
      <c r="E90" s="3459" t="s">
        <v>3454</v>
      </c>
      <c r="F90" s="3459" t="s">
        <v>3455</v>
      </c>
      <c r="G90" s="3459" t="s">
        <v>3456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58" t="s">
        <v>3435</v>
      </c>
      <c r="D100" s="3458" t="s">
        <v>3436</v>
      </c>
      <c r="E100" s="3458" t="s">
        <v>3438</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90</v>
      </c>
      <c r="E101" s="493">
        <f t="shared" si="22"/>
        <v>80</v>
      </c>
      <c r="F101" s="493">
        <f t="shared" si="22"/>
        <v>70</v>
      </c>
      <c r="G101" s="493">
        <f t="shared" si="22"/>
        <v>60</v>
      </c>
      <c r="H101" s="493">
        <f t="shared" si="22"/>
        <v>50</v>
      </c>
      <c r="I101" s="493">
        <f t="shared" si="22"/>
        <v>40</v>
      </c>
      <c r="J101" s="493">
        <f t="shared" si="22"/>
        <v>30</v>
      </c>
      <c r="K101" s="493">
        <f t="shared" si="22"/>
        <v>20</v>
      </c>
      <c r="L101" s="493">
        <f t="shared" si="22"/>
        <v>10</v>
      </c>
      <c r="M101" s="494">
        <f t="shared" si="22"/>
        <v>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0(含)-1000</v>
      </c>
      <c r="D102" s="527" t="str">
        <f t="shared" ref="D102:L102" si="23">D103&amp;"(含)"&amp;"-"&amp;E103</f>
        <v>1000(含)-2000</v>
      </c>
      <c r="E102" s="527" t="str">
        <f t="shared" si="23"/>
        <v>2000(含)-5000</v>
      </c>
      <c r="F102" s="527" t="str">
        <f t="shared" si="23"/>
        <v>5000(含)-10000</v>
      </c>
      <c r="G102" s="527" t="str">
        <f t="shared" si="23"/>
        <v>10000(含)-20000</v>
      </c>
      <c r="H102" s="527" t="str">
        <f t="shared" si="23"/>
        <v>20000(含)-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1000</v>
      </c>
      <c r="E103" s="544">
        <v>2000</v>
      </c>
      <c r="F103" s="544">
        <v>5000</v>
      </c>
      <c r="G103" s="544">
        <v>10000</v>
      </c>
      <c r="H103" s="544">
        <v>20000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485">
        <f>D104-2</f>
        <v>96</v>
      </c>
      <c r="D104" s="485">
        <f>E104-2</f>
        <v>98</v>
      </c>
      <c r="E104" s="485">
        <v>100</v>
      </c>
      <c r="F104" s="485">
        <f>E104-2</f>
        <v>98</v>
      </c>
      <c r="G104" s="485">
        <f>F104-2</f>
        <v>96</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t="s">
        <v>3457</v>
      </c>
      <c r="D105" s="3459" t="s">
        <v>3458</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59" t="s">
        <v>3460</v>
      </c>
      <c r="D107" s="3459" t="s">
        <v>3462</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t="str">
        <f>C107</f>
        <v>精装修</v>
      </c>
      <c r="D122" s="503" t="str">
        <f>D107</f>
        <v>普通装修</v>
      </c>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3422</v>
      </c>
      <c r="D1" s="1362" t="s">
        <v>43</v>
      </c>
      <c r="E1" s="1363" t="s">
        <v>678</v>
      </c>
      <c r="F1" s="1062">
        <f ca="1">J53</f>
        <v>40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2253</v>
      </c>
      <c r="C2" s="1387" t="s">
        <v>805</v>
      </c>
      <c r="D2" s="1387"/>
      <c r="E2" s="1388"/>
      <c r="F2" s="1389"/>
      <c r="G2" s="2703"/>
      <c r="H2" s="2692"/>
      <c r="I2" s="2692"/>
      <c r="J2" s="2692"/>
      <c r="K2" s="2693"/>
      <c r="L2" s="2692"/>
      <c r="M2" s="2692"/>
    </row>
    <row r="3" spans="1:37" ht="18" customHeight="1" thickBot="1">
      <c r="A3" s="1390" t="s">
        <v>806</v>
      </c>
      <c r="B3" s="1391">
        <f ca="1">IF(ISERROR(B2*10000/F43),0,ROUND(B2*10000/F43,0))</f>
        <v>13242</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140</v>
      </c>
      <c r="D6" s="155" t="s">
        <v>2109</v>
      </c>
      <c r="E6" s="302" t="s">
        <v>696</v>
      </c>
      <c r="F6" s="303">
        <f ca="1">INDIRECT("'数据-取费表'!u"&amp;$G$1)</f>
        <v>2.5</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1701.41</v>
      </c>
      <c r="G7" s="1384"/>
      <c r="H7" s="304"/>
      <c r="I7" s="3654"/>
      <c r="J7" s="306"/>
      <c r="K7" s="307"/>
      <c r="L7" s="302" t="s">
        <v>697</v>
      </c>
      <c r="M7" s="303">
        <f ca="1">F7</f>
        <v>1701.41</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3471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709</v>
      </c>
      <c r="D13" s="1081" t="s">
        <v>705</v>
      </c>
      <c r="E13" s="1081" t="s">
        <v>706</v>
      </c>
      <c r="F13" s="1082">
        <f ca="1">INDIRECT("'数据-取费表'!y"&amp;$G$1)</f>
        <v>0.69199999999999995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681</v>
      </c>
      <c r="D14" s="1345" t="s">
        <v>708</v>
      </c>
      <c r="E14" s="1342"/>
      <c r="F14" s="319"/>
      <c r="G14" s="1384"/>
      <c r="H14" s="982" t="s">
        <v>398</v>
      </c>
      <c r="I14" s="302" t="s">
        <v>709</v>
      </c>
      <c r="J14" s="21">
        <f ca="1">C29</f>
        <v>1024</v>
      </c>
      <c r="K14" s="12"/>
      <c r="L14" s="807"/>
      <c r="M14" s="808"/>
    </row>
    <row r="15" spans="1:37" s="1397" customFormat="1" ht="18" customHeight="1" thickBot="1">
      <c r="A15" s="982" t="s">
        <v>399</v>
      </c>
      <c r="B15" s="302" t="s">
        <v>710</v>
      </c>
      <c r="C15" s="21">
        <f ca="1">ROUND(C14*F15,0)</f>
        <v>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745</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15.36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152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1024</v>
      </c>
      <c r="D29" s="1092"/>
      <c r="E29" s="1090"/>
      <c r="F29" s="1093"/>
      <c r="G29" s="1396"/>
      <c r="H29" s="334" t="s">
        <v>396</v>
      </c>
      <c r="I29" s="335" t="s">
        <v>768</v>
      </c>
      <c r="J29" s="336">
        <f ca="1">ROUND(J26/(1+F40)^F41,0)</f>
        <v>0</v>
      </c>
      <c r="K29" s="337" t="s">
        <v>769</v>
      </c>
      <c r="L29" s="338"/>
      <c r="M29" s="339">
        <f ca="1">INDIRECT("'数据-取费表'!k"&amp;$G$1)</f>
        <v>1701.41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23.47</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7.47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16</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15.36</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1.06</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1.4</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99</v>
      </c>
      <c r="D39" s="1095" t="s">
        <v>773</v>
      </c>
      <c r="E39" s="1096"/>
      <c r="F39" s="1097"/>
      <c r="G39" s="1384"/>
      <c r="H39" s="2697"/>
      <c r="I39" s="1398"/>
      <c r="J39" s="1399"/>
      <c r="K39" s="2701"/>
      <c r="L39" s="2697"/>
      <c r="M39" s="2697"/>
    </row>
    <row r="40" spans="1:18" ht="18" customHeight="1">
      <c r="A40" s="299" t="s">
        <v>395</v>
      </c>
      <c r="B40" s="300" t="s">
        <v>774</v>
      </c>
      <c r="C40" s="301">
        <f ca="1">ROUND(C39*(1-((1+F42)/(1+F40))^F41)/(F40-F42),0)</f>
        <v>2253</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13242</v>
      </c>
      <c r="D43" s="337" t="s">
        <v>777</v>
      </c>
      <c r="E43" s="338" t="s">
        <v>778</v>
      </c>
      <c r="F43" s="339">
        <f ca="1">INDIRECT("'数据-取费表'!k"&amp;$G$1)</f>
        <v>1701.41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-2494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3472</v>
      </c>
      <c r="K47" s="1416" t="s">
        <v>816</v>
      </c>
      <c r="L47" s="1417">
        <f ca="1">INDIRECT("'数据-取费表'!d"&amp;$G$1)</f>
        <v>40</v>
      </c>
      <c r="M47" s="1380" t="str">
        <f>IF(ISNUMBER(FIND("住宅",C1)),"住宅","非住宅")</f>
        <v>非住宅</v>
      </c>
      <c r="O47" s="1418" t="s">
        <v>403</v>
      </c>
      <c r="P47" s="1419" t="s">
        <v>817</v>
      </c>
      <c r="Q47" s="1420">
        <f ca="1">C40+J29</f>
        <v>2253</v>
      </c>
      <c r="R47" s="1420" t="s">
        <v>818</v>
      </c>
    </row>
    <row r="48" spans="1:18" s="1384" customFormat="1" ht="28.5" thickBot="1">
      <c r="A48" s="1110" t="s">
        <v>438</v>
      </c>
      <c r="B48" s="300" t="s">
        <v>692</v>
      </c>
      <c r="C48" s="1359">
        <f ca="1">C49+C53+C55</f>
        <v>0</v>
      </c>
      <c r="D48" s="1112"/>
      <c r="E48" s="1113"/>
      <c r="F48" s="962"/>
      <c r="G48" s="722"/>
      <c r="H48" s="723"/>
      <c r="I48" s="1421" t="s">
        <v>819</v>
      </c>
      <c r="J48" s="1422" t="s">
        <v>3473</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1024</v>
      </c>
      <c r="R49" s="1420" t="s">
        <v>818</v>
      </c>
    </row>
    <row r="50" spans="1:18" s="1384" customFormat="1" ht="13.5" thickBot="1">
      <c r="A50" s="976"/>
      <c r="B50" s="979"/>
      <c r="C50" s="1118"/>
      <c r="D50" s="953"/>
      <c r="E50" s="1056" t="s">
        <v>697</v>
      </c>
      <c r="F50" s="1057">
        <f ca="1">F7</f>
        <v>1701.41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861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v>
      </c>
      <c r="K53" s="3656" t="s">
        <v>837</v>
      </c>
      <c r="L53" s="3657"/>
      <c r="O53" s="1418" t="s">
        <v>409</v>
      </c>
      <c r="P53" s="1419" t="s">
        <v>838</v>
      </c>
      <c r="Q53" s="1420">
        <f ca="1">Q47+Q48</f>
        <v>2253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709</v>
      </c>
      <c r="D56" s="1447"/>
      <c r="E56" s="1448"/>
      <c r="F56" s="1440"/>
      <c r="I56" s="1449" t="s">
        <v>842</v>
      </c>
      <c r="J56" s="1450" t="s">
        <v>3419</v>
      </c>
      <c r="K56" s="1421" t="s">
        <v>843</v>
      </c>
      <c r="L56" s="1424" t="str">
        <f ca="1">IF(L48&lt;J51,"——",L48-J53)</f>
        <v>——</v>
      </c>
      <c r="O56" s="1418" t="s">
        <v>403</v>
      </c>
      <c r="P56" s="1419" t="s">
        <v>817</v>
      </c>
      <c r="Q56" s="1420">
        <f ca="1">C40+J29</f>
        <v>2253</v>
      </c>
      <c r="R56" s="1420" t="s">
        <v>818</v>
      </c>
    </row>
    <row r="57" spans="1:18" s="1384" customFormat="1" ht="24.75" thickBot="1">
      <c r="A57" s="1451"/>
      <c r="B57" s="950" t="s">
        <v>767</v>
      </c>
      <c r="C57" s="238">
        <f ca="1">C29</f>
        <v>1024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2253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15.36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1.06</v>
      </c>
      <c r="D65" s="964" t="s">
        <v>743</v>
      </c>
      <c r="E65" s="950" t="s">
        <v>744</v>
      </c>
      <c r="F65" s="330">
        <f t="shared" ca="1" si="0"/>
        <v>1.5E-3</v>
      </c>
      <c r="I65" s="1462" t="s">
        <v>867</v>
      </c>
      <c r="J65" s="1463">
        <v>40</v>
      </c>
      <c r="K65" s="1463">
        <v>30</v>
      </c>
      <c r="L65" s="1463">
        <v>50</v>
      </c>
      <c r="M65" s="1465">
        <v>0.02</v>
      </c>
      <c r="O65" s="1418" t="s">
        <v>403</v>
      </c>
      <c r="P65" s="1419" t="s">
        <v>868</v>
      </c>
      <c r="Q65" s="1420">
        <f ca="1">C40+J29</f>
        <v>2253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861</v>
      </c>
      <c r="R67" s="1420" t="s">
        <v>870</v>
      </c>
    </row>
    <row r="68" spans="1:18" s="1384" customFormat="1" ht="16.5" thickBot="1">
      <c r="A68" s="947" t="s">
        <v>395</v>
      </c>
      <c r="B68" s="948" t="s">
        <v>774</v>
      </c>
      <c r="C68" s="301">
        <f ca="1">ROUND(C67*(1-((1+F70)/(1+F68))^F69)/(F68-F70),0)</f>
        <v>-241</v>
      </c>
      <c r="D68" s="965" t="s">
        <v>758</v>
      </c>
      <c r="E68" s="950" t="s">
        <v>759</v>
      </c>
      <c r="F68" s="312">
        <f ca="1">F40</f>
        <v>0.06</v>
      </c>
      <c r="O68" s="1428" t="s">
        <v>406</v>
      </c>
      <c r="P68" s="1467" t="s">
        <v>871</v>
      </c>
      <c r="Q68" s="1420">
        <f ca="1">ROUND(Q69-Q70*Q71,0)</f>
        <v>49</v>
      </c>
      <c r="R68" s="1420" t="s">
        <v>414</v>
      </c>
    </row>
    <row r="69" spans="1:18" s="1384" customFormat="1" ht="13.5" thickBot="1">
      <c r="A69" s="951"/>
      <c r="B69" s="952"/>
      <c r="C69" s="306"/>
      <c r="D69" s="970" t="s">
        <v>762</v>
      </c>
      <c r="E69" s="950" t="s">
        <v>763</v>
      </c>
      <c r="F69" s="333">
        <f ca="1">F41</f>
        <v>40</v>
      </c>
      <c r="O69" s="1428" t="s">
        <v>411</v>
      </c>
      <c r="P69" s="1467" t="s">
        <v>872</v>
      </c>
      <c r="Q69" s="1420">
        <f ca="1">C39</f>
        <v>99</v>
      </c>
      <c r="R69" s="1420" t="s">
        <v>818</v>
      </c>
    </row>
    <row r="70" spans="1:18" s="1384" customFormat="1" ht="13.5" thickBot="1">
      <c r="A70" s="954"/>
      <c r="B70" s="955"/>
      <c r="C70" s="310"/>
      <c r="D70" s="966"/>
      <c r="E70" s="950" t="s">
        <v>766</v>
      </c>
      <c r="F70" s="1054"/>
      <c r="O70" s="1428" t="s">
        <v>412</v>
      </c>
      <c r="P70" s="1467" t="s">
        <v>873</v>
      </c>
      <c r="Q70" s="1420">
        <f ca="1">C13</f>
        <v>709</v>
      </c>
      <c r="R70" s="1420" t="s">
        <v>818</v>
      </c>
    </row>
    <row r="71" spans="1:18" s="1384" customFormat="1" ht="13.5" thickBot="1">
      <c r="A71" s="971" t="s">
        <v>396</v>
      </c>
      <c r="B71" s="972" t="s">
        <v>776</v>
      </c>
      <c r="C71" s="336">
        <f ca="1">ROUND(C68*10000/F71,0)</f>
        <v>-1416</v>
      </c>
      <c r="D71" s="973" t="s">
        <v>777</v>
      </c>
      <c r="E71" s="974" t="s">
        <v>778</v>
      </c>
      <c r="F71" s="339">
        <f ca="1">F43</f>
        <v>1701.41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v>
      </c>
      <c r="D75" s="1384"/>
      <c r="E75" s="1384"/>
      <c r="F75" s="1384"/>
      <c r="K75" s="1402"/>
      <c r="L75" s="1384"/>
      <c r="O75" s="1418" t="s">
        <v>409</v>
      </c>
      <c r="P75" s="1419" t="s">
        <v>838</v>
      </c>
      <c r="Q75" s="1420">
        <f ca="1">Q65+Q66</f>
        <v>2253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0.495</v>
      </c>
    </row>
    <row r="80" spans="1:18">
      <c r="B80" s="340" t="s">
        <v>800</v>
      </c>
      <c r="C80" s="274">
        <f ca="1">ROUND(C75/C39,3)</f>
        <v>0.505</v>
      </c>
    </row>
    <row r="81" spans="2:3">
      <c r="B81" s="270" t="s">
        <v>801</v>
      </c>
      <c r="C81" s="238"/>
    </row>
    <row r="82" spans="2:3">
      <c r="B82" s="273" t="s">
        <v>802</v>
      </c>
      <c r="C82" s="275">
        <f ca="1">1-C83</f>
        <v>0.68500000000000005</v>
      </c>
    </row>
    <row r="83" spans="2:3">
      <c r="B83" s="273" t="s">
        <v>803</v>
      </c>
      <c r="C83" s="274">
        <f ca="1">ROUND(C13/C40,3)</f>
        <v>0.315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3361</v>
      </c>
      <c r="E2" s="3441"/>
      <c r="F2" s="2843"/>
      <c r="G2" s="2844"/>
      <c r="H2" s="2845"/>
      <c r="I2" s="2846"/>
      <c r="J2" s="3712" t="s">
        <v>2316</v>
      </c>
      <c r="K2" s="3713"/>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14" t="s">
        <v>2326</v>
      </c>
      <c r="K3" s="3715"/>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14" t="s">
        <v>2328</v>
      </c>
      <c r="K4" s="3715"/>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20" t="s">
        <v>2332</v>
      </c>
      <c r="B6" s="3721"/>
      <c r="C6" s="3722"/>
      <c r="D6" s="2867"/>
      <c r="E6" s="2868"/>
      <c r="F6" s="2869"/>
      <c r="G6" s="2870"/>
      <c r="H6" s="2845"/>
      <c r="I6" s="2846"/>
      <c r="J6" s="3706">
        <v>1</v>
      </c>
      <c r="K6" s="3707"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06"/>
      <c r="K7" s="3708"/>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23" t="s">
        <v>2346</v>
      </c>
      <c r="C8" s="3724"/>
      <c r="D8" s="2886" t="s">
        <v>2347</v>
      </c>
      <c r="E8" s="2887" t="s">
        <v>2348</v>
      </c>
      <c r="F8" s="2888" t="s">
        <v>2349</v>
      </c>
      <c r="G8" s="2889"/>
      <c r="H8" s="2845"/>
      <c r="I8" s="2846"/>
      <c r="J8" s="3706"/>
      <c r="K8" s="3708"/>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23" t="s">
        <v>2352</v>
      </c>
      <c r="C9" s="3724"/>
      <c r="D9" s="2886">
        <f>ROUND(D6*E9,0)</f>
        <v>0</v>
      </c>
      <c r="E9" s="2890"/>
      <c r="F9" s="2891" t="s">
        <v>2353</v>
      </c>
      <c r="G9" s="2870"/>
      <c r="H9" s="2845"/>
      <c r="I9" s="2846"/>
      <c r="J9" s="3706"/>
      <c r="K9" s="3708"/>
      <c r="L9" s="2880" t="s">
        <v>2354</v>
      </c>
      <c r="M9" s="2881"/>
      <c r="N9" s="2857"/>
      <c r="O9" s="2882"/>
      <c r="P9" s="2882"/>
      <c r="Q9" s="2883">
        <v>365</v>
      </c>
      <c r="R9" s="2884">
        <f t="shared" si="0"/>
        <v>0</v>
      </c>
      <c r="S9" s="2838"/>
      <c r="T9" s="2838"/>
      <c r="U9" s="2838"/>
      <c r="V9" s="2846"/>
    </row>
    <row r="10" spans="1:22" s="2850" customFormat="1" ht="13.15" customHeight="1">
      <c r="A10" s="2885">
        <v>2</v>
      </c>
      <c r="B10" s="3723" t="s">
        <v>2355</v>
      </c>
      <c r="C10" s="3724"/>
      <c r="D10" s="2886">
        <f>ROUND(D6*E10,0)</f>
        <v>0</v>
      </c>
      <c r="E10" s="2890"/>
      <c r="F10" s="2891" t="s">
        <v>2356</v>
      </c>
      <c r="G10" s="2870"/>
      <c r="H10" s="2845"/>
      <c r="I10" s="2846"/>
      <c r="J10" s="3706"/>
      <c r="K10" s="3708"/>
      <c r="L10" s="2880" t="s">
        <v>2357</v>
      </c>
      <c r="M10" s="2881"/>
      <c r="N10" s="2857"/>
      <c r="O10" s="2882"/>
      <c r="P10" s="2882"/>
      <c r="Q10" s="2883">
        <v>365</v>
      </c>
      <c r="R10" s="2884">
        <f t="shared" si="0"/>
        <v>0</v>
      </c>
      <c r="S10" s="2838"/>
      <c r="T10" s="2838"/>
      <c r="U10" s="2838"/>
      <c r="V10" s="2846"/>
    </row>
    <row r="11" spans="1:22" s="2850" customFormat="1" ht="13.15" customHeight="1">
      <c r="A11" s="2885">
        <v>3</v>
      </c>
      <c r="B11" s="3723" t="s">
        <v>2358</v>
      </c>
      <c r="C11" s="3724"/>
      <c r="D11" s="2886">
        <f>D12+D14+D15+D16</f>
        <v>0</v>
      </c>
      <c r="E11" s="2892" t="e">
        <f>D11/D6</f>
        <v>#DIV/0!</v>
      </c>
      <c r="F11" s="2888"/>
      <c r="G11" s="2889"/>
      <c r="H11" s="2845"/>
      <c r="I11" s="2846"/>
      <c r="J11" s="3706"/>
      <c r="K11" s="3708"/>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16" t="s">
        <v>2361</v>
      </c>
      <c r="C12" s="3717"/>
      <c r="D12" s="2894">
        <f>ROUND(D13*1.2%*(1-30%),0)</f>
        <v>0</v>
      </c>
      <c r="E12" s="2895">
        <v>1.2E-2</v>
      </c>
      <c r="F12" s="2888" t="s">
        <v>2362</v>
      </c>
      <c r="G12" s="2889"/>
      <c r="H12" s="2845"/>
      <c r="I12" s="2846"/>
      <c r="J12" s="3706"/>
      <c r="K12" s="3708"/>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06"/>
      <c r="K13" s="3708"/>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16" t="s">
        <v>2367</v>
      </c>
      <c r="C14" s="3717"/>
      <c r="D14" s="2894">
        <f>ROUND(E14*B5/10000,0)</f>
        <v>0</v>
      </c>
      <c r="E14" s="2883"/>
      <c r="F14" s="2888" t="s">
        <v>2368</v>
      </c>
      <c r="G14" s="2889"/>
      <c r="H14" s="2845"/>
      <c r="I14" s="2846"/>
      <c r="J14" s="3706"/>
      <c r="K14" s="3709"/>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16" t="s">
        <v>2371</v>
      </c>
      <c r="C15" s="3717"/>
      <c r="D15" s="2894">
        <f>ROUND(D6*E15,0)</f>
        <v>0</v>
      </c>
      <c r="E15" s="2895">
        <v>5.5E-2</v>
      </c>
      <c r="F15" s="2888" t="s">
        <v>2372</v>
      </c>
      <c r="G15" s="2870"/>
      <c r="H15" s="2845"/>
      <c r="I15" s="2846"/>
      <c r="J15" s="3706">
        <v>2</v>
      </c>
      <c r="K15" s="3707"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16" t="s">
        <v>2380</v>
      </c>
      <c r="C16" s="3717"/>
      <c r="D16" s="2905">
        <f>D6*E16</f>
        <v>0</v>
      </c>
      <c r="E16" s="2906"/>
      <c r="F16" s="2891" t="s">
        <v>2381</v>
      </c>
      <c r="G16" s="2870"/>
      <c r="H16" s="2845"/>
      <c r="I16" s="2846"/>
      <c r="J16" s="3706"/>
      <c r="K16" s="3708"/>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18" t="s">
        <v>2383</v>
      </c>
      <c r="C17" s="3719"/>
      <c r="D17" s="2908">
        <f>ROUND(D6*E17,0)</f>
        <v>0</v>
      </c>
      <c r="E17" s="2909"/>
      <c r="F17" s="2910" t="s">
        <v>2384</v>
      </c>
      <c r="G17" s="2870"/>
      <c r="H17" s="2845"/>
      <c r="I17" s="2846"/>
      <c r="J17" s="3706"/>
      <c r="K17" s="3708"/>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06"/>
      <c r="K18" s="3708"/>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06"/>
      <c r="K19" s="3709"/>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6">
        <v>3</v>
      </c>
      <c r="K20" s="3707"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06"/>
      <c r="K21" s="3708"/>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06"/>
      <c r="K22" s="3708"/>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06"/>
      <c r="K23" s="3708"/>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06"/>
      <c r="K24" s="3709"/>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1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1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12" t="s">
        <v>2316</v>
      </c>
      <c r="K32" s="3713"/>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14" t="s">
        <v>2326</v>
      </c>
      <c r="K33" s="3715"/>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14" t="s">
        <v>2328</v>
      </c>
      <c r="K34" s="371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06">
        <v>1</v>
      </c>
      <c r="K36" s="3707"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06"/>
      <c r="K37" s="3708"/>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6"/>
      <c r="K38" s="3708"/>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06"/>
      <c r="K39" s="3708"/>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06"/>
      <c r="K40" s="3709"/>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1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1701.41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697" t="s">
        <v>1673</v>
      </c>
      <c r="D5" s="3698"/>
      <c r="E5" s="3704" t="s">
        <v>1674</v>
      </c>
      <c r="F5" s="3705"/>
      <c r="G5" s="3697" t="s">
        <v>1675</v>
      </c>
      <c r="H5" s="3698"/>
      <c r="I5" s="3697" t="s">
        <v>1676</v>
      </c>
      <c r="J5" s="3698"/>
      <c r="K5" s="559"/>
      <c r="L5" s="2712"/>
      <c r="M5" s="2713"/>
      <c r="N5" s="2713"/>
      <c r="O5" s="2713"/>
      <c r="P5" s="3733"/>
      <c r="Q5" s="3685"/>
      <c r="R5" s="3690"/>
      <c r="S5" s="3691"/>
      <c r="T5" s="3690"/>
      <c r="U5" s="3691"/>
      <c r="V5" s="3694"/>
      <c r="W5" s="3694"/>
      <c r="X5" s="1355"/>
      <c r="Y5" s="3690"/>
      <c r="Z5" s="3691"/>
      <c r="AA5" s="3676"/>
      <c r="AB5" s="3676"/>
      <c r="AC5" s="3729"/>
    </row>
    <row r="6" spans="1:29" ht="15.75" thickBot="1">
      <c r="A6" s="360"/>
      <c r="B6" s="361"/>
      <c r="C6" s="3695" t="s">
        <v>1677</v>
      </c>
      <c r="D6" s="3696"/>
      <c r="E6" s="3702" t="s">
        <v>1677</v>
      </c>
      <c r="F6" s="3703"/>
      <c r="G6" s="3695" t="s">
        <v>1677</v>
      </c>
      <c r="H6" s="3696"/>
      <c r="I6" s="3695" t="s">
        <v>1677</v>
      </c>
      <c r="J6" s="3696"/>
      <c r="K6" s="559" t="s">
        <v>1678</v>
      </c>
      <c r="L6" s="2712"/>
      <c r="M6" s="2713"/>
      <c r="N6" s="2713"/>
      <c r="O6" s="2713"/>
      <c r="P6" s="3734"/>
      <c r="Q6" s="3687"/>
      <c r="R6" s="3690"/>
      <c r="S6" s="3691"/>
      <c r="T6" s="3692"/>
      <c r="U6" s="3693"/>
      <c r="V6" s="3694"/>
      <c r="W6" s="3694"/>
      <c r="X6" s="1355"/>
      <c r="Y6" s="3692"/>
      <c r="Z6" s="3693"/>
      <c r="AA6" s="3677"/>
      <c r="AB6" s="3677"/>
      <c r="AC6" s="3730"/>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38"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8"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4"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4"/>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4"/>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4"/>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4"/>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4"/>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673"/>
      <c r="Q16" s="1352"/>
      <c r="R16" s="705"/>
      <c r="S16" s="706"/>
      <c r="T16" s="705"/>
      <c r="U16" s="706"/>
      <c r="V16" s="705"/>
      <c r="W16" s="706"/>
      <c r="X16" s="1355"/>
      <c r="Y16" s="3666"/>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673"/>
      <c r="Q18" s="1352"/>
      <c r="R18" s="705"/>
      <c r="S18" s="706"/>
      <c r="T18" s="705"/>
      <c r="U18" s="706"/>
      <c r="V18" s="705"/>
      <c r="W18" s="706"/>
      <c r="X18" s="1355"/>
      <c r="Y18" s="3666"/>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673"/>
      <c r="Q20" s="1352"/>
      <c r="R20" s="705"/>
      <c r="S20" s="706"/>
      <c r="T20" s="705"/>
      <c r="U20" s="706"/>
      <c r="V20" s="705"/>
      <c r="W20" s="706"/>
      <c r="X20" s="1355"/>
      <c r="Y20" s="366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673"/>
      <c r="Q22" s="1352"/>
      <c r="R22" s="705"/>
      <c r="S22" s="706"/>
      <c r="T22" s="705"/>
      <c r="U22" s="706"/>
      <c r="V22" s="705"/>
      <c r="W22" s="706"/>
      <c r="X22" s="1355"/>
      <c r="Y22" s="366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673"/>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73"/>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73"/>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1701.41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湖南省益阳市人民政府驻北京联络处：</v>
      </c>
    </row>
    <row r="4" spans="1:1" ht="36">
      <c r="A4" s="1480" t="str">
        <f>"受贵公司委托，我公司对"&amp;项目基本情况!S1&amp;"进行了预评估。"</f>
        <v>受贵公司委托，我公司对北京市丰台区莲香园1号楼1至3层1-3房地产市场价值进行了预评估。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香园1号楼1至3层1-3房地产，为湖南省益阳市人民政府驻北京联络处所有。根据《国有土地使用证》[]，估价对象（分摊）出让国有建设用地使用权面积为0平方米，建筑面积为1701.41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2"/>
      <c r="M5" s="2713"/>
      <c r="N5" s="2713"/>
      <c r="O5" s="2713"/>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2"/>
      <c r="M6" s="2713"/>
      <c r="N6" s="2713"/>
      <c r="O6" s="2713"/>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3"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3"/>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66"/>
      <c r="Q15" s="1352"/>
      <c r="R15" s="705"/>
      <c r="S15" s="706"/>
      <c r="T15" s="705"/>
      <c r="U15" s="706"/>
      <c r="V15" s="705"/>
      <c r="W15" s="706"/>
      <c r="X15" s="1355"/>
      <c r="Y15" s="366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66"/>
      <c r="Q17" s="1352"/>
      <c r="R17" s="705"/>
      <c r="S17" s="706"/>
      <c r="T17" s="705"/>
      <c r="U17" s="706"/>
      <c r="V17" s="705"/>
      <c r="W17" s="706"/>
      <c r="X17" s="1355"/>
      <c r="Y17" s="366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66"/>
      <c r="Q19" s="1352"/>
      <c r="R19" s="705"/>
      <c r="S19" s="706"/>
      <c r="T19" s="705"/>
      <c r="U19" s="706"/>
      <c r="V19" s="705"/>
      <c r="W19" s="706"/>
      <c r="X19" s="1355"/>
      <c r="Y19" s="366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60" t="str">
        <f>A39</f>
        <v>估价对象XX用房的比较价值（楼面单价，元/平方米）</v>
      </c>
      <c r="Q39" s="3661"/>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2"/>
      <c r="M5" s="2713"/>
      <c r="N5" s="2713"/>
      <c r="O5" s="2713"/>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2"/>
      <c r="M6" s="2713"/>
      <c r="N6" s="2713"/>
      <c r="O6" s="2713"/>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3"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3"/>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6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66"/>
      <c r="Q15" s="1352"/>
      <c r="R15" s="705"/>
      <c r="S15" s="706"/>
      <c r="T15" s="705"/>
      <c r="U15" s="706"/>
      <c r="V15" s="705"/>
      <c r="W15" s="706"/>
      <c r="X15" s="1355"/>
      <c r="Y15" s="366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66"/>
      <c r="Q17" s="1352"/>
      <c r="R17" s="705"/>
      <c r="S17" s="706"/>
      <c r="T17" s="705"/>
      <c r="U17" s="706"/>
      <c r="V17" s="705"/>
      <c r="W17" s="706"/>
      <c r="X17" s="1355"/>
      <c r="Y17" s="366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66"/>
      <c r="Q19" s="1352"/>
      <c r="R19" s="705"/>
      <c r="S19" s="706"/>
      <c r="T19" s="705"/>
      <c r="U19" s="706"/>
      <c r="V19" s="705"/>
      <c r="W19" s="706"/>
      <c r="X19" s="1355"/>
      <c r="Y19" s="366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60" t="str">
        <f>A37</f>
        <v>估价对象XX用房的比较价值（楼面单价，元/平方米）</v>
      </c>
      <c r="Q37" s="3661"/>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2"/>
      <c r="M4" s="2713"/>
      <c r="N4" s="2713"/>
      <c r="O4" s="2713"/>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2"/>
      <c r="M5" s="2713"/>
      <c r="N5" s="2713"/>
      <c r="O5" s="2713"/>
      <c r="P5" s="3684"/>
      <c r="Q5" s="3685"/>
      <c r="R5" s="3690"/>
      <c r="S5" s="3691"/>
      <c r="T5" s="3690"/>
      <c r="U5" s="3691"/>
      <c r="V5" s="3694"/>
      <c r="W5" s="3694"/>
      <c r="X5" s="1355"/>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2"/>
      <c r="M6" s="2713"/>
      <c r="N6" s="2713"/>
      <c r="O6" s="2713"/>
      <c r="P6" s="3686"/>
      <c r="Q6" s="3687"/>
      <c r="R6" s="3690"/>
      <c r="S6" s="3691"/>
      <c r="T6" s="3692"/>
      <c r="U6" s="3693"/>
      <c r="V6" s="3694"/>
      <c r="W6" s="3694"/>
      <c r="X6" s="1355"/>
      <c r="Y6" s="3692"/>
      <c r="Z6" s="3693"/>
      <c r="AA6" s="3677"/>
      <c r="AB6" s="3677"/>
      <c r="AC6" s="3677"/>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6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6"/>
      <c r="M10" s="2717"/>
      <c r="N10" s="2717"/>
      <c r="O10" s="2770"/>
      <c r="P10" s="366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3"/>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3"/>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3"/>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66"/>
      <c r="Q16" s="1352"/>
      <c r="R16" s="705"/>
      <c r="S16" s="706"/>
      <c r="T16" s="705"/>
      <c r="U16" s="706"/>
      <c r="V16" s="705"/>
      <c r="W16" s="706"/>
      <c r="X16" s="1355"/>
      <c r="Y16" s="3666"/>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66"/>
      <c r="Q18" s="1352"/>
      <c r="R18" s="705"/>
      <c r="S18" s="706"/>
      <c r="T18" s="705"/>
      <c r="U18" s="706"/>
      <c r="V18" s="705"/>
      <c r="W18" s="706"/>
      <c r="X18" s="1355"/>
      <c r="Y18" s="3666"/>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66"/>
      <c r="Q20" s="1352"/>
      <c r="R20" s="705"/>
      <c r="S20" s="706"/>
      <c r="T20" s="705"/>
      <c r="U20" s="706"/>
      <c r="V20" s="705"/>
      <c r="W20" s="706"/>
      <c r="X20" s="1355"/>
      <c r="Y20" s="3666"/>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66"/>
      <c r="Q24" s="1352"/>
      <c r="R24" s="705"/>
      <c r="S24" s="706"/>
      <c r="T24" s="705"/>
      <c r="U24" s="706"/>
      <c r="V24" s="705"/>
      <c r="W24" s="706"/>
      <c r="X24" s="1355"/>
      <c r="Y24" s="366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66"/>
      <c r="Q26" s="1352"/>
      <c r="R26" s="705"/>
      <c r="S26" s="706"/>
      <c r="T26" s="705"/>
      <c r="U26" s="706"/>
      <c r="V26" s="705"/>
      <c r="W26" s="706"/>
      <c r="X26" s="1355"/>
      <c r="Y26" s="366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66"/>
      <c r="Q28" s="1343"/>
      <c r="R28" s="701"/>
      <c r="S28" s="702"/>
      <c r="T28" s="701"/>
      <c r="U28" s="702"/>
      <c r="V28" s="701"/>
      <c r="W28" s="702"/>
      <c r="X28" s="703"/>
      <c r="Y28" s="366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0"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63" t="str">
        <f>A47</f>
        <v>比较价值（元/平方米）</v>
      </c>
      <c r="Q47" s="366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60" t="str">
        <f>A48</f>
        <v>估价对象XX用房的比较价值（楼面单价，元/平方米）</v>
      </c>
      <c r="Q48" s="3661"/>
      <c r="R48" s="3743" t="e">
        <f>ROUND(IF(D47="简单平均",AVERAGE(R47:W47),R47*F47+T47*H47+V47*J47),0)</f>
        <v>#DIV/0!</v>
      </c>
      <c r="S48" s="3743"/>
      <c r="T48" s="3743"/>
      <c r="U48" s="3743"/>
      <c r="V48" s="3743"/>
      <c r="W48" s="374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78" t="s">
        <v>1887</v>
      </c>
      <c r="H55" s="3744"/>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1701.41</v>
      </c>
      <c r="F56" s="886" t="e">
        <f t="shared" ref="F56:F64" si="15">ROUND(B56*E56/10000,0)</f>
        <v>#DIV/0!</v>
      </c>
      <c r="G56" s="3674"/>
      <c r="H56" s="366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1701.41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2"/>
      <c r="M4" s="2713"/>
      <c r="N4" s="2713"/>
      <c r="O4" s="2713"/>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2"/>
      <c r="M5" s="2713"/>
      <c r="N5" s="2713"/>
      <c r="O5" s="2713"/>
      <c r="P5" s="3684"/>
      <c r="Q5" s="3685"/>
      <c r="R5" s="3690"/>
      <c r="S5" s="3691"/>
      <c r="T5" s="3690"/>
      <c r="U5" s="3691"/>
      <c r="V5" s="3694"/>
      <c r="W5" s="3694"/>
      <c r="X5" s="1355"/>
      <c r="Y5" s="3690"/>
      <c r="Z5" s="3691"/>
      <c r="AA5" s="3676"/>
      <c r="AB5" s="3676"/>
      <c r="AC5" s="3676"/>
    </row>
    <row r="6" spans="1:29" ht="15.75" thickBot="1">
      <c r="A6" s="360"/>
      <c r="B6" s="361"/>
      <c r="C6" s="3745" t="s">
        <v>1919</v>
      </c>
      <c r="D6" s="3746"/>
      <c r="E6" s="3747" t="s">
        <v>1919</v>
      </c>
      <c r="F6" s="3748"/>
      <c r="G6" s="3745" t="s">
        <v>1919</v>
      </c>
      <c r="H6" s="3746"/>
      <c r="I6" s="3745" t="s">
        <v>1919</v>
      </c>
      <c r="J6" s="3746"/>
      <c r="K6" s="559" t="s">
        <v>1678</v>
      </c>
      <c r="L6" s="2712"/>
      <c r="M6" s="2713"/>
      <c r="N6" s="2713"/>
      <c r="O6" s="2713"/>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6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66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0"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63" t="str">
        <f>A41</f>
        <v>成交单价</v>
      </c>
      <c r="Q41" s="3663"/>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63" t="str">
        <f>A42</f>
        <v>比较价值（元/平方米）</v>
      </c>
      <c r="Q42" s="366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60" t="str">
        <f>A43</f>
        <v>估价对象XX用房的比较价值（楼面单价，元/平方米）</v>
      </c>
      <c r="Q43" s="3661"/>
      <c r="R43" s="3743" t="e">
        <f>ROUND(IF(D42="简单平均",AVERAGE(R42:W42),R42*F42+T42*H42+V42*J42),0)</f>
        <v>#DIV/0!</v>
      </c>
      <c r="S43" s="3743"/>
      <c r="T43" s="3743"/>
      <c r="U43" s="3743"/>
      <c r="V43" s="3743"/>
      <c r="W43" s="374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78" t="s">
        <v>1887</v>
      </c>
      <c r="H50" s="3744"/>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1701.41</v>
      </c>
      <c r="F51" s="639" t="e">
        <f t="shared" ref="F51:F60" si="15">ROUND(B51*E51/10000,0)</f>
        <v>#DIV/0!</v>
      </c>
      <c r="G51" s="3674"/>
      <c r="H51" s="366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U31" sqref="U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ht="25.5">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v>3</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2609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15334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1701.4099999999999</v>
      </c>
      <c r="C22" s="3749" t="s">
        <v>27</v>
      </c>
      <c r="D22" s="3750"/>
      <c r="E22" s="3750"/>
      <c r="F22" s="3750"/>
      <c r="G22" s="3750"/>
      <c r="H22" s="3750"/>
      <c r="I22" s="3750"/>
      <c r="J22" s="3750"/>
      <c r="K22" s="3750"/>
      <c r="L22" s="3750"/>
      <c r="M22" s="3750"/>
      <c r="N22" s="3750"/>
      <c r="O22" s="3750"/>
      <c r="P22" s="3750"/>
      <c r="Q22" s="3751"/>
      <c r="R22" s="663">
        <f>ROUND(S22*10000/B22,0)</f>
        <v>15334</v>
      </c>
      <c r="S22" s="21">
        <f>SUM(S24:S10000)</f>
        <v>2609</v>
      </c>
      <c r="U22" s="725">
        <f>'比较法-商业'!C49</f>
        <v>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'数据-汇总表'!E3/3</f>
        <v>567.13666666666666</v>
      </c>
      <c r="C24" s="2807">
        <v>1</v>
      </c>
      <c r="D24" s="2808"/>
      <c r="E24" s="2807">
        <v>1</v>
      </c>
      <c r="F24" s="2808"/>
      <c r="G24" s="2807">
        <v>1</v>
      </c>
      <c r="H24" s="2808"/>
      <c r="I24" s="2807">
        <v>1</v>
      </c>
      <c r="J24" s="2808"/>
      <c r="K24" s="2807">
        <v>1</v>
      </c>
      <c r="L24" s="2808"/>
      <c r="M24" s="2807">
        <v>1</v>
      </c>
      <c r="N24" s="2808"/>
      <c r="O24" s="2807">
        <v>1</v>
      </c>
      <c r="P24" s="2808">
        <v>1</v>
      </c>
      <c r="Q24" s="2807">
        <v>1</v>
      </c>
      <c r="R24" s="668">
        <v>20000</v>
      </c>
      <c r="S24" s="666">
        <f t="shared" ref="S24:S54" si="11">ROUND(R24*B24/10000,0)</f>
        <v>1134</v>
      </c>
      <c r="T24" s="730"/>
      <c r="U24" s="730">
        <v>3.5</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B24</f>
        <v>567.13666666666666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14000</v>
      </c>
      <c r="S25" s="316">
        <f t="shared" si="11"/>
        <v>794</v>
      </c>
      <c r="U25" s="725">
        <f>U24*Q25</f>
        <v>2.4499999999999997</v>
      </c>
    </row>
    <row r="26" spans="1:45">
      <c r="A26" s="150"/>
      <c r="B26" s="54">
        <f>B24</f>
        <v>567.13666666666666</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3</v>
      </c>
      <c r="Q26" s="21">
        <f t="shared" ref="Q26:Q89" si="19">(SUMIF($17:$17,P26,$18:$18)-SUMIF($17:$17,$P$24,$18:$18)+100)/100</f>
        <v>0.6</v>
      </c>
      <c r="R26" s="663">
        <f t="shared" ref="R26:R89" si="20">IF(B26="",0,ROUND($R$24*C26*E26*G26*I26*K26*M26*O26*Q26,0))</f>
        <v>12000</v>
      </c>
      <c r="S26" s="316">
        <f t="shared" si="11"/>
        <v>681</v>
      </c>
      <c r="U26" s="725">
        <f>U24*Q26</f>
        <v>2.1</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c r="U27" s="725">
        <f>ROUND((U24+U25+U26)/3,1)</f>
        <v>2.7</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61"/>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6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t="e">
        <f>ROUND(G18/I18,2)</f>
        <v>#DIV/0!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6" t="s">
        <v>3257</v>
      </c>
      <c r="B20" s="167" t="s">
        <v>1994</v>
      </c>
      <c r="C20" s="3322" t="e">
        <f>ROUND(IF(F21="与级别开发程度一致",0,(G21-E21)/C21),0)</f>
        <v>#DIV/0!</v>
      </c>
      <c r="D20" s="3338" t="s">
        <v>1998</v>
      </c>
      <c r="E20" s="3339"/>
      <c r="F20" s="3772" t="s">
        <v>1995</v>
      </c>
      <c r="G20" s="3773"/>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44992</v>
      </c>
      <c r="H23" s="3340" t="s">
        <v>3259</v>
      </c>
      <c r="I23" s="3341" t="str">
        <f>IF(H23="季度增幅（自定义）",SUMIF(N25:N28,E2,O25:O28),"")</f>
        <v/>
      </c>
      <c r="J23" s="3443" t="s">
        <v>3258</v>
      </c>
      <c r="K23" s="1125"/>
      <c r="L23" s="2055" t="s">
        <v>2004</v>
      </c>
      <c r="M23" s="1328">
        <f>ROUND(SUMIF(地价!B2:G2,E2,地价!B16:G16),0)</f>
        <v>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3337</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71"/>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8" t="s">
        <v>3297</v>
      </c>
      <c r="B103" s="3768"/>
      <c r="C103" s="3768"/>
      <c r="D103" s="3768"/>
      <c r="E103" s="3768"/>
      <c r="F103" s="3768"/>
      <c r="G103" s="3768"/>
      <c r="H103" s="3768"/>
      <c r="I103" s="3768"/>
      <c r="J103" s="3768"/>
      <c r="K103" s="3387"/>
      <c r="L103" s="3387"/>
      <c r="M103" s="3387"/>
      <c r="N103" s="3387"/>
    </row>
    <row r="104" spans="1:14">
      <c r="A104" s="3769" t="s">
        <v>3298</v>
      </c>
      <c r="B104" s="3769" t="s">
        <v>3299</v>
      </c>
      <c r="C104" s="3388" t="s">
        <v>3300</v>
      </c>
      <c r="D104" s="3389"/>
      <c r="E104" s="3389"/>
      <c r="F104" s="3389"/>
      <c r="G104" s="3389"/>
      <c r="H104" s="3389"/>
      <c r="I104" s="3389"/>
      <c r="J104" s="3390"/>
      <c r="K104" s="3391"/>
      <c r="L104" s="3391"/>
      <c r="M104" s="3391"/>
      <c r="N104" s="3391"/>
    </row>
    <row r="105" spans="1:14">
      <c r="A105" s="3769"/>
      <c r="B105" s="3769"/>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5"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6"/>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8" t="s">
        <v>3314</v>
      </c>
      <c r="B113" s="3758"/>
      <c r="C113" s="3758"/>
      <c r="D113" s="3758"/>
      <c r="E113" s="3758"/>
      <c r="F113" s="3758"/>
      <c r="G113" s="3758"/>
      <c r="H113" s="3758"/>
      <c r="I113" s="3758"/>
      <c r="J113" s="375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0</v>
      </c>
      <c r="C116" s="3397" t="s">
        <v>3316</v>
      </c>
      <c r="D116" s="3398">
        <f>SUMPRODUCT((A118:A122=F116)*(B117:M117=H116)*B118:M122)</f>
        <v>0</v>
      </c>
      <c r="E116" s="2000" t="s">
        <v>3317</v>
      </c>
      <c r="F116" s="3399">
        <f>E2</f>
        <v>0</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3332</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3333</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83" t="s">
        <v>2606</v>
      </c>
      <c r="B20" s="3778" t="s">
        <v>2627</v>
      </c>
      <c r="C20" s="3100" t="s">
        <v>2438</v>
      </c>
      <c r="D20" s="3101"/>
      <c r="E20" s="3102">
        <v>1</v>
      </c>
      <c r="F20" s="3103" t="s">
        <v>2439</v>
      </c>
      <c r="G20" s="3103"/>
    </row>
    <row r="21" spans="1:13" ht="19.5" customHeight="1">
      <c r="A21" s="3784"/>
      <c r="B21" s="3777"/>
      <c r="C21" s="3104" t="s">
        <v>2440</v>
      </c>
      <c r="D21" s="3105"/>
      <c r="E21" s="3106">
        <v>1</v>
      </c>
      <c r="F21" s="3103" t="s">
        <v>2441</v>
      </c>
      <c r="G21" s="3103"/>
    </row>
    <row r="22" spans="1:13" ht="19.5" customHeight="1">
      <c r="A22" s="3784"/>
      <c r="B22" s="3777"/>
      <c r="C22" s="3104" t="s">
        <v>2442</v>
      </c>
      <c r="D22" s="3105"/>
      <c r="E22" s="3106">
        <v>0.9</v>
      </c>
      <c r="F22" s="3103" t="s">
        <v>2443</v>
      </c>
      <c r="G22" s="3103"/>
    </row>
    <row r="23" spans="1:13" ht="19.5" customHeight="1">
      <c r="A23" s="3784"/>
      <c r="B23" s="3777"/>
      <c r="C23" s="3104" t="s">
        <v>2444</v>
      </c>
      <c r="D23" s="3105"/>
      <c r="E23" s="3106">
        <v>0.9</v>
      </c>
      <c r="F23" s="3103" t="s">
        <v>2445</v>
      </c>
      <c r="G23" s="3103"/>
    </row>
    <row r="24" spans="1:13" ht="19.5" customHeight="1">
      <c r="A24" s="3784"/>
      <c r="B24" s="3777"/>
      <c r="C24" s="3104" t="s">
        <v>2446</v>
      </c>
      <c r="D24" s="3105"/>
      <c r="E24" s="3106">
        <v>0.8</v>
      </c>
      <c r="F24" s="3103" t="s">
        <v>2447</v>
      </c>
      <c r="G24" s="3103"/>
    </row>
    <row r="25" spans="1:13" ht="19.5" customHeight="1" thickBot="1">
      <c r="A25" s="3785"/>
      <c r="B25" s="3779"/>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80" t="s">
        <v>2630</v>
      </c>
      <c r="B27" s="3778" t="s">
        <v>2611</v>
      </c>
      <c r="C27" s="3100" t="s">
        <v>2451</v>
      </c>
      <c r="D27" s="3101"/>
      <c r="E27" s="3102">
        <v>1</v>
      </c>
      <c r="F27" s="3103" t="s">
        <v>2452</v>
      </c>
      <c r="G27" s="3103"/>
    </row>
    <row r="28" spans="1:13" ht="19.5" customHeight="1">
      <c r="A28" s="3781"/>
      <c r="B28" s="3777"/>
      <c r="C28" s="3104" t="s">
        <v>2453</v>
      </c>
      <c r="D28" s="3105"/>
      <c r="E28" s="3106">
        <v>1</v>
      </c>
      <c r="F28" s="3103" t="s">
        <v>2454</v>
      </c>
      <c r="G28" s="3103"/>
    </row>
    <row r="29" spans="1:13" ht="19.5" customHeight="1">
      <c r="A29" s="3781"/>
      <c r="B29" s="3777"/>
      <c r="C29" s="3104" t="s">
        <v>2455</v>
      </c>
      <c r="D29" s="3105"/>
      <c r="E29" s="3106">
        <v>0.8</v>
      </c>
      <c r="F29" s="3103" t="s">
        <v>2456</v>
      </c>
      <c r="G29" s="3103"/>
    </row>
    <row r="30" spans="1:13" ht="19.5" customHeight="1">
      <c r="A30" s="3781"/>
      <c r="B30" s="3777"/>
      <c r="C30" s="3104" t="s">
        <v>2457</v>
      </c>
      <c r="D30" s="3105"/>
      <c r="E30" s="3106">
        <v>0.8</v>
      </c>
      <c r="F30" s="3103" t="s">
        <v>2458</v>
      </c>
      <c r="G30" s="3103"/>
    </row>
    <row r="31" spans="1:13" ht="19.5" customHeight="1">
      <c r="A31" s="3781"/>
      <c r="B31" s="3777"/>
      <c r="C31" s="3104" t="s">
        <v>2459</v>
      </c>
      <c r="D31" s="3105"/>
      <c r="E31" s="3106">
        <v>0.8</v>
      </c>
      <c r="F31" s="3103" t="s">
        <v>2460</v>
      </c>
      <c r="G31" s="3103"/>
    </row>
    <row r="32" spans="1:13" ht="19.5" customHeight="1">
      <c r="A32" s="3781"/>
      <c r="B32" s="3777"/>
      <c r="C32" s="3104" t="s">
        <v>2461</v>
      </c>
      <c r="D32" s="3105"/>
      <c r="E32" s="3106">
        <v>0.7</v>
      </c>
      <c r="F32" s="3103" t="s">
        <v>2462</v>
      </c>
      <c r="G32" s="3103"/>
    </row>
    <row r="33" spans="1:7" ht="19.5" customHeight="1">
      <c r="A33" s="3781"/>
      <c r="B33" s="3777"/>
      <c r="C33" s="3104" t="s">
        <v>2463</v>
      </c>
      <c r="D33" s="3105"/>
      <c r="E33" s="3106">
        <v>0.8</v>
      </c>
      <c r="F33" s="3103" t="s">
        <v>2464</v>
      </c>
      <c r="G33" s="3103"/>
    </row>
    <row r="34" spans="1:7" ht="19.5" customHeight="1">
      <c r="A34" s="3781"/>
      <c r="B34" s="3777"/>
      <c r="C34" s="3104" t="s">
        <v>2465</v>
      </c>
      <c r="D34" s="3105"/>
      <c r="E34" s="3106">
        <v>0.6</v>
      </c>
      <c r="F34" s="3103" t="s">
        <v>2466</v>
      </c>
      <c r="G34" s="3103"/>
    </row>
    <row r="35" spans="1:7" ht="19.5" customHeight="1">
      <c r="A35" s="3781"/>
      <c r="B35" s="3777"/>
      <c r="C35" s="3104" t="s">
        <v>2467</v>
      </c>
      <c r="D35" s="3105"/>
      <c r="E35" s="3106">
        <v>0.2</v>
      </c>
      <c r="F35" s="3103" t="s">
        <v>2468</v>
      </c>
      <c r="G35" s="3103"/>
    </row>
    <row r="36" spans="1:7" ht="19.5" customHeight="1">
      <c r="A36" s="3781"/>
      <c r="B36" s="3777"/>
      <c r="C36" s="3104" t="s">
        <v>2469</v>
      </c>
      <c r="D36" s="3105"/>
      <c r="E36" s="3106">
        <v>0.2</v>
      </c>
      <c r="F36" s="3103" t="s">
        <v>2470</v>
      </c>
      <c r="G36" s="3103"/>
    </row>
    <row r="37" spans="1:7" ht="19.5" customHeight="1">
      <c r="A37" s="3781"/>
      <c r="B37" s="3775" t="s">
        <v>2631</v>
      </c>
      <c r="C37" s="3104" t="s">
        <v>2471</v>
      </c>
      <c r="D37" s="3105"/>
      <c r="E37" s="3106">
        <v>0.6</v>
      </c>
      <c r="F37" s="3103" t="s">
        <v>2472</v>
      </c>
      <c r="G37" s="3103"/>
    </row>
    <row r="38" spans="1:7" ht="19.5" customHeight="1">
      <c r="A38" s="3781"/>
      <c r="B38" s="3777"/>
      <c r="C38" s="3104" t="s">
        <v>2473</v>
      </c>
      <c r="D38" s="3105"/>
      <c r="E38" s="3106">
        <v>0.6</v>
      </c>
      <c r="F38" s="3103" t="s">
        <v>2474</v>
      </c>
      <c r="G38" s="3103"/>
    </row>
    <row r="39" spans="1:7" ht="19.5" customHeight="1" thickBot="1">
      <c r="A39" s="3782"/>
      <c r="B39" s="3779"/>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83" t="s">
        <v>2609</v>
      </c>
      <c r="B41" s="3778" t="s">
        <v>2633</v>
      </c>
      <c r="C41" s="3100" t="s">
        <v>2478</v>
      </c>
      <c r="D41" s="3101"/>
      <c r="E41" s="3102">
        <v>1</v>
      </c>
      <c r="F41" s="3103" t="s">
        <v>2479</v>
      </c>
      <c r="G41" s="3103"/>
    </row>
    <row r="42" spans="1:7" ht="19.5" customHeight="1">
      <c r="A42" s="3784"/>
      <c r="B42" s="3777"/>
      <c r="C42" s="3104" t="s">
        <v>2480</v>
      </c>
      <c r="D42" s="3105"/>
      <c r="E42" s="3106">
        <v>1</v>
      </c>
      <c r="F42" s="3103" t="s">
        <v>2481</v>
      </c>
      <c r="G42" s="3103"/>
    </row>
    <row r="43" spans="1:7" ht="19.5" customHeight="1">
      <c r="A43" s="3784"/>
      <c r="B43" s="3776"/>
      <c r="C43" s="3104" t="s">
        <v>2482</v>
      </c>
      <c r="D43" s="3105"/>
      <c r="E43" s="3106">
        <v>1.5</v>
      </c>
      <c r="F43" s="3103" t="s">
        <v>2483</v>
      </c>
      <c r="G43" s="3103"/>
    </row>
    <row r="44" spans="1:7" ht="19.5" customHeight="1">
      <c r="A44" s="3784"/>
      <c r="B44" s="3115" t="s">
        <v>2634</v>
      </c>
      <c r="C44" s="3104" t="s">
        <v>2635</v>
      </c>
      <c r="D44" s="3105"/>
      <c r="E44" s="3106">
        <v>2</v>
      </c>
      <c r="F44" s="3103" t="s">
        <v>2484</v>
      </c>
      <c r="G44" s="3103"/>
    </row>
    <row r="45" spans="1:7" ht="19.5" customHeight="1">
      <c r="A45" s="3784"/>
      <c r="B45" s="3775" t="s">
        <v>2636</v>
      </c>
      <c r="C45" s="3104" t="s">
        <v>2485</v>
      </c>
      <c r="D45" s="3105"/>
      <c r="E45" s="3106">
        <v>1</v>
      </c>
      <c r="F45" s="3103" t="s">
        <v>2486</v>
      </c>
      <c r="G45" s="3103"/>
    </row>
    <row r="46" spans="1:7" ht="19.5" customHeight="1">
      <c r="A46" s="3784"/>
      <c r="B46" s="3777"/>
      <c r="C46" s="3104" t="s">
        <v>2487</v>
      </c>
      <c r="D46" s="3105"/>
      <c r="E46" s="3106">
        <v>1</v>
      </c>
      <c r="F46" s="3103" t="s">
        <v>2488</v>
      </c>
      <c r="G46" s="3103"/>
    </row>
    <row r="47" spans="1:7" ht="19.5" customHeight="1">
      <c r="A47" s="3784"/>
      <c r="B47" s="3777"/>
      <c r="C47" s="3104" t="s">
        <v>2489</v>
      </c>
      <c r="D47" s="3105"/>
      <c r="E47" s="3106">
        <v>1</v>
      </c>
      <c r="F47" s="3103" t="s">
        <v>2490</v>
      </c>
      <c r="G47" s="3103"/>
    </row>
    <row r="48" spans="1:7" ht="19.5" customHeight="1">
      <c r="A48" s="3784"/>
      <c r="B48" s="3777"/>
      <c r="C48" s="3104" t="s">
        <v>2491</v>
      </c>
      <c r="D48" s="3105"/>
      <c r="E48" s="3106">
        <v>1</v>
      </c>
      <c r="F48" s="3103" t="s">
        <v>2492</v>
      </c>
      <c r="G48" s="3103"/>
    </row>
    <row r="49" spans="1:7" ht="19.5" customHeight="1">
      <c r="A49" s="3784"/>
      <c r="B49" s="3777"/>
      <c r="C49" s="3104" t="s">
        <v>2493</v>
      </c>
      <c r="D49" s="3105"/>
      <c r="E49" s="3106">
        <v>1</v>
      </c>
      <c r="F49" s="3103" t="s">
        <v>2494</v>
      </c>
      <c r="G49" s="3103"/>
    </row>
    <row r="50" spans="1:7" ht="19.5" customHeight="1">
      <c r="A50" s="3784"/>
      <c r="B50" s="3777"/>
      <c r="C50" s="3104" t="s">
        <v>2495</v>
      </c>
      <c r="D50" s="3105"/>
      <c r="E50" s="3106">
        <v>1</v>
      </c>
      <c r="F50" s="3103" t="s">
        <v>2496</v>
      </c>
      <c r="G50" s="3103"/>
    </row>
    <row r="51" spans="1:7" ht="19.5" customHeight="1" thickBot="1">
      <c r="A51" s="3785"/>
      <c r="B51" s="3779"/>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75" t="s">
        <v>2650</v>
      </c>
      <c r="C73" s="3089" t="s">
        <v>2651</v>
      </c>
      <c r="D73" s="3089" t="s">
        <v>2652</v>
      </c>
      <c r="E73" s="3115">
        <v>0.2</v>
      </c>
      <c r="F73" s="3115">
        <v>25</v>
      </c>
    </row>
    <row r="74" spans="1:7" ht="24">
      <c r="A74" s="3115">
        <v>2</v>
      </c>
      <c r="B74" s="3777"/>
      <c r="C74" s="3089" t="s">
        <v>2653</v>
      </c>
      <c r="D74" s="3089" t="s">
        <v>2654</v>
      </c>
      <c r="E74" s="3115">
        <v>0.2</v>
      </c>
      <c r="F74" s="3115">
        <v>25</v>
      </c>
    </row>
    <row r="75" spans="1:7" ht="24">
      <c r="A75" s="3115">
        <v>3</v>
      </c>
      <c r="B75" s="3777"/>
      <c r="C75" s="3089" t="s">
        <v>2655</v>
      </c>
      <c r="D75" s="3089" t="s">
        <v>2656</v>
      </c>
      <c r="E75" s="3115">
        <v>0.2</v>
      </c>
      <c r="F75" s="3115">
        <v>25</v>
      </c>
    </row>
    <row r="76" spans="1:7" ht="13.5">
      <c r="A76" s="3115">
        <v>4</v>
      </c>
      <c r="B76" s="3777"/>
      <c r="C76" s="3089" t="s">
        <v>2657</v>
      </c>
      <c r="D76" s="3089" t="s">
        <v>2658</v>
      </c>
      <c r="E76" s="3115">
        <v>0.15</v>
      </c>
      <c r="F76" s="3115">
        <v>20</v>
      </c>
    </row>
    <row r="77" spans="1:7" ht="24">
      <c r="A77" s="3115">
        <v>5</v>
      </c>
      <c r="B77" s="3777"/>
      <c r="C77" s="3089" t="s">
        <v>2659</v>
      </c>
      <c r="D77" s="3089" t="s">
        <v>2660</v>
      </c>
      <c r="E77" s="3115">
        <v>0.15</v>
      </c>
      <c r="F77" s="3115">
        <v>20</v>
      </c>
    </row>
    <row r="78" spans="1:7" ht="24">
      <c r="A78" s="3115">
        <v>6</v>
      </c>
      <c r="B78" s="3777"/>
      <c r="C78" s="3089" t="s">
        <v>2661</v>
      </c>
      <c r="D78" s="3089" t="s">
        <v>2662</v>
      </c>
      <c r="E78" s="3115">
        <v>0.15</v>
      </c>
      <c r="F78" s="3115">
        <v>20</v>
      </c>
    </row>
    <row r="79" spans="1:7" ht="24">
      <c r="A79" s="3115">
        <v>7</v>
      </c>
      <c r="B79" s="3777"/>
      <c r="C79" s="3089" t="s">
        <v>2663</v>
      </c>
      <c r="D79" s="3089" t="s">
        <v>2664</v>
      </c>
      <c r="E79" s="3115">
        <v>0.15</v>
      </c>
      <c r="F79" s="3115">
        <v>20</v>
      </c>
    </row>
    <row r="80" spans="1:7" ht="24">
      <c r="A80" s="3115">
        <v>8</v>
      </c>
      <c r="B80" s="3777"/>
      <c r="C80" s="3089" t="s">
        <v>2665</v>
      </c>
      <c r="D80" s="3089" t="s">
        <v>2666</v>
      </c>
      <c r="E80" s="3115">
        <v>0.1</v>
      </c>
      <c r="F80" s="3115">
        <v>15</v>
      </c>
    </row>
    <row r="81" spans="1:6" ht="24">
      <c r="A81" s="3115">
        <v>9</v>
      </c>
      <c r="B81" s="3777"/>
      <c r="C81" s="3089" t="s">
        <v>2667</v>
      </c>
      <c r="D81" s="3089" t="s">
        <v>2668</v>
      </c>
      <c r="E81" s="3115">
        <v>0.1</v>
      </c>
      <c r="F81" s="3115">
        <v>15</v>
      </c>
    </row>
    <row r="82" spans="1:6" ht="24">
      <c r="A82" s="3115">
        <v>10</v>
      </c>
      <c r="B82" s="3777"/>
      <c r="C82" s="3089" t="s">
        <v>2669</v>
      </c>
      <c r="D82" s="3089" t="s">
        <v>2670</v>
      </c>
      <c r="E82" s="3115">
        <v>0.1</v>
      </c>
      <c r="F82" s="3115">
        <v>15</v>
      </c>
    </row>
    <row r="83" spans="1:6" ht="24">
      <c r="A83" s="3115">
        <v>11</v>
      </c>
      <c r="B83" s="3777"/>
      <c r="C83" s="3089" t="s">
        <v>2671</v>
      </c>
      <c r="D83" s="3089" t="s">
        <v>2672</v>
      </c>
      <c r="E83" s="3115">
        <v>0.1</v>
      </c>
      <c r="F83" s="3115">
        <v>15</v>
      </c>
    </row>
    <row r="84" spans="1:6" ht="24">
      <c r="A84" s="3115">
        <v>12</v>
      </c>
      <c r="B84" s="3777"/>
      <c r="C84" s="3089" t="s">
        <v>2673</v>
      </c>
      <c r="D84" s="3089" t="s">
        <v>2674</v>
      </c>
      <c r="E84" s="3115">
        <v>0.1</v>
      </c>
      <c r="F84" s="3115">
        <v>15</v>
      </c>
    </row>
    <row r="85" spans="1:6" ht="13.5">
      <c r="A85" s="3115">
        <v>13</v>
      </c>
      <c r="B85" s="3777"/>
      <c r="C85" s="3089" t="s">
        <v>2675</v>
      </c>
      <c r="D85" s="3089" t="s">
        <v>2676</v>
      </c>
      <c r="E85" s="3115">
        <v>0.1</v>
      </c>
      <c r="F85" s="3115">
        <v>15</v>
      </c>
    </row>
    <row r="86" spans="1:6" ht="13.5">
      <c r="A86" s="3115">
        <v>14</v>
      </c>
      <c r="B86" s="3777"/>
      <c r="C86" s="3089" t="s">
        <v>2677</v>
      </c>
      <c r="D86" s="3089" t="s">
        <v>2678</v>
      </c>
      <c r="E86" s="3115">
        <v>0.1</v>
      </c>
      <c r="F86" s="3115">
        <v>15</v>
      </c>
    </row>
    <row r="87" spans="1:6" ht="13.5">
      <c r="A87" s="3115">
        <v>15</v>
      </c>
      <c r="B87" s="3777"/>
      <c r="C87" s="3089" t="s">
        <v>2679</v>
      </c>
      <c r="D87" s="3089" t="s">
        <v>2680</v>
      </c>
      <c r="E87" s="3115">
        <v>0.1</v>
      </c>
      <c r="F87" s="3115">
        <v>15</v>
      </c>
    </row>
    <row r="88" spans="1:6" ht="24">
      <c r="A88" s="3115">
        <v>16</v>
      </c>
      <c r="B88" s="3777"/>
      <c r="C88" s="3089" t="s">
        <v>2681</v>
      </c>
      <c r="D88" s="3089" t="s">
        <v>2682</v>
      </c>
      <c r="E88" s="3115">
        <v>0.1</v>
      </c>
      <c r="F88" s="3115">
        <v>15</v>
      </c>
    </row>
    <row r="89" spans="1:6" ht="24">
      <c r="A89" s="3115">
        <v>17</v>
      </c>
      <c r="B89" s="3776"/>
      <c r="C89" s="3089" t="s">
        <v>2683</v>
      </c>
      <c r="D89" s="3089" t="s">
        <v>2684</v>
      </c>
      <c r="E89" s="3115">
        <v>0.1</v>
      </c>
      <c r="F89" s="3115">
        <v>15</v>
      </c>
    </row>
    <row r="90" spans="1:6" ht="13.5">
      <c r="A90" s="3115">
        <v>18</v>
      </c>
      <c r="B90" s="3775" t="s">
        <v>2685</v>
      </c>
      <c r="C90" s="3089" t="s">
        <v>2686</v>
      </c>
      <c r="D90" s="3089" t="s">
        <v>2687</v>
      </c>
      <c r="E90" s="3115">
        <v>0.2</v>
      </c>
      <c r="F90" s="3115">
        <v>25</v>
      </c>
    </row>
    <row r="91" spans="1:6" ht="24">
      <c r="A91" s="3115">
        <v>19</v>
      </c>
      <c r="B91" s="3777"/>
      <c r="C91" s="3089" t="s">
        <v>2688</v>
      </c>
      <c r="D91" s="3089" t="s">
        <v>2689</v>
      </c>
      <c r="E91" s="3115">
        <v>0.2</v>
      </c>
      <c r="F91" s="3115">
        <v>25</v>
      </c>
    </row>
    <row r="92" spans="1:6" ht="13.5">
      <c r="A92" s="3115">
        <v>20</v>
      </c>
      <c r="B92" s="3777"/>
      <c r="C92" s="3089" t="s">
        <v>2690</v>
      </c>
      <c r="D92" s="3089" t="s">
        <v>2691</v>
      </c>
      <c r="E92" s="3115">
        <v>0.15</v>
      </c>
      <c r="F92" s="3115">
        <v>20</v>
      </c>
    </row>
    <row r="93" spans="1:6" ht="13.5">
      <c r="A93" s="3115">
        <v>21</v>
      </c>
      <c r="B93" s="3777"/>
      <c r="C93" s="3089" t="s">
        <v>2692</v>
      </c>
      <c r="D93" s="3089" t="s">
        <v>2693</v>
      </c>
      <c r="E93" s="3115">
        <v>0.15</v>
      </c>
      <c r="F93" s="3115">
        <v>20</v>
      </c>
    </row>
    <row r="94" spans="1:6" ht="13.5">
      <c r="A94" s="3115">
        <v>22</v>
      </c>
      <c r="B94" s="3777"/>
      <c r="C94" s="3089" t="s">
        <v>2694</v>
      </c>
      <c r="D94" s="3089" t="s">
        <v>2695</v>
      </c>
      <c r="E94" s="3115">
        <v>0.15</v>
      </c>
      <c r="F94" s="3115">
        <v>20</v>
      </c>
    </row>
    <row r="95" spans="1:6" ht="36">
      <c r="A95" s="3115">
        <v>23</v>
      </c>
      <c r="B95" s="3777"/>
      <c r="C95" s="3089" t="s">
        <v>2696</v>
      </c>
      <c r="D95" s="3089" t="s">
        <v>2697</v>
      </c>
      <c r="E95" s="3115">
        <v>0.15</v>
      </c>
      <c r="F95" s="3115">
        <v>20</v>
      </c>
    </row>
    <row r="96" spans="1:6" ht="13.5">
      <c r="A96" s="3115">
        <v>24</v>
      </c>
      <c r="B96" s="3777"/>
      <c r="C96" s="3089" t="s">
        <v>2698</v>
      </c>
      <c r="D96" s="3089" t="s">
        <v>2699</v>
      </c>
      <c r="E96" s="3115">
        <v>0.1</v>
      </c>
      <c r="F96" s="3115">
        <v>15</v>
      </c>
    </row>
    <row r="97" spans="1:6" ht="13.5">
      <c r="A97" s="3115">
        <v>25</v>
      </c>
      <c r="B97" s="3777"/>
      <c r="C97" s="3089" t="s">
        <v>2700</v>
      </c>
      <c r="D97" s="3089" t="s">
        <v>2701</v>
      </c>
      <c r="E97" s="3115">
        <v>0.1</v>
      </c>
      <c r="F97" s="3115">
        <v>15</v>
      </c>
    </row>
    <row r="98" spans="1:6" ht="24">
      <c r="A98" s="3115">
        <v>26</v>
      </c>
      <c r="B98" s="3777"/>
      <c r="C98" s="3089" t="s">
        <v>2702</v>
      </c>
      <c r="D98" s="3089" t="s">
        <v>2703</v>
      </c>
      <c r="E98" s="3115">
        <v>0.1</v>
      </c>
      <c r="F98" s="3115">
        <v>15</v>
      </c>
    </row>
    <row r="99" spans="1:6" ht="24">
      <c r="A99" s="3115">
        <v>27</v>
      </c>
      <c r="B99" s="3777"/>
      <c r="C99" s="3089" t="s">
        <v>2704</v>
      </c>
      <c r="D99" s="3089" t="s">
        <v>2705</v>
      </c>
      <c r="E99" s="3115">
        <v>0.1</v>
      </c>
      <c r="F99" s="3115">
        <v>15</v>
      </c>
    </row>
    <row r="100" spans="1:6" ht="13.5">
      <c r="A100" s="3115">
        <v>28</v>
      </c>
      <c r="B100" s="3777"/>
      <c r="C100" s="3089" t="s">
        <v>2706</v>
      </c>
      <c r="D100" s="3089" t="s">
        <v>2707</v>
      </c>
      <c r="E100" s="3115">
        <v>0.1</v>
      </c>
      <c r="F100" s="3115">
        <v>15</v>
      </c>
    </row>
    <row r="101" spans="1:6" ht="13.5">
      <c r="A101" s="3115">
        <v>29</v>
      </c>
      <c r="B101" s="3777"/>
      <c r="C101" s="3089" t="s">
        <v>2708</v>
      </c>
      <c r="D101" s="3089" t="s">
        <v>2709</v>
      </c>
      <c r="E101" s="3115">
        <v>0.1</v>
      </c>
      <c r="F101" s="3115">
        <v>15</v>
      </c>
    </row>
    <row r="102" spans="1:6" ht="13.5">
      <c r="A102" s="3115">
        <v>30</v>
      </c>
      <c r="B102" s="3777"/>
      <c r="C102" s="3089" t="s">
        <v>2710</v>
      </c>
      <c r="D102" s="3089" t="s">
        <v>2711</v>
      </c>
      <c r="E102" s="3115">
        <v>0.1</v>
      </c>
      <c r="F102" s="3115">
        <v>15</v>
      </c>
    </row>
    <row r="103" spans="1:6" ht="24">
      <c r="A103" s="3115">
        <v>31</v>
      </c>
      <c r="B103" s="3777"/>
      <c r="C103" s="3089" t="s">
        <v>2712</v>
      </c>
      <c r="D103" s="3089" t="s">
        <v>2713</v>
      </c>
      <c r="E103" s="3115">
        <v>0.1</v>
      </c>
      <c r="F103" s="3115">
        <v>15</v>
      </c>
    </row>
    <row r="104" spans="1:6" ht="24">
      <c r="A104" s="3115">
        <v>32</v>
      </c>
      <c r="B104" s="3777"/>
      <c r="C104" s="3089" t="s">
        <v>2714</v>
      </c>
      <c r="D104" s="3089" t="s">
        <v>2715</v>
      </c>
      <c r="E104" s="3115">
        <v>0.1</v>
      </c>
      <c r="F104" s="3115">
        <v>15</v>
      </c>
    </row>
    <row r="105" spans="1:6" ht="24">
      <c r="A105" s="3115">
        <v>33</v>
      </c>
      <c r="B105" s="3777"/>
      <c r="C105" s="3089" t="s">
        <v>2716</v>
      </c>
      <c r="D105" s="3089" t="s">
        <v>2717</v>
      </c>
      <c r="E105" s="3115">
        <v>0.1</v>
      </c>
      <c r="F105" s="3115">
        <v>15</v>
      </c>
    </row>
    <row r="106" spans="1:6" ht="24">
      <c r="A106" s="3115">
        <v>34</v>
      </c>
      <c r="B106" s="3776"/>
      <c r="C106" s="3089" t="s">
        <v>2718</v>
      </c>
      <c r="D106" s="3089" t="s">
        <v>2719</v>
      </c>
      <c r="E106" s="3115">
        <v>0.1</v>
      </c>
      <c r="F106" s="3115">
        <v>15</v>
      </c>
    </row>
    <row r="107" spans="1:6" ht="24">
      <c r="A107" s="3115">
        <v>35</v>
      </c>
      <c r="B107" s="3775" t="s">
        <v>2720</v>
      </c>
      <c r="C107" s="3115" t="s">
        <v>2721</v>
      </c>
      <c r="D107" s="3089" t="s">
        <v>2722</v>
      </c>
      <c r="E107" s="3115">
        <v>0.15</v>
      </c>
      <c r="F107" s="3115">
        <v>20</v>
      </c>
    </row>
    <row r="108" spans="1:6" ht="13.5">
      <c r="A108" s="3115">
        <v>36</v>
      </c>
      <c r="B108" s="3777"/>
      <c r="C108" s="3115" t="s">
        <v>2723</v>
      </c>
      <c r="D108" s="3089" t="s">
        <v>2724</v>
      </c>
      <c r="E108" s="3115">
        <v>0.15</v>
      </c>
      <c r="F108" s="3115">
        <v>20</v>
      </c>
    </row>
    <row r="109" spans="1:6" ht="13.5">
      <c r="A109" s="3115">
        <v>37</v>
      </c>
      <c r="B109" s="3777"/>
      <c r="C109" s="3115" t="s">
        <v>2725</v>
      </c>
      <c r="D109" s="3089" t="s">
        <v>2726</v>
      </c>
      <c r="E109" s="3115">
        <v>0.15</v>
      </c>
      <c r="F109" s="3115">
        <v>20</v>
      </c>
    </row>
    <row r="110" spans="1:6" ht="13.5">
      <c r="A110" s="3115">
        <v>38</v>
      </c>
      <c r="B110" s="3777"/>
      <c r="C110" s="3115" t="s">
        <v>2727</v>
      </c>
      <c r="D110" s="3089" t="s">
        <v>2728</v>
      </c>
      <c r="E110" s="3115">
        <v>0.1</v>
      </c>
      <c r="F110" s="3115">
        <v>15</v>
      </c>
    </row>
    <row r="111" spans="1:6" ht="24">
      <c r="A111" s="3115">
        <v>39</v>
      </c>
      <c r="B111" s="3777"/>
      <c r="C111" s="3115" t="s">
        <v>2729</v>
      </c>
      <c r="D111" s="3089" t="s">
        <v>2730</v>
      </c>
      <c r="E111" s="3115">
        <v>0.1</v>
      </c>
      <c r="F111" s="3115">
        <v>15</v>
      </c>
    </row>
    <row r="112" spans="1:6" ht="24">
      <c r="A112" s="3115">
        <v>40</v>
      </c>
      <c r="B112" s="3776"/>
      <c r="C112" s="3115" t="s">
        <v>2731</v>
      </c>
      <c r="D112" s="3089" t="s">
        <v>2732</v>
      </c>
      <c r="E112" s="3115">
        <v>0.1</v>
      </c>
      <c r="F112" s="3115">
        <v>15</v>
      </c>
    </row>
    <row r="113" spans="1:6" ht="13.5">
      <c r="A113" s="3115">
        <v>41</v>
      </c>
      <c r="B113" s="3774" t="s">
        <v>2733</v>
      </c>
      <c r="C113" s="3115" t="s">
        <v>2734</v>
      </c>
      <c r="D113" s="3089" t="s">
        <v>2735</v>
      </c>
      <c r="E113" s="3115">
        <v>0.1</v>
      </c>
      <c r="F113" s="3115">
        <v>15</v>
      </c>
    </row>
    <row r="114" spans="1:6" ht="13.5">
      <c r="A114" s="3115">
        <v>42</v>
      </c>
      <c r="B114" s="3774"/>
      <c r="C114" s="3115" t="s">
        <v>2736</v>
      </c>
      <c r="D114" s="3089" t="s">
        <v>2737</v>
      </c>
      <c r="E114" s="3115">
        <v>0.1</v>
      </c>
      <c r="F114" s="3115">
        <v>15</v>
      </c>
    </row>
    <row r="115" spans="1:6" ht="24">
      <c r="A115" s="3115">
        <v>43</v>
      </c>
      <c r="B115" s="3774"/>
      <c r="C115" s="3115" t="s">
        <v>2738</v>
      </c>
      <c r="D115" s="3089" t="s">
        <v>2739</v>
      </c>
      <c r="E115" s="3115">
        <v>0.1</v>
      </c>
      <c r="F115" s="3115">
        <v>15</v>
      </c>
    </row>
    <row r="116" spans="1:6" ht="13.5">
      <c r="A116" s="3115">
        <v>44</v>
      </c>
      <c r="B116" s="3775" t="s">
        <v>2740</v>
      </c>
      <c r="C116" s="3115" t="s">
        <v>2741</v>
      </c>
      <c r="D116" s="3089" t="s">
        <v>2742</v>
      </c>
      <c r="E116" s="3115">
        <v>0.1</v>
      </c>
      <c r="F116" s="3115">
        <v>15</v>
      </c>
    </row>
    <row r="117" spans="1:6" ht="24">
      <c r="A117" s="3115">
        <v>45</v>
      </c>
      <c r="B117" s="3776"/>
      <c r="C117" s="3089" t="s">
        <v>2743</v>
      </c>
      <c r="D117" s="3089" t="s">
        <v>2744</v>
      </c>
      <c r="E117" s="3115">
        <v>0.1</v>
      </c>
      <c r="F117" s="3115">
        <v>15</v>
      </c>
    </row>
    <row r="118" spans="1:6" ht="24">
      <c r="A118" s="3115">
        <v>46</v>
      </c>
      <c r="B118" s="3775" t="s">
        <v>2745</v>
      </c>
      <c r="C118" s="3115" t="s">
        <v>2746</v>
      </c>
      <c r="D118" s="3089" t="s">
        <v>2747</v>
      </c>
      <c r="E118" s="3115">
        <v>0.1</v>
      </c>
      <c r="F118" s="3115">
        <v>15</v>
      </c>
    </row>
    <row r="119" spans="1:6" ht="24">
      <c r="A119" s="3115">
        <v>47</v>
      </c>
      <c r="B119" s="3776"/>
      <c r="C119" s="3115" t="s">
        <v>2748</v>
      </c>
      <c r="D119" s="3089" t="s">
        <v>2749</v>
      </c>
      <c r="E119" s="3115">
        <v>0.1</v>
      </c>
      <c r="F119" s="3115">
        <v>15</v>
      </c>
    </row>
    <row r="120" spans="1:6" ht="13.5">
      <c r="A120" s="3115">
        <v>48</v>
      </c>
      <c r="B120" s="3775" t="s">
        <v>2750</v>
      </c>
      <c r="C120" s="3115" t="s">
        <v>2751</v>
      </c>
      <c r="D120" s="3089" t="s">
        <v>2752</v>
      </c>
      <c r="E120" s="3115">
        <v>0.1</v>
      </c>
      <c r="F120" s="3115">
        <v>15</v>
      </c>
    </row>
    <row r="121" spans="1:6" ht="13.5">
      <c r="A121" s="3115">
        <v>49</v>
      </c>
      <c r="B121" s="3776"/>
      <c r="C121" s="3115" t="s">
        <v>2753</v>
      </c>
      <c r="D121" s="3089" t="s">
        <v>2754</v>
      </c>
      <c r="E121" s="3115">
        <v>0.1</v>
      </c>
      <c r="F121" s="3115">
        <v>15</v>
      </c>
    </row>
    <row r="122" spans="1:6" ht="24">
      <c r="A122" s="3115">
        <v>50</v>
      </c>
      <c r="B122" s="3774" t="s">
        <v>2755</v>
      </c>
      <c r="C122" s="3115" t="s">
        <v>2756</v>
      </c>
      <c r="D122" s="3089" t="s">
        <v>2757</v>
      </c>
      <c r="E122" s="3115">
        <v>0.1</v>
      </c>
      <c r="F122" s="3115">
        <v>15</v>
      </c>
    </row>
    <row r="123" spans="1:6" ht="24">
      <c r="A123" s="3115">
        <v>51</v>
      </c>
      <c r="B123" s="3774"/>
      <c r="C123" s="3115" t="s">
        <v>2758</v>
      </c>
      <c r="D123" s="3089" t="s">
        <v>2759</v>
      </c>
      <c r="E123" s="3115">
        <v>0.1</v>
      </c>
      <c r="F123" s="3115">
        <v>15</v>
      </c>
    </row>
    <row r="124" spans="1:6" ht="24">
      <c r="A124" s="3115">
        <v>52</v>
      </c>
      <c r="B124" s="3774" t="s">
        <v>2760</v>
      </c>
      <c r="C124" s="3115" t="s">
        <v>2761</v>
      </c>
      <c r="D124" s="3089" t="s">
        <v>2762</v>
      </c>
      <c r="E124" s="3115">
        <v>0.1</v>
      </c>
      <c r="F124" s="3115">
        <v>15</v>
      </c>
    </row>
    <row r="125" spans="1:6" ht="24">
      <c r="A125" s="3115">
        <v>53</v>
      </c>
      <c r="B125" s="3774"/>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74" t="s">
        <v>2768</v>
      </c>
      <c r="C127" s="3115" t="s">
        <v>2769</v>
      </c>
      <c r="D127" s="3089" t="s">
        <v>2770</v>
      </c>
      <c r="E127" s="3115">
        <v>0.1</v>
      </c>
      <c r="F127" s="3115">
        <v>15</v>
      </c>
    </row>
    <row r="128" spans="1:6" ht="13.5">
      <c r="A128" s="3115">
        <v>56</v>
      </c>
      <c r="B128" s="3774"/>
      <c r="C128" s="3115" t="s">
        <v>2771</v>
      </c>
      <c r="D128" s="3089" t="s">
        <v>2772</v>
      </c>
      <c r="E128" s="3115">
        <v>0.1</v>
      </c>
      <c r="F128" s="3115">
        <v>15</v>
      </c>
    </row>
    <row r="129" spans="1:6" ht="24">
      <c r="A129" s="3115">
        <v>57</v>
      </c>
      <c r="B129" s="3774"/>
      <c r="C129" s="3115" t="s">
        <v>2773</v>
      </c>
      <c r="D129" s="3089" t="s">
        <v>2774</v>
      </c>
      <c r="E129" s="3115">
        <v>0.1</v>
      </c>
      <c r="F129" s="3115">
        <v>15</v>
      </c>
    </row>
    <row r="130" spans="1:6" ht="24">
      <c r="A130" s="3115">
        <v>58</v>
      </c>
      <c r="B130" s="3774" t="s">
        <v>2775</v>
      </c>
      <c r="C130" s="3115" t="s">
        <v>2776</v>
      </c>
      <c r="D130" s="3089" t="s">
        <v>2777</v>
      </c>
      <c r="E130" s="3115">
        <v>0.1</v>
      </c>
      <c r="F130" s="3115">
        <v>15</v>
      </c>
    </row>
    <row r="131" spans="1:6" ht="13.5">
      <c r="A131" s="3115">
        <v>59</v>
      </c>
      <c r="B131" s="3774"/>
      <c r="C131" s="3115" t="s">
        <v>2778</v>
      </c>
      <c r="D131" s="3089" t="s">
        <v>2779</v>
      </c>
      <c r="E131" s="3115">
        <v>0.1</v>
      </c>
      <c r="F131" s="3115">
        <v>15</v>
      </c>
    </row>
    <row r="132" spans="1:6" ht="13.5">
      <c r="A132" s="3115">
        <v>60</v>
      </c>
      <c r="B132" s="3775" t="s">
        <v>2780</v>
      </c>
      <c r="C132" s="3115" t="s">
        <v>2781</v>
      </c>
      <c r="D132" s="3089" t="s">
        <v>2782</v>
      </c>
      <c r="E132" s="3115">
        <v>0.1</v>
      </c>
      <c r="F132" s="3115">
        <v>15</v>
      </c>
    </row>
    <row r="133" spans="1:6" ht="13.5">
      <c r="A133" s="3115">
        <v>61</v>
      </c>
      <c r="B133" s="3776"/>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74" t="s">
        <v>2788</v>
      </c>
      <c r="C135" s="3115" t="s">
        <v>2789</v>
      </c>
      <c r="D135" s="3089" t="s">
        <v>2790</v>
      </c>
      <c r="E135" s="3115">
        <v>0.1</v>
      </c>
      <c r="F135" s="3115">
        <v>15</v>
      </c>
    </row>
    <row r="136" spans="1:6" ht="13.5">
      <c r="A136" s="3115">
        <v>64</v>
      </c>
      <c r="B136" s="3774"/>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30034</v>
      </c>
      <c r="C2" s="2" t="s">
        <v>106</v>
      </c>
      <c r="D2" s="199"/>
      <c r="E2" s="199"/>
      <c r="F2" s="199"/>
      <c r="G2" s="199"/>
    </row>
    <row r="3" spans="1:7" s="200" customFormat="1" ht="18" customHeight="1" thickBot="1">
      <c r="A3" s="203" t="s">
        <v>58</v>
      </c>
      <c r="B3" s="204">
        <f ca="1">ROUND(B2*10000/'数据-汇总表'!E3,0)</f>
        <v>176524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1701.41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1701.41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4211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1701.41</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v>
      </c>
      <c r="D42" s="238"/>
      <c r="E42" s="238"/>
      <c r="F42" s="239"/>
      <c r="G42" s="3650" t="s">
        <v>94</v>
      </c>
    </row>
    <row r="43" spans="1:7" ht="13.5" customHeight="1">
      <c r="A43" s="780" t="s">
        <v>347</v>
      </c>
      <c r="B43" s="215" t="s">
        <v>426</v>
      </c>
      <c r="C43" s="238">
        <f ca="1">ROUND(IF('数据-取费表'!B22&lt;=1,C39*F22*'数据-取费表'!B21/2,C39*(POWER((1+F22),'数据-取费表'!B21/2)-1)),0)</f>
        <v>1</v>
      </c>
      <c r="D43" s="238"/>
      <c r="E43" s="238"/>
      <c r="F43" s="239"/>
      <c r="G43" s="3651"/>
    </row>
    <row r="44" spans="1:7" ht="13.5" customHeight="1">
      <c r="A44" s="780"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7" t="s">
        <v>341</v>
      </c>
      <c r="B45" s="244" t="s">
        <v>85</v>
      </c>
      <c r="C45" s="245">
        <f>C46</f>
        <v>152</v>
      </c>
      <c r="D45" s="235">
        <f>C47</f>
        <v>4.0000000000000001E-3</v>
      </c>
      <c r="E45" s="236" t="s">
        <v>102</v>
      </c>
      <c r="F45" s="246"/>
      <c r="G45" s="247" t="s">
        <v>434</v>
      </c>
    </row>
    <row r="46" spans="1:7" s="214" customFormat="1" ht="13.5" customHeight="1">
      <c r="A46" s="780" t="s">
        <v>349</v>
      </c>
      <c r="B46" s="248" t="s">
        <v>427</v>
      </c>
      <c r="C46" s="249">
        <f>ROUND((C33+C39)*F27,0)</f>
        <v>152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1024</v>
      </c>
      <c r="D49" s="232"/>
      <c r="E49" s="232"/>
      <c r="F49" s="264"/>
      <c r="G49" s="234" t="s">
        <v>435</v>
      </c>
    </row>
    <row r="50" spans="1:7" s="258" customFormat="1" ht="24">
      <c r="A50" s="777" t="s">
        <v>344</v>
      </c>
      <c r="B50" s="210" t="s">
        <v>97</v>
      </c>
      <c r="C50" s="232"/>
      <c r="D50" s="232"/>
      <c r="E50" s="232"/>
      <c r="F50" s="264">
        <f>IF('数据-取费表'!B24=0,'数据-取费表'!N16,1)</f>
        <v>0.69199999999999995</v>
      </c>
      <c r="G50" s="247" t="s">
        <v>98</v>
      </c>
    </row>
    <row r="51" spans="1:7" ht="16.5" customHeight="1">
      <c r="A51" s="777" t="s">
        <v>345</v>
      </c>
      <c r="B51" s="210" t="s">
        <v>105</v>
      </c>
      <c r="C51" s="232">
        <f ca="1">ROUND(C49*F50,0)</f>
        <v>709</v>
      </c>
      <c r="D51" s="232"/>
      <c r="E51" s="232"/>
      <c r="F51" s="264"/>
      <c r="G51" s="234" t="s">
        <v>37</v>
      </c>
    </row>
    <row r="52" spans="1:7" s="208" customFormat="1" ht="16.5" thickBot="1">
      <c r="A52" s="265" t="s">
        <v>38</v>
      </c>
      <c r="B52" s="266"/>
      <c r="C52" s="267">
        <f ca="1">C31+C51</f>
        <v>30034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4.抵押担保权已注销时的房地产抵押价值</v>
      </c>
      <c r="C16" s="1499" t="s">
        <v>922</v>
      </c>
      <c r="D16" s="1500" t="str">
        <f ca="1">结果表!H109</f>
        <v>——</v>
      </c>
      <c r="E16" s="1491"/>
    </row>
    <row r="17" spans="1:5" ht="15.75">
      <c r="A17" s="1491"/>
      <c r="B17" s="3476"/>
      <c r="C17" s="1494" t="s">
        <v>923</v>
      </c>
      <c r="D17" s="850" t="e">
        <f ca="1">NUMBERSTRING(INT(D16*10000),2)&amp;"元整"</f>
        <v>#VALUE!</v>
      </c>
      <c r="E17" s="1491"/>
    </row>
    <row r="18" spans="1:5" ht="15">
      <c r="A18" s="1491"/>
      <c r="B18" s="3477"/>
      <c r="C18" s="1495" t="s">
        <v>912</v>
      </c>
      <c r="D18" s="859" t="str">
        <f ca="1">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8" t="s">
        <v>2842</v>
      </c>
      <c r="B1" s="3788"/>
      <c r="C1" s="3788"/>
      <c r="D1" s="3788"/>
      <c r="E1" s="3788"/>
      <c r="F1" s="3788"/>
      <c r="G1" s="378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86"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8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0" t="s">
        <v>3184</v>
      </c>
      <c r="B1" s="3790"/>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1" t="s">
        <v>3235</v>
      </c>
      <c r="B1" s="3791"/>
      <c r="C1" s="3791"/>
      <c r="D1" s="3791"/>
      <c r="E1" s="3791"/>
      <c r="F1" s="379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8">
        <f>基准地价修正!G23</f>
        <v>44992</v>
      </c>
      <c r="B1" s="3207" t="s">
        <v>2841</v>
      </c>
      <c r="C1" s="3208"/>
      <c r="D1" s="3208"/>
      <c r="E1" s="3208"/>
      <c r="F1" s="3208"/>
      <c r="G1" s="3208"/>
      <c r="H1" s="3208"/>
      <c r="I1" s="3208"/>
      <c r="J1" s="3162"/>
      <c r="K1" s="3208" t="s">
        <v>454</v>
      </c>
      <c r="L1" s="3208"/>
      <c r="M1" s="3208"/>
      <c r="N1" s="3208"/>
      <c r="O1" s="3208"/>
      <c r="P1" s="3208"/>
      <c r="Q1" s="3162"/>
      <c r="R1" s="3793" t="s">
        <v>456</v>
      </c>
      <c r="S1" s="3794"/>
      <c r="T1" s="3794"/>
      <c r="U1" s="3794"/>
      <c r="V1" s="3794"/>
      <c r="W1" s="3794"/>
      <c r="X1" s="3162"/>
      <c r="Y1" s="3793" t="s">
        <v>457</v>
      </c>
      <c r="Z1" s="3794"/>
      <c r="AA1" s="3794"/>
      <c r="AB1" s="3794"/>
      <c r="AC1" s="3794"/>
      <c r="AD1" s="379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93" t="s">
        <v>2829</v>
      </c>
      <c r="S21" s="3794"/>
      <c r="T21" s="3794"/>
      <c r="U21" s="3794"/>
      <c r="V21" s="3794"/>
      <c r="W21" s="3794"/>
      <c r="X21" s="3162"/>
      <c r="Y21" s="3793" t="s">
        <v>2830</v>
      </c>
      <c r="Z21" s="3794"/>
      <c r="AA21" s="3794"/>
      <c r="AB21" s="3794"/>
      <c r="AC21" s="3794"/>
      <c r="AD21" s="3794"/>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3" sqref="M3"/>
    </sheetView>
  </sheetViews>
  <sheetFormatPr defaultRowHeight="13.5"/>
  <cols>
    <col min="2" max="2" width="28.75" customWidth="1"/>
    <col min="3" max="3" width="10.375" customWidth="1"/>
    <col min="6" max="6" width="10.5" bestFit="1" customWidth="1"/>
    <col min="7" max="7" width="11.625" bestFit="1" customWidth="1"/>
  </cols>
  <sheetData>
    <row r="1" spans="1:17">
      <c r="A1" s="3447" t="s">
        <v>3374</v>
      </c>
      <c r="B1" s="3447" t="s">
        <v>3375</v>
      </c>
      <c r="C1" s="3447" t="s">
        <v>3377</v>
      </c>
      <c r="D1" s="3447" t="s">
        <v>3384</v>
      </c>
      <c r="E1" s="3447" t="s">
        <v>3380</v>
      </c>
      <c r="F1" s="3447" t="s">
        <v>3381</v>
      </c>
      <c r="G1" s="3447" t="s">
        <v>3382</v>
      </c>
      <c r="H1" s="3447" t="s">
        <v>3385</v>
      </c>
      <c r="I1" s="3448" t="s">
        <v>3387</v>
      </c>
      <c r="J1" s="3447" t="s">
        <v>3389</v>
      </c>
      <c r="K1" s="3447" t="s">
        <v>3391</v>
      </c>
      <c r="M1" s="3447" t="s">
        <v>3376</v>
      </c>
      <c r="N1" s="3447" t="s">
        <v>3378</v>
      </c>
      <c r="O1" s="3447" t="s">
        <v>3388</v>
      </c>
      <c r="P1" s="3447" t="s">
        <v>3395</v>
      </c>
    </row>
    <row r="2" spans="1:17">
      <c r="A2">
        <v>1</v>
      </c>
      <c r="B2" s="3447" t="s">
        <v>3403</v>
      </c>
      <c r="C2" s="3447">
        <v>4200000</v>
      </c>
      <c r="D2">
        <v>3103</v>
      </c>
      <c r="E2">
        <v>10</v>
      </c>
      <c r="F2" s="3450">
        <v>43952</v>
      </c>
      <c r="G2" s="3450">
        <v>47788</v>
      </c>
      <c r="H2" s="3447" t="s">
        <v>3386</v>
      </c>
      <c r="I2" s="3449">
        <f>ROUND(C2/D2/365,1)</f>
        <v>3.7</v>
      </c>
      <c r="J2" s="3447" t="s">
        <v>3390</v>
      </c>
      <c r="K2" s="3447" t="s">
        <v>3392</v>
      </c>
      <c r="M2" s="3447" t="s">
        <v>3383</v>
      </c>
      <c r="N2" s="3447" t="s">
        <v>3379</v>
      </c>
      <c r="O2">
        <v>700000</v>
      </c>
    </row>
    <row r="3" spans="1:17">
      <c r="A3">
        <v>2</v>
      </c>
      <c r="B3" s="3448" t="s">
        <v>3464</v>
      </c>
      <c r="C3" s="3449">
        <f>362500*12</f>
        <v>4350000</v>
      </c>
      <c r="D3" s="3449">
        <v>4400</v>
      </c>
      <c r="E3" s="3449">
        <v>10</v>
      </c>
      <c r="F3" s="3452">
        <v>44136</v>
      </c>
      <c r="G3" s="3452">
        <v>47787</v>
      </c>
      <c r="H3" s="3449" t="str">
        <f>H2</f>
        <v>3年5%</v>
      </c>
      <c r="I3" s="3449">
        <f t="shared" ref="I3:I11" si="0">ROUND(C3/D3/365,1)</f>
        <v>2.7</v>
      </c>
      <c r="J3" s="3447" t="s">
        <v>3476</v>
      </c>
      <c r="K3" s="3447" t="s">
        <v>3392</v>
      </c>
      <c r="M3" s="3447" t="s">
        <v>3393</v>
      </c>
      <c r="O3">
        <v>725000</v>
      </c>
    </row>
    <row r="4" spans="1:17">
      <c r="A4">
        <v>3</v>
      </c>
      <c r="B4" s="3447" t="s">
        <v>3404</v>
      </c>
      <c r="C4">
        <f>398612*12</f>
        <v>4783344</v>
      </c>
      <c r="D4">
        <f>2505.4+P4</f>
        <v>2890.77</v>
      </c>
      <c r="E4">
        <v>8</v>
      </c>
      <c r="F4" s="3450">
        <v>43374</v>
      </c>
      <c r="G4" s="3450">
        <v>46295</v>
      </c>
      <c r="H4" s="3447" t="s">
        <v>3397</v>
      </c>
      <c r="I4" s="3449">
        <f>ROUND(C4*(1+5%)*(1+5%)/D4/365,1)</f>
        <v>5</v>
      </c>
      <c r="J4" s="3447" t="s">
        <v>3476</v>
      </c>
      <c r="K4" s="3447" t="s">
        <v>3394</v>
      </c>
      <c r="O4">
        <v>797224</v>
      </c>
      <c r="P4">
        <v>385.37</v>
      </c>
      <c r="Q4" s="3447" t="s">
        <v>3396</v>
      </c>
    </row>
    <row r="5" spans="1:17">
      <c r="A5">
        <v>4</v>
      </c>
      <c r="B5" s="3448" t="s">
        <v>3439</v>
      </c>
      <c r="C5" s="3449">
        <v>10843595.199999999</v>
      </c>
      <c r="D5" s="3449">
        <v>9283.9</v>
      </c>
      <c r="E5" s="3449">
        <v>15</v>
      </c>
      <c r="F5" s="3452">
        <v>44774</v>
      </c>
      <c r="G5" s="3452">
        <v>50252</v>
      </c>
      <c r="H5" s="3448" t="s">
        <v>3398</v>
      </c>
      <c r="I5" s="3449">
        <f>ROUND(C5/D5/365,1)</f>
        <v>3.2</v>
      </c>
      <c r="J5" s="3447" t="s">
        <v>3399</v>
      </c>
      <c r="K5" s="3447" t="s">
        <v>3479</v>
      </c>
      <c r="M5" s="3447" t="s">
        <v>3400</v>
      </c>
    </row>
    <row r="6" spans="1:17">
      <c r="A6">
        <v>5</v>
      </c>
      <c r="B6" s="3451" t="s">
        <v>3401</v>
      </c>
      <c r="C6">
        <v>14126567.619999999</v>
      </c>
      <c r="D6">
        <v>8600.65</v>
      </c>
      <c r="E6">
        <v>5</v>
      </c>
      <c r="F6" s="3450">
        <v>44378</v>
      </c>
      <c r="G6" s="3450">
        <v>46203</v>
      </c>
      <c r="I6" s="3449">
        <f t="shared" si="0"/>
        <v>4.5</v>
      </c>
      <c r="M6" s="3447" t="s">
        <v>3402</v>
      </c>
    </row>
    <row r="7" spans="1:17">
      <c r="A7">
        <v>6</v>
      </c>
      <c r="B7" s="3447" t="s">
        <v>3405</v>
      </c>
      <c r="C7">
        <f>202581.12*12</f>
        <v>2430973.44</v>
      </c>
      <c r="D7">
        <v>4546.54</v>
      </c>
      <c r="E7">
        <v>12</v>
      </c>
      <c r="F7" s="3450">
        <v>40695</v>
      </c>
      <c r="G7" s="3450">
        <v>45046</v>
      </c>
      <c r="I7" s="3449">
        <f t="shared" si="0"/>
        <v>1.5</v>
      </c>
    </row>
    <row r="8" spans="1:17">
      <c r="A8">
        <v>7</v>
      </c>
      <c r="B8" s="3447" t="s">
        <v>3406</v>
      </c>
      <c r="C8">
        <v>6578850</v>
      </c>
      <c r="D8">
        <v>909.55</v>
      </c>
      <c r="E8">
        <v>8</v>
      </c>
      <c r="F8" s="3450">
        <v>42680</v>
      </c>
      <c r="G8" s="3450">
        <v>45601</v>
      </c>
      <c r="I8" s="3449">
        <v>2.4</v>
      </c>
    </row>
    <row r="9" spans="1:17">
      <c r="A9">
        <v>8</v>
      </c>
      <c r="B9" s="3447" t="s">
        <v>3407</v>
      </c>
      <c r="C9">
        <f>451646*2</f>
        <v>903292</v>
      </c>
      <c r="D9">
        <v>549.95000000000005</v>
      </c>
      <c r="E9">
        <v>3</v>
      </c>
      <c r="F9" s="3450">
        <v>43896</v>
      </c>
      <c r="G9" s="3450">
        <v>44990</v>
      </c>
      <c r="I9" s="3449">
        <f t="shared" si="0"/>
        <v>4.5</v>
      </c>
      <c r="O9">
        <v>75274</v>
      </c>
    </row>
    <row r="10" spans="1:17">
      <c r="A10">
        <v>9</v>
      </c>
      <c r="B10" s="3448" t="s">
        <v>3408</v>
      </c>
      <c r="C10" s="3449">
        <f>7509384.9*2</f>
        <v>15018769.800000001</v>
      </c>
      <c r="D10" s="3449">
        <v>11398.58</v>
      </c>
      <c r="E10" s="3449">
        <v>15</v>
      </c>
      <c r="F10" s="3452">
        <v>44075</v>
      </c>
      <c r="G10" s="3452">
        <v>49552</v>
      </c>
      <c r="H10" s="3448" t="s">
        <v>3386</v>
      </c>
      <c r="I10" s="3449">
        <f t="shared" si="0"/>
        <v>3.6</v>
      </c>
      <c r="K10" s="3447" t="s">
        <v>3479</v>
      </c>
      <c r="M10" s="3447" t="s">
        <v>3480</v>
      </c>
    </row>
    <row r="11" spans="1:17">
      <c r="A11">
        <v>10</v>
      </c>
      <c r="B11" s="3447" t="s">
        <v>3409</v>
      </c>
      <c r="C11">
        <v>10017000</v>
      </c>
      <c r="D11">
        <v>21781.88</v>
      </c>
      <c r="E11">
        <v>18</v>
      </c>
      <c r="F11" s="3450">
        <v>43556</v>
      </c>
      <c r="G11" s="3450">
        <v>50359</v>
      </c>
      <c r="I11" s="3449">
        <f t="shared" si="0"/>
        <v>1.3</v>
      </c>
    </row>
    <row r="12" spans="1:17">
      <c r="F12" s="3450"/>
      <c r="G12" s="3450"/>
    </row>
    <row r="13" spans="1:17">
      <c r="F13" s="3450"/>
      <c r="G13" s="3450"/>
    </row>
    <row r="15" spans="1:17">
      <c r="M15">
        <f>I10-I3</f>
        <v>0.89999999999999991</v>
      </c>
    </row>
    <row r="16" spans="1:17">
      <c r="M16">
        <f>M15/I3</f>
        <v>0.33333333333333326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
      <c r="A3" s="3481"/>
      <c r="B3" s="3481"/>
      <c r="C3" s="3481"/>
      <c r="D3" s="854" t="s">
        <v>925</v>
      </c>
      <c r="E3" s="854" t="s">
        <v>931</v>
      </c>
      <c r="F3" s="854" t="s">
        <v>925</v>
      </c>
      <c r="G3" s="854" t="s">
        <v>926</v>
      </c>
      <c r="H3" s="854" t="s">
        <v>925</v>
      </c>
      <c r="I3" s="854" t="s">
        <v>926</v>
      </c>
    </row>
    <row r="4" spans="1:9" ht="30">
      <c r="A4" s="1505" t="str">
        <f>项目基本情况!S2</f>
        <v>北京市丰台区莲香园1号楼1至3层1-3房地产</v>
      </c>
      <c r="B4" s="854">
        <f>项目基本情况!C17</f>
        <v>1701.41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 ca="1">结果表!D124</f>
        <v>——</v>
      </c>
      <c r="E10" s="3480"/>
      <c r="F10" s="3480"/>
      <c r="G10" s="3480"/>
      <c r="H10" s="3480"/>
      <c r="I10" s="3480"/>
    </row>
    <row r="11" spans="1:9" ht="15">
      <c r="A11" s="3481" t="s">
        <v>927</v>
      </c>
      <c r="B11" s="3481"/>
      <c r="C11" s="3481"/>
      <c r="D11" s="3481" t="e">
        <f ca="1">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刘俊财</v>
      </c>
      <c r="B5" s="1511">
        <f ca="1">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2"/>
      <c r="C12" s="3492"/>
      <c r="D12" s="3492"/>
    </row>
    <row r="13" spans="1:4" ht="30" customHeight="1">
      <c r="A13" s="3487" t="str">
        <f>IF(项目基本情况!B8="抵押","3.抵押双方在办理抵押登记手续时，应使用本公司出具的正式《房地产评估报告》，特提醒报告使用者注意。","——")</f>
        <v>——</v>
      </c>
      <c r="B13" s="3492"/>
      <c r="C13" s="3492"/>
      <c r="D13" s="3492"/>
    </row>
    <row r="14" spans="1:4" ht="15.75" customHeight="1">
      <c r="A14" s="3487" t="str">
        <f>IF(项目基本情况!B8="抵押","4.本次评估估价师所知悉的法定优先受偿款情况说明如下：","——")</f>
        <v>——</v>
      </c>
      <c r="B14" s="3492"/>
      <c r="C14" s="3492"/>
      <c r="D14" s="3492"/>
    </row>
    <row r="15" spans="1:4" ht="42" customHeight="1">
      <c r="A15" s="3487" t="str">
        <f>IF(项目基本情况!B8="抵押","（1）"&amp;CONCATENATE(项目基本情况!L20,项目基本情况!L21,项目基本情况!L22),"——")</f>
        <v>——</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收益法</vt:lpstr>
      <vt:lpstr>收益法-酒店模型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2023-03-10T01:40:08Z</dcterms:modified>
</cp:coreProperties>
</file>